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dialogsheets/sheet1.xml" ContentType="application/vnd.openxmlformats-officedocument.spreadsheetml.dialogsheet+xml"/>
  <Override PartName="/xl/dialogsheets/sheet2.xml" ContentType="application/vnd.openxmlformats-officedocument.spreadsheetml.dialogsheet+xml"/>
  <Override PartName="/xl/dialogsheets/sheet3.xml" ContentType="application/vnd.openxmlformats-officedocument.spreadsheetml.dialogsheet+xml"/>
  <Override PartName="/xl/dialogsheets/sheet4.xml" ContentType="application/vnd.openxmlformats-officedocument.spreadsheetml.dialogsheet+xml"/>
  <Override PartName="/xl/dialogsheets/sheet5.xml" ContentType="application/vnd.openxmlformats-officedocument.spreadsheetml.dialogsheet+xml"/>
  <Override PartName="/xl/dialogsheets/sheet6.xml" ContentType="application/vnd.openxmlformats-officedocument.spreadsheetml.dialogsheet+xml"/>
  <Override PartName="/xl/dialogsheets/sheet7.xml" ContentType="application/vnd.openxmlformats-officedocument.spreadsheetml.dialogsheet+xml"/>
  <Override PartName="/xl/dialogsheets/sheet8.xml" ContentType="application/vnd.openxmlformats-officedocument.spreadsheetml.dialogsheet+xml"/>
  <Override PartName="/xl/dialogsheets/sheet9.xml" ContentType="application/vnd.openxmlformats-officedocument.spreadsheetml.dialog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11.xml" ContentType="application/vnd.openxmlformats-officedocument.drawing+xml"/>
  <Override PartName="/xl/ctrlProps/ctrlProp119.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120.xml" ContentType="application/vnd.ms-excel.controlproperties+xml"/>
  <Override PartName="/xl/drawings/drawing14.xml" ContentType="application/vnd.openxmlformats-officedocument.drawing+xml"/>
  <Override PartName="/xl/ctrlProps/ctrlProp121.xml" ContentType="application/vnd.ms-excel.controlproperties+xml"/>
  <Override PartName="/xl/drawings/drawing15.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16.xml" ContentType="application/vnd.openxmlformats-officedocument.drawing+xml"/>
  <Override PartName="/xl/ctrlProps/ctrlProp124.xml" ContentType="application/vnd.ms-excel.controlproperties+xml"/>
  <Override PartName="/xl/ctrlProps/ctrlProp125.xml" ContentType="application/vnd.ms-excel.controlproperties+xml"/>
  <Override PartName="/xl/drawings/drawing17.xml" ContentType="application/vnd.openxmlformats-officedocument.drawing+xml"/>
  <Override PartName="/xl/ctrlProps/ctrlProp126.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ctrlProps/ctrlProp127.xml" ContentType="application/vnd.ms-excel.controlproperties+xml"/>
  <Override PartName="/xl/drawings/drawing20.xml" ContentType="application/vnd.openxmlformats-officedocument.drawing+xml"/>
  <Override PartName="/xl/ctrlProps/ctrlProp128.xml" ContentType="application/vnd.ms-excel.controlproperties+xml"/>
  <Override PartName="/xl/drawings/drawing21.xml" ContentType="application/vnd.openxmlformats-officedocument.drawing+xml"/>
  <Override PartName="/xl/ctrlProps/ctrlProp129.xml" ContentType="application/vnd.ms-excel.controlproperties+xml"/>
  <Override PartName="/xl/drawings/drawing22.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omments1.xml" ContentType="application/vnd.openxmlformats-officedocument.spreadsheetml.comments+xml"/>
  <Override PartName="/xl/drawings/drawing23.xml" ContentType="application/vnd.openxmlformats-officedocument.drawing+xml"/>
  <Override PartName="/xl/drawings/drawing24.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25.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140.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ns1="http://schemas.openxmlformats.org/markup-compatibility/2006" xmlns:ns2="http://schemas.microsoft.com/office/spreadsheetml/2010/11/ac" xmlns:ns4="http://schemas.microsoft.com/office/spreadsheetml/2018/calcfeatures" xmlns:r="http://schemas.openxmlformats.org/officeDocument/2006/relationships" ns1:Ignorable="x15">
  <fileVersion appName="xl" lastEdited="6" lowestEdited="6" rupBuild="14420" codeName="{DD97A8EA-9A9A-E61F-A557-7D5A7D7259CE}"/>
  <workbookPr codeName="DieseArbeitsmappe"/>
  <ns1:AlternateContent>
    <ns1:Choice Requires="x15">
      <ns2:absPath url="C:\Users\praktikant2\Desktop\"/>
    </ns1:Choice>
  </ns1:AlternateContent>
  <bookViews>
    <workbookView xWindow="28695" yWindow="-105" windowWidth="29010" windowHeight="17490" tabRatio="801" firstSheet="2" activeTab="11"/>
  </bookViews>
  <sheets>
    <sheet name="Q" sheetId="1" state="hidden" r:id="rId1"/>
    <sheet name="Dblatt" sheetId="2" state="hidden" r:id="rId2"/>
    <sheet name="Allg" sheetId="5" r:id="rId3"/>
    <sheet name="Fläche" sheetId="6" r:id="rId4"/>
    <sheet name="Tierb" sheetId="7" r:id="rId5"/>
    <sheet name="Kennz" sheetId="8" r:id="rId6"/>
    <sheet name="BioKennz" sheetId="9" r:id="rId7"/>
    <sheet name="Fzukauf" sheetId="10" r:id="rId8"/>
    <sheet name="Ff" sheetId="11" r:id="rId9"/>
    <sheet name="FormE" sheetId="116" r:id="rId10"/>
    <sheet name="SB1" sheetId="13" r:id="rId11"/>
    <sheet name="SB2" sheetId="14" r:id="rId12"/>
    <sheet name="RH" sheetId="16" r:id="rId13"/>
    <sheet name="Gem1" sheetId="17" r:id="rId14"/>
    <sheet name="Gem2" sheetId="18" r:id="rId15"/>
    <sheet name="OB" sheetId="19" r:id="rId16"/>
    <sheet name="Hd" sheetId="23" r:id="rId17"/>
    <sheet name="HDA" sheetId="95" state="hidden" r:id="rId18"/>
    <sheet name="HDB" sheetId="96" state="hidden" r:id="rId19"/>
    <sheet name="HDC" sheetId="97" state="hidden" r:id="rId20"/>
    <sheet name="KLB" sheetId="103" r:id="rId21"/>
    <sheet name="VSB" sheetId="104" r:id="rId22"/>
    <sheet name="BDB" sheetId="119" r:id="rId23"/>
    <sheet name="LQB" sheetId="106" r:id="rId24"/>
    <sheet name="GMF" sheetId="112" r:id="rId25"/>
    <sheet name="PSB" sheetId="107" r:id="rId26"/>
    <sheet name="REB" sheetId="108" r:id="rId27"/>
    <sheet name="ÜGB" sheetId="109" r:id="rId28"/>
    <sheet name="SAK" sheetId="110" r:id="rId29"/>
    <sheet name="RED" sheetId="115" r:id="rId30"/>
    <sheet name="D_Fläche" sheetId="48" r:id="rId31"/>
    <sheet name="D_Tierb" sheetId="49" r:id="rId32"/>
    <sheet name="D_Gemüse1" sheetId="50" r:id="rId33"/>
    <sheet name="D_Gemüse2" sheetId="51" r:id="rId34"/>
    <sheet name="D_ObstBeeren" sheetId="52" r:id="rId35"/>
    <sheet name="D_Bsi" sheetId="53" state="hidden" r:id="rId36"/>
    <sheet name="D_Hd" sheetId="54" state="hidden" r:id="rId37"/>
    <sheet name="TG" sheetId="100" state="hidden" r:id="rId38"/>
    <sheet name="TW" sheetId="99" state="hidden" r:id="rId39"/>
    <sheet name="D_Klick" sheetId="56" state="hidden" r:id="rId40"/>
    <sheet name="Texte" sheetId="94" state="hidden" r:id="rId41"/>
    <sheet name="Dialog_Nb2" sheetId="57" state="hidden" r:id="rId42"/>
    <sheet name="Dialog_Gem1" sheetId="58" state="hidden" r:id="rId43"/>
    <sheet name="Dialog_Gem2" sheetId="59" state="hidden" r:id="rId44"/>
    <sheet name="Dialog_Obst" sheetId="60" state="hidden" r:id="rId45"/>
    <sheet name="Dialog_Beeren" sheetId="61" state="hidden" r:id="rId46"/>
    <sheet name="Dialog_GVE" sheetId="64" state="hidden" r:id="rId47"/>
    <sheet name="Dialog_Imp" sheetId="101" state="hidden" r:id="rId48"/>
    <sheet name="Dialog_Blatt" sheetId="62" state="hidden" r:id="rId49"/>
    <sheet name="Dialog_Drucken" sheetId="63" state="hidden" r:id="rId50"/>
    <sheet name="M_Blatt" sheetId="65" state="veryHidden" r:id=""/>
    <sheet name="M_Util" sheetId="66" state="veryHidden" r:id=""/>
    <sheet name="M_Blattwahl" sheetId="67" state="veryHidden" r:id=""/>
    <sheet name="M_Druck" sheetId="68" state="veryHidden" r:id=""/>
    <sheet name="M_Klick_App" sheetId="69" state="veryHidden" r:id=""/>
    <sheet name="M_Klick_Lib" sheetId="70" state="veryHidden" r:id=""/>
    <sheet name="M_Übernahme" sheetId="71" state="veryHidden" r:id=""/>
    <sheet name="M_Buttons_BV" sheetId="72" state="veryHidden" r:id=""/>
    <sheet name="M_Uebertragen_NW" sheetId="73" state="veryHidden" r:id=""/>
    <sheet name="M_Buttons_NW" sheetId="74" state="veryHidden" r:id=""/>
    <sheet name="M_Button_Hd" sheetId="75" state="veryHidden" r:id=""/>
    <sheet name="M_Uebertragen_Var" sheetId="76" state="veryHidden" r:id=""/>
    <sheet name="M_Uebertragen_BV" sheetId="77" state="veryHidden" r:id=""/>
    <sheet name="M_Aktualisieren" sheetId="78" state="veryHidden" r:id=""/>
    <sheet name="M_Uebertr_Util" sheetId="79" state="veryHidden" r:id=""/>
    <sheet name="M_Pauschal" sheetId="80" state="veryHidden" r:id=""/>
    <sheet name="M_Rindv_Tierb" sheetId="81" state="veryHidden" r:id=""/>
    <sheet name="M_Dlg_SB" sheetId="82" state="veryHidden" r:id=""/>
    <sheet name="M_Dlg_Gem" sheetId="83" state="veryHidden" r:id=""/>
    <sheet name="M_Dlg_OB" sheetId="84" state="veryHidden" r:id=""/>
    <sheet name="M_DZ" sheetId="85" state="veryHidden" r:id=""/>
    <sheet name="M_Dlg_GVE" sheetId="86" state="veryHidden" r:id=""/>
    <sheet name="M_Hofdung" sheetId="130" state="veryHidden" r:id=""/>
    <sheet name="M_Fehler" sheetId="131" state="veryHidden" r:id=""/>
    <sheet name="M_Pos" sheetId="132" state="veryHidden" r:id=""/>
    <sheet name="M_Entw" sheetId="133" state="veryHidden" r:id=""/>
    <sheet name="M_Uebertragen_GMF" sheetId="134" state="veryHidden" r:id=""/>
    <sheet name="M_ServiceUtils" sheetId="135" state="veryHidden" r:id=""/>
    <sheet name="M_Uebertragen_MuKu" sheetId="136" state="veryHidden" r:id=""/>
    <sheet name="M_AufteilenZonen" sheetId="137" state="veryHidden" r:id=""/>
  </sheets>
  <functionGroups builtInGroupCount="18"/>
  <definedNames>
    <definedName name="_xlnm._FilterDatabase" localSheetId="40" hidden="1">Texte!$A$6:$F$5433</definedName>
    <definedName name="Abschr_MK">#REF!</definedName>
    <definedName name="AbschrAuto">#REF!</definedName>
    <definedName name="AbUndZuSchlag" localSheetId="31">D_Tierb!$AD$9:$AD$32,D_Tierb!$AD$34:$AD$39,D_Tierb!$AD$41:$AD$50,D_Tierb!$AD$52:$AD$62,D_Tierb!$AD$64:$AD$72,D_Tierb!$AD$74:$AD$80</definedName>
    <definedName name="AbUndZuSchlag" localSheetId="24">GMF!$H$21:$H$37,GMF!$H$39:$H$47,GMF!$H$54:$H$59</definedName>
    <definedName name="AbUndZuSchlag" localSheetId="10">'SB1'!$H$17:$H$38</definedName>
    <definedName name="Abzug_Eink" localSheetId="39">D_Klick!$J$26</definedName>
    <definedName name="Abzug_SAK" localSheetId="39">D_Klick!$L$26</definedName>
    <definedName name="Abzug_Verm" localSheetId="39">D_Klick!$K$26</definedName>
    <definedName name="AbzugTage" localSheetId="31">D_Tierb!$M$9:$M$31,D_Tierb!$M$34:$M$39,D_Tierb!$M$41:$M$50,D_Tierb!$M$52:$M$62,D_Tierb!$M$64:$M$72,D_Tierb!$M$74:$M$80</definedName>
    <definedName name="AbzugTiere" localSheetId="31">D_Tierb!$L$9:$L$31,D_Tierb!$L$34:$L$39,D_Tierb!$L$41:$L$50,D_Tierb!$L$52:$L$62,D_Tierb!$L$64:$L$72,D_Tierb!$L$74:$L$80</definedName>
    <definedName name="AbZuTage" localSheetId="4">Tierb!$K$9:$K$31,Tierb!$K$33:$K$38,Tierb!$K$40:$K$49,Tierb!$K$52:$K$61,Tierb!$K$64:$K$71,Tierb!$K$73:$K$79</definedName>
    <definedName name="AbZuTiere" localSheetId="4">Tierb!$J$9:$J$31,Tierb!$J$33:$J$38,Tierb!$J$40:$J$49,Tierb!$J$52:$J$61,Tierb!$J$64:$J$71,Tierb!$J$73:$J$79</definedName>
    <definedName name="Ackerkultur" localSheetId="30">D_Fläche!$B$8:$B$26,D_Fläche!$B$30:$B$42,D_Fläche!$B$44:$B$46,D_Fläche!$B$49:$B$53,D_Fläche!$B$56,D_Fläche!$B$59:$B$67</definedName>
    <definedName name="Ackerkultur" localSheetId="11">'SB2'!$C$37:$C$43</definedName>
    <definedName name="AckerschonBtr" localSheetId="39">D_Klick!$L$12</definedName>
    <definedName name="AckerZusatz" localSheetId="30">D_Fläche!$C$59:$C$67,D_Fläche!$C$56,D_Fläche!$C$49:$C$53,D_Fläche!$C$44:$C$46,D_Fläche!$C$30:$C$42,D_Fläche!$C$8:$C$26,D_Fläche!$C$80</definedName>
    <definedName name="AckerZusatz" localSheetId="11">'SB2'!$D$37:$D$43</definedName>
    <definedName name="AFP" localSheetId="4">Tierb!$W$63</definedName>
    <definedName name="AllgKo">#REF!</definedName>
    <definedName name="Alp_GVE" localSheetId="4">Tierb!$AB$9:$AB$31</definedName>
    <definedName name="AnbauBtr_Faser" localSheetId="39">D_Klick!$V$12</definedName>
    <definedName name="AnbauBtr_Körnerleg" localSheetId="39">D_Klick!$T$12</definedName>
    <definedName name="AnbauBtr_Oel" localSheetId="39">D_Klick!$U$12</definedName>
    <definedName name="AnbauBtr_ZR" localSheetId="39">D_Klick!$S$12</definedName>
    <definedName name="AnbaumethListe" localSheetId="39">D_Klick!$H$63:$I$66</definedName>
    <definedName name="Anz_MuKu" localSheetId="4">Tierb!$G$17</definedName>
    <definedName name="Anz_MuKu_K1" localSheetId="4">Tierb!$G$18</definedName>
    <definedName name="Anz_MuKu_K21" localSheetId="4">Tierb!$G$19</definedName>
    <definedName name="Anz_MuKu_K22" localSheetId="4">Tierb!$G$20</definedName>
    <definedName name="Anz_MuKu_K23" localSheetId="4">Tierb!$G$21</definedName>
    <definedName name="Anzahl" localSheetId="17">HDA!$G:$G,HDA!$AD:$AD</definedName>
    <definedName name="Anzahl" localSheetId="19">HDC!$C:$C</definedName>
    <definedName name="Anzahl" localSheetId="4">Tierb!$G$9:$G$31,Tierb!$G$33:$G$38,Tierb!$G$40:$G$49,Tierb!$G$52:$G$61,Tierb!$G$64:$G$71,Tierb!$G$73:$G$79</definedName>
    <definedName name="Anzahl_Alp" localSheetId="4">Tierb!$BT$11:$BT$18</definedName>
    <definedName name="Anzahl_Betrieb" localSheetId="4">Tierb!$BR$11:$BR$18</definedName>
    <definedName name="AnzahlKorr" localSheetId="17">HDA!$S:$S,HDA!$AP:$AP</definedName>
    <definedName name="AnzahlKorr" localSheetId="19">HDC!$D:$D</definedName>
    <definedName name="AnzEinh" localSheetId="18">HDB!$G$8:$G$24,HDB!$H$8:$H$24,HDB!$I$8:$I$24</definedName>
    <definedName name="AnzEinh" localSheetId="4">Tierb!$G$9:$G$16,Tierb!$G$25:$G$29</definedName>
    <definedName name="AnzEinh_BZwMuKu" localSheetId="4">Tierb!$G$22:$G$24</definedName>
    <definedName name="AnzEinh_MuKu" localSheetId="4">Tierb!$G$17:$G$18</definedName>
    <definedName name="AnzKorrigiert" localSheetId="31">D_Tierb!$H$9:$H$32,D_Tierb!$H$34:$H$39,D_Tierb!$H$41:$H$50,D_Tierb!$H$52:$H$62,D_Tierb!$H$64:$H$72,D_Tierb!$H$74:$H$80</definedName>
    <definedName name="AnzKorrigiert" localSheetId="24">GMF!$I$21:$I$37,GMF!$I$39:$I$47,GMF!$I$54:$I$59</definedName>
    <definedName name="AnzKorrigiert" localSheetId="10">'SB1'!$I$17:$I$38</definedName>
    <definedName name="AnzKorrZeile1" localSheetId="24">GMF!$I$21</definedName>
    <definedName name="AnzMikuKorr" localSheetId="4">Tierb!$L$9</definedName>
    <definedName name="AnzTeilfchListe" localSheetId="39">D_Klick!$B$55:$B$63</definedName>
    <definedName name="AnzTiere" localSheetId="31">D_Tierb!$Y$9:$Y$31,D_Tierb!$Y$34:$Y$39,D_Tierb!$Y$41:$Y$50,D_Tierb!$Y$52:$Y$62,D_Tierb!$Y$64:$Y$72</definedName>
    <definedName name="AnzUnkorr" localSheetId="31">D_Tierb!$G$9:$G$32,D_Tierb!$G$34:$G$39,D_Tierb!$G$41:$G$50,D_Tierb!$G$52:$G$62,D_Tierb!$G$64:$G$72,D_Tierb!$G$74:$G$80</definedName>
    <definedName name="AnzUnkorr" localSheetId="24">GMF!$G$21:$G$37,GMF!$G$39:$G$47,GMF!$G$54:$G$59</definedName>
    <definedName name="AnzUnkorr" localSheetId="10">'SB1'!$G$17:$G$38</definedName>
    <definedName name="ArbDritte">#REF!</definedName>
    <definedName name="AS_LS_Liste" localSheetId="39">D_Klick!$B$66:$B$68</definedName>
    <definedName name="AufteilenZonen" localSheetId="22">BDB!$Y$11</definedName>
    <definedName name="AufteilenZonen" localSheetId="20">KLB!$R$8</definedName>
    <definedName name="AufteilenZonen" localSheetId="21">VSB!$T$24</definedName>
    <definedName name="AufzRinder_2_3j" localSheetId="4">Tierb!$B$14</definedName>
    <definedName name="AusblendSpalte" localSheetId="37">TG!$M:$M</definedName>
    <definedName name="AusblendSpalten" localSheetId="2">Allg!$H:$J</definedName>
    <definedName name="AusblendSpalten" localSheetId="22">BDB!$Y:$AB</definedName>
    <definedName name="AusblendSpalten" localSheetId="30">D_Fläche!$O:$O,D_Fläche!$Q:$X</definedName>
    <definedName name="AusblendSpalten" localSheetId="32">D_Gemüse1!$C:$C</definedName>
    <definedName name="AusblendSpalten" localSheetId="33">D_Gemüse2!$C:$C</definedName>
    <definedName name="AusblendSpalten" localSheetId="36">D_Hd!$X:$IV</definedName>
    <definedName name="AusblendSpalten" localSheetId="34">D_ObstBeeren!$C:$C</definedName>
    <definedName name="AusblendSpalten" localSheetId="31">D_Tierb!$E:$E,D_Tierb!$A:$A,D_Tierb!$BK:$BL</definedName>
    <definedName name="AusblendSpalten" localSheetId="3">Fläche!$Q:$T</definedName>
    <definedName name="AusblendSpalten" localSheetId="24">GMF!$U:$U,GMF!$W:$AE</definedName>
    <definedName name="AusblendSpalten" localSheetId="16">Hd!$A:$A</definedName>
    <definedName name="AusblendSpalten" localSheetId="17">HDA!$F:$F,HDA!$S:$S,HDA!$V:$V,HDA!$Z:$AA,HDA!$AP:$AP,HDA!$AS:$AS,HDA!$AW:$AX,HDA!$M:$P,HDA!$AJ:$AM</definedName>
    <definedName name="AusblendSpalten" localSheetId="19">HDC!$I:$V</definedName>
    <definedName name="AusblendSpalten" localSheetId="5">Kennz!$H:$H</definedName>
    <definedName name="AusblendSpalten" localSheetId="20">KLB!$R:$R</definedName>
    <definedName name="AusblendSpalten" localSheetId="25">PSB!$W:$Z</definedName>
    <definedName name="AusblendSpalten" localSheetId="26">REB!$T:$U</definedName>
    <definedName name="AusblendSpalten" localSheetId="29">RED!$Q:$R</definedName>
    <definedName name="AusblendSpalten" localSheetId="10">'SB1'!$Z:$Z</definedName>
    <definedName name="AusblendSpalten" localSheetId="11">'SB2'!$M:$M,'SB2'!$W:$W,'SB2'!$X:$Y</definedName>
    <definedName name="AusblendSpalten" localSheetId="4">Tierb!$A:$A,Tierb!$E:$E,Tierb!$U:$CL</definedName>
    <definedName name="AusblendSpalten" localSheetId="27">ÜGB!$R:$Z</definedName>
    <definedName name="AusblendSpalten" localSheetId="21">VSB!$T:$T</definedName>
    <definedName name="AusblendZeilen" localSheetId="2">Allg!$29:$33,Allg!$39:$42</definedName>
    <definedName name="AusblendZeilen" localSheetId="22">BDB!$61:$68,BDB!$38:$38,BDB!$36:$36</definedName>
    <definedName name="AusblendZeilen" localSheetId="31">D_Tierb!$39:$39,D_Tierb!$26:$26,D_Tierb!$50:$50</definedName>
    <definedName name="AusblendZeilen" localSheetId="9">FormE!$17:$17,FormE!$24:$24</definedName>
    <definedName name="AusblendZeilen" localSheetId="24">GMF!$167:$172</definedName>
    <definedName name="AusblendZeilen" localSheetId="17">HDA!$26:$28,HDA!$30:$30,HDA!$52:$52</definedName>
    <definedName name="AusblendZeilen" localSheetId="5">Kennz!$35:$35,Kennz!$47:$48</definedName>
    <definedName name="AusblendZeilen" localSheetId="25">PSB!$103:$104</definedName>
    <definedName name="AusblendZeilen" localSheetId="26">REB!$58:$61,REB!$28:$42,REB!$8:$23</definedName>
    <definedName name="AusblendZeilen" localSheetId="29">RED!$33:$52</definedName>
    <definedName name="AusblendZeilen" localSheetId="28">SAK!$9:$9</definedName>
    <definedName name="AusblendZeilen" localSheetId="11">'SB2'!$37:$43,'SB2'!$45:$45,'SB2'!$55:$56,'SB2'!$76:$76,'SB2'!$87:$87</definedName>
    <definedName name="AusblendZeilen" localSheetId="4">Tierb!$22:$24,Tierb!$26:$26,Tierb!$49:$50,Tierb!$62:$62</definedName>
    <definedName name="AusblendZeilen_RindAnderes" localSheetId="17">HDA!$26:$28</definedName>
    <definedName name="AusblendZeilen3" localSheetId="2">Allg!$41:$42,Allg!$32:$33</definedName>
    <definedName name="AusblendZeilen4" localSheetId="2">Allg!$33:$33,Allg!$42:$42</definedName>
    <definedName name="AusblendZeilenLight" localSheetId="5">Kennz!$67:$69</definedName>
    <definedName name="AusblendZeilenRindAnderes" localSheetId="17">HDA!$34:$35</definedName>
    <definedName name="AusblendZeilenRindAnderes" localSheetId="4">Tierb!$30:$31</definedName>
    <definedName name="auswählen" localSheetId="0">Q!$F$85</definedName>
    <definedName name="AutoAb">#REF!</definedName>
    <definedName name="AutoRep">#REF!</definedName>
    <definedName name="BackupSpalten" localSheetId="24">GMF!$L$21,GMF!$L$21:$L$37,GMF!$L$39:$L$47,GMF!$S$21:$S$37,GMF!$S$39:$S$47</definedName>
    <definedName name="Bauzone" localSheetId="3">Fläche!$R$39</definedName>
    <definedName name="BDB_Basis_Fläche" localSheetId="3">SUM(Fläche!$E$9,Fläche!$E$25,Fläche!$E$39:$E$42,Fläche!$E$44:$E$45,Fläche!$E$48:$E$56,Fläche!$E$58:$E$65,Fläche!$E$67:$E$68,Fläche!$N$9,Fläche!$N$26,Fläche!$N$32,Fläche!$N$34:$N$35,Fläche!$N$37,-Fläche!$R$39,0.01*Fläche!Hochstamm)</definedName>
    <definedName name="Bedarf_Anfall" localSheetId="16">Hd!$I$13:$K$27</definedName>
    <definedName name="BeerenGewürz" localSheetId="3">Fläche!$E$41,Fläche!$E$42,Fläche!$E$62,Fläche!$E$63,Fläche!$E$64</definedName>
    <definedName name="BeitragsSumme" localSheetId="22">BDB!$V$50</definedName>
    <definedName name="BeitrGr1" localSheetId="4">Tierb!$AA$9:$AA$31,Tierb!$AA$33:$AA$38,Tierb!$AA$41:$AA$44,Tierb!$AA$52:$AA$53</definedName>
    <definedName name="BeitrGr1_oRi" localSheetId="4">Tierb!$AG$33:$AG$38,Tierb!$AG$41:$AG$44,Tierb!$AG$52:$AG$53</definedName>
    <definedName name="BeitrGr2" localSheetId="4">Tierb!$AA$40,Tierb!$AA$45:$AA$49,Tierb!$AA$54:$AA$59</definedName>
    <definedName name="BeitrGVE_tot" localSheetId="4">Tierb!$I$80</definedName>
    <definedName name="Berater" localSheetId="2">Allg!$C$19</definedName>
    <definedName name="BerFläche" localSheetId="3">SUM(Fläche!$E$9,Fläche!$E$25,Fläche!$E$39:$E$42,Fläche!$E$44:$E$45,Fläche!$E$48:$E$56,Fläche!$E$58:$E$65,Fläche!$E$67:$E$68,Fläche!$N$9,Fläche!$N$26,Fläche!$N$32,Fläche!$N$34:$N$36,Fläche!$N$37,-Fläche!$R$39)</definedName>
    <definedName name="Bestand_MuKJv1">#REF!</definedName>
    <definedName name="Bestand_MuKJv2">#REF!</definedName>
    <definedName name="Bestand_MuKSt2">#REF!</definedName>
    <definedName name="Beteiligt" localSheetId="31">D_Tierb!$BG$25,D_Tierb!$BG$60:$BG$61,D_Tierb!$BG$64:$BG$69</definedName>
    <definedName name="BetragBez" localSheetId="22">BDB!$T$50</definedName>
    <definedName name="Betriebsnummer" localSheetId="2">Allg!$G$4</definedName>
    <definedName name="BFF_ExtWiese" localSheetId="5">Kennz!$G$25</definedName>
    <definedName name="BFF_grün" localSheetId="3">Fläche!$N$10,Fläche!$N$11,Fläche!$N$14,Fläche!$N$15,Fläche!$N$37</definedName>
    <definedName name="BFF_Streue" localSheetId="5">Kennz!$G$27</definedName>
    <definedName name="BFF_WenigIntWiese" localSheetId="5">Kennz!$G$26</definedName>
    <definedName name="BG_Liste" localSheetId="39">D_Klick!$H$54:$I$59</definedName>
    <definedName name="BGIdx" localSheetId="2">Allg!$H$16</definedName>
    <definedName name="BlattKürzel" localSheetId="0">Q!$J$8:$J$79</definedName>
    <definedName name="BlattListe" localSheetId="0">Q!$B$126:$B$155</definedName>
    <definedName name="BlattRef" localSheetId="0">Q!$B$8:$B$79</definedName>
    <definedName name="BlattwahlNo" localSheetId="2">1</definedName>
    <definedName name="BlattwahlNo" localSheetId="22">18</definedName>
    <definedName name="BlattwahlNo" localSheetId="6">5</definedName>
    <definedName name="BlattwahlNo" localSheetId="35">0</definedName>
    <definedName name="BlattwahlNo" localSheetId="30">26</definedName>
    <definedName name="BlattwahlNo" localSheetId="32">28</definedName>
    <definedName name="BlattwahlNo" localSheetId="33">29</definedName>
    <definedName name="BlattwahlNo" localSheetId="36">0</definedName>
    <definedName name="BlattwahlNo" localSheetId="39">0</definedName>
    <definedName name="BlattwahlNo" localSheetId="34">30</definedName>
    <definedName name="BlattwahlNo" localSheetId="31">27</definedName>
    <definedName name="BlattwahlNo" localSheetId="1">0</definedName>
    <definedName name="BlattwahlNo" localSheetId="8">7</definedName>
    <definedName name="BlattwahlNo" localSheetId="3">2</definedName>
    <definedName name="BlattwahlNo" localSheetId="9">8</definedName>
    <definedName name="BlattwahlNo" localSheetId="7">6</definedName>
    <definedName name="BlattwahlNo" localSheetId="13">12</definedName>
    <definedName name="BlattwahlNo" localSheetId="14">13</definedName>
    <definedName name="BlattwahlNo" localSheetId="24">20</definedName>
    <definedName name="BlattwahlNo" localSheetId="16">15</definedName>
    <definedName name="BlattwahlNo" localSheetId="17">0</definedName>
    <definedName name="BlattwahlNo" localSheetId="18">0</definedName>
    <definedName name="BlattwahlNo" localSheetId="19">0</definedName>
    <definedName name="BlattwahlNo" localSheetId="5">4</definedName>
    <definedName name="BlattwahlNo" localSheetId="20">16</definedName>
    <definedName name="BlattwahlNo" localSheetId="23">19</definedName>
    <definedName name="BlattwahlNo" localSheetId="15">14</definedName>
    <definedName name="BlattwahlNo" localSheetId="25">21</definedName>
    <definedName name="BlattwahlNo" localSheetId="0">1</definedName>
    <definedName name="BlattwahlNo" localSheetId="26">22</definedName>
    <definedName name="BlattwahlNo" localSheetId="29">25</definedName>
    <definedName name="BlattwahlNo" localSheetId="12">11</definedName>
    <definedName name="BlattwahlNo" localSheetId="28">24</definedName>
    <definedName name="BlattwahlNo" localSheetId="10">9</definedName>
    <definedName name="BlattwahlNo" localSheetId="11">10</definedName>
    <definedName name="BlattwahlNo" localSheetId="40">0</definedName>
    <definedName name="BlattwahlNo" localSheetId="37">0</definedName>
    <definedName name="BlattwahlNo" localSheetId="4">3</definedName>
    <definedName name="BlattwahlNo" localSheetId="38">0</definedName>
    <definedName name="BlattwahlNo" localSheetId="27">23</definedName>
    <definedName name="BlattwahlNo" localSheetId="21">17</definedName>
    <definedName name="BTS_Gefl1" localSheetId="39">D_Klick!$F$30</definedName>
    <definedName name="BTS_Gefl2" localSheetId="39">D_Klick!$G$30</definedName>
    <definedName name="BTS_Schw" localSheetId="39">D_Klick!$E$30</definedName>
    <definedName name="BTS_WK" localSheetId="39">D_Klick!$C$30</definedName>
    <definedName name="BuntbracheBtr" localSheetId="39">D_Klick!$I$12</definedName>
    <definedName name="BV" localSheetId="0">Q!$F$3</definedName>
    <definedName name="BV_L" localSheetId="0">Q!$F$5</definedName>
    <definedName name="chk_LH" localSheetId="31">D_Tierb!$BQ$32</definedName>
    <definedName name="chk_W" localSheetId="31">D_Tierb!$BR$32</definedName>
    <definedName name="Christbaum" localSheetId="3">Fläche!$E$66</definedName>
    <definedName name="CorrByCon" localSheetId="39">D_Klick!$C$181</definedName>
    <definedName name="D_K_Gehalt" localSheetId="11">'SB2'!$P$77:$P$87</definedName>
    <definedName name="D_Mg_Gehalt" localSheetId="11">'SB2'!$Q$77:$Q$87</definedName>
    <definedName name="D_N_Gehalt" localSheetId="11">'SB2'!$N$77:$N$87</definedName>
    <definedName name="D_P_Gehalt" localSheetId="11">'SB2'!$O$77:$O$87</definedName>
    <definedName name="Datum" localSheetId="2">Allg!$C$58</definedName>
    <definedName name="Dauerkulturen" localSheetId="3">Fläche!$E$57</definedName>
    <definedName name="DBM_sichtbar" localSheetId="4">Tierb!$X$3</definedName>
    <definedName name="DBProMuKu">#REF!</definedName>
    <definedName name="DBT_sichtbar" localSheetId="4">Tierb!$W$3</definedName>
    <definedName name="DGVE_Fakt" localSheetId="39">D_Klick!$C$183</definedName>
    <definedName name="DGVE_Faktor" localSheetId="16">Hd!$G$13:$G$27</definedName>
    <definedName name="DGVE_Faktor" localSheetId="17">HDA!$E:$E</definedName>
    <definedName name="DGVE_Faktor" localSheetId="19">HDC!$H:$H</definedName>
    <definedName name="DK" localSheetId="3">Fläche!$E$57</definedName>
    <definedName name="DlgNb2_in_FS_umwandeln" localSheetId="47">Dialog_GVE!DlgNb2_in_FS_umwandeln</definedName>
    <definedName name="DlgNb2_in_FS_umwandeln" localSheetId="41">Dialog_GVE!DlgNb2_in_FS_umwandeln</definedName>
    <definedName name="DlgNb2_in_TS_umwandeln" localSheetId="47">Dialog_GVE!DlgNb2_in_TS_umwandeln</definedName>
    <definedName name="DlgNb2_in_TS_umwandeln" localSheetId="41">Dialog_GVE!DlgNb2_in_TS_umwandeln</definedName>
    <definedName name="_xlnm.Print_Area" localSheetId="2">Allg!$B$1:$G$58</definedName>
    <definedName name="_xlnm.Print_Area" localSheetId="22">BDB!$A$1:$W$83</definedName>
    <definedName name="_xlnm.Print_Area" localSheetId="6">BioKennz!$B$1:$L$51</definedName>
    <definedName name="_xlnm.Print_Area" localSheetId="35">D_Bsi!$B$1:$G$57</definedName>
    <definedName name="_xlnm.Print_Area" localSheetId="30">D_Fläche!$B$1:$P$110</definedName>
    <definedName name="_xlnm.Print_Area" localSheetId="32">D_Gemüse1!$B$1:$G$71</definedName>
    <definedName name="_xlnm.Print_Area" localSheetId="33">D_Gemüse2!$B$1:$G$31</definedName>
    <definedName name="_xlnm.Print_Area" localSheetId="36">D_Hd!$B$1:$F$320</definedName>
    <definedName name="_xlnm.Print_Area" localSheetId="39">D_Klick!$B$1:$AF$87</definedName>
    <definedName name="_xlnm.Print_Area" localSheetId="34">D_ObstBeeren!$B$1:$G$40</definedName>
    <definedName name="_xlnm.Print_Area" localSheetId="31">D_Tierb!$B$1:$AB$80</definedName>
    <definedName name="_xlnm.Print_Area" localSheetId="8">Ff!$B$1:$J$62</definedName>
    <definedName name="_xlnm.Print_Area" localSheetId="3">Fläche!$B$1:$P$69</definedName>
    <definedName name="_xlnm.Print_Area" localSheetId="7">Fzukauf!$B$1:$I$63</definedName>
    <definedName name="_xlnm.Print_Area" localSheetId="13">'Gem1'!$B$1:$P$57</definedName>
    <definedName name="_xlnm.Print_Area" localSheetId="14">'Gem2'!$B$1:$P$57</definedName>
    <definedName name="_xlnm.Print_Area" localSheetId="24">GMF!$B$1:$T$68,GMF!$B$70:$T$142,GMF!$B$144:$T$178</definedName>
    <definedName name="_xlnm.Print_Area" localSheetId="16">Hd!$B$1:$N$69</definedName>
    <definedName name="_xlnm.Print_Area" localSheetId="17">HDA!$B$1:$AZ$81</definedName>
    <definedName name="_xlnm.Print_Area" localSheetId="18">HDB!$B$1:$L$27</definedName>
    <definedName name="_xlnm.Print_Area" localSheetId="19">HDC!$B$1:$AL$134</definedName>
    <definedName name="_xlnm.Print_Area" localSheetId="5">Kennz!$B$1:$J$69</definedName>
    <definedName name="_xlnm.Print_Area" localSheetId="20">KLB!$A$1:$P$75</definedName>
    <definedName name="_xlnm.Print_Area" localSheetId="23">LQB!$A$1:$S$59</definedName>
    <definedName name="_xlnm.Print_Area" localSheetId="15">OB!$B$1:$O$50</definedName>
    <definedName name="_xlnm.Print_Area" localSheetId="25">PSB!$A$1:$T$64,PSB!$A$66:$T$133</definedName>
    <definedName name="_xlnm.Print_Area" localSheetId="26">REB!$B$1:$R$79</definedName>
    <definedName name="_xlnm.Print_Area" localSheetId="29">RED!$A$1:$O$55</definedName>
    <definedName name="_xlnm.Print_Area" localSheetId="12">RH!$B$1:$O$68</definedName>
    <definedName name="_xlnm.Print_Area" localSheetId="28">SAK!$A$1:$O$98</definedName>
    <definedName name="_xlnm.Print_Area" localSheetId="10">'SB1'!$A$1:$Y$97</definedName>
    <definedName name="_xlnm.Print_Area" localSheetId="11">'SB2'!$B$1:$U$126</definedName>
    <definedName name="_xlnm.Print_Area" localSheetId="37">TG!$B$2:$I$45</definedName>
    <definedName name="_xlnm.Print_Area" localSheetId="4">Tierb!$B$1:$T$61,Tierb!$B$63:$T$80</definedName>
    <definedName name="_xlnm.Print_Area" localSheetId="27">ÜGB!$B$1:$P$58</definedName>
    <definedName name="_xlnm.Print_Area" localSheetId="21">VSB!$B$1:$R$91</definedName>
    <definedName name="drucken" localSheetId="0">Q!$F$86</definedName>
    <definedName name="_xlnm.Print_Titles" localSheetId="19">HDC!$1:$2</definedName>
    <definedName name="DüngerEinheit" localSheetId="11">'SB2'!$H$77:$H$87</definedName>
    <definedName name="DüngerEinhListe" localSheetId="39">D_Klick!$B$34:$B$40</definedName>
    <definedName name="DüngerMenge" localSheetId="11">'SB2'!$J$77:$J$87</definedName>
    <definedName name="DüngerName" localSheetId="11">'SB2'!$D$77:$D$87</definedName>
    <definedName name="DüngerZeilenvorlage" localSheetId="11">'SB2'!$76:$76</definedName>
    <definedName name="DüngFaktoren" localSheetId="11">'SB2'!$J$55:$L$56</definedName>
    <definedName name="DungtypIdx" localSheetId="37">TG!$C:$C</definedName>
    <definedName name="DZ" localSheetId="0">Q!$F$6</definedName>
    <definedName name="DZ_Tit" localSheetId="0">Q!$J$6</definedName>
    <definedName name="DZLösch" localSheetId="4">Tierb!$U$9:$U$31</definedName>
    <definedName name="DZweiss" localSheetId="3">Fläche!$F$10:$H$24,Fläche!$F$26:$H$31,Fläche!$F$32:$F$37,Fläche!$F$44:$F$51,Fläche!$G$48:$H$48,Fläche!$O$19:$O$20,Fläche!$O$25</definedName>
    <definedName name="Eigenland" localSheetId="2">Allg!$C$43</definedName>
    <definedName name="EigenlandA" localSheetId="2">Allg!$C$39</definedName>
    <definedName name="EigenlandB" localSheetId="2">Allg!$C$40</definedName>
    <definedName name="EigenlandC" localSheetId="2">Allg!$C$41</definedName>
    <definedName name="EigenlandD" localSheetId="2">Allg!$C$42</definedName>
    <definedName name="EigenmieteG">#REF!</definedName>
    <definedName name="EigenmieteP_Li">#REF!</definedName>
    <definedName name="EigentumIdx" localSheetId="2">Allg!$H$17</definedName>
    <definedName name="EinAb">#REF!</definedName>
    <definedName name="EinblendZeilen" localSheetId="2">Allg!$20:$28</definedName>
    <definedName name="EinblendZeilenBio" localSheetId="5">Kennz!$50:$63</definedName>
    <definedName name="EinblendzeilenMuKu" localSheetId="17">HDA!$26:$28</definedName>
    <definedName name="EinblendZeilenMuKu" localSheetId="4">Tierb!$22:$24</definedName>
    <definedName name="Eingestreut" localSheetId="17">HDA!$H:$H,HDA!$AE:$AE</definedName>
    <definedName name="Eingestreut" localSheetId="19">HDC!$J:$J</definedName>
    <definedName name="Einheit" localSheetId="31">D_Tierb!$F$9:$F$32,D_Tierb!$F$34:$F$39,D_Tierb!$F$41:$F$50,D_Tierb!$F$52:$F$62,D_Tierb!$F$64:$F$72,D_Tierb!$F$74:$F$80</definedName>
    <definedName name="Einheit" localSheetId="24">GMF!$F$21:$F$37,GMF!$F$39:$F$47,GMF!$F$54:$F$59</definedName>
    <definedName name="Einheit" localSheetId="16">Hd!$E$13:$E$27</definedName>
    <definedName name="Einheit" localSheetId="10">'SB1'!$F$17:$F$38</definedName>
    <definedName name="Einheit" localSheetId="4">Tierb!$F$9:$F$31,Tierb!$F$33:$F$38,Tierb!$F$40:$F$49,Tierb!$F$52:$F$61,Tierb!$F$64:$F$71,Tierb!$F$73:$F$79</definedName>
    <definedName name="Einnahmen_Li">#REF!</definedName>
    <definedName name="EinRep">#REF!</definedName>
    <definedName name="Energie">#REF!</definedName>
    <definedName name="entsperren" localSheetId="0">Q!$F$88</definedName>
    <definedName name="eps">0.5</definedName>
    <definedName name="EquidListe1" localSheetId="39">D_Klick!$F$93:$J$95</definedName>
    <definedName name="EquidListe2" localSheetId="39">D_Klick!$F$97:$J$99</definedName>
    <definedName name="EquidListe3" localSheetId="39">D_Klick!$F$101:$J$103</definedName>
    <definedName name="EquidListe4" localSheetId="39">D_Klick!$F$105:$J$108</definedName>
    <definedName name="EquidListe5" localSheetId="39">D_Klick!$F$110:$J$113</definedName>
    <definedName name="EquidListe6" localSheetId="39">D_Klick!$F$115:$J$118</definedName>
    <definedName name="ErfassenPausch" localSheetId="22">BDB!$Y$50</definedName>
    <definedName name="Erfolg_nLW">#REF!</definedName>
    <definedName name="ErfolgNE">#REF!</definedName>
    <definedName name="Erntejahr" localSheetId="2">Allg!$G$6</definedName>
    <definedName name="ErnteJahrListe" localSheetId="39">D_Klick!$AA$16:$AA$22</definedName>
    <definedName name="Ertrag" localSheetId="30">D_Fläche!$M$8:$M$110</definedName>
    <definedName name="Ertrag" localSheetId="11">'SB2'!$J$10:$J$16,'SB2'!$J$20,'SB2'!$J$24:$J$28,'SB2'!$J$37:$J$43</definedName>
    <definedName name="Ertrag1" localSheetId="3">Fläche!$I$10:$I$24,Fläche!$I$26:$I$31,Fläche!$I$48</definedName>
    <definedName name="Ertrag2" localSheetId="3">Fläche!$P$10:$P$24,Fläche!$P$27:$P$31,Fläche!$P$34,Fläche!$P$44:$P$50</definedName>
    <definedName name="ErtragInt" localSheetId="11">'SB2'!$J$29</definedName>
    <definedName name="ErtragMittel" localSheetId="11">'SB2'!$J$28</definedName>
    <definedName name="ExtensoBtr" localSheetId="39">D_Klick!$M$12</definedName>
    <definedName name="ExtWiesenBtr" localSheetId="39">D_Klick!$F$12</definedName>
    <definedName name="f_MuKK_1" localSheetId="39">D_Klick!$R$88</definedName>
    <definedName name="f_MuKK_2" localSheetId="39">D_Klick!$S$88</definedName>
    <definedName name="F_Quot_2" localSheetId="39">D_Klick!$X$17</definedName>
    <definedName name="F_Quot_3" localSheetId="39">D_Klick!$X$18</definedName>
    <definedName name="F_Quot_4" localSheetId="39">D_Klick!$X$19</definedName>
    <definedName name="factNgesJungvieh" localSheetId="31">D_Tierb!$AF$11</definedName>
    <definedName name="factNgesMiKu" localSheetId="31">D_Tierb!$AF$9</definedName>
    <definedName name="factNgesNormal" localSheetId="31">D_Tierb!$AF$7</definedName>
    <definedName name="factNgesRed" localSheetId="31">D_Tierb!$AF$8</definedName>
    <definedName name="Faktor" localSheetId="4">Tierb!$H$9:$H$31,Tierb!$H$33:$H$38,Tierb!$H$40:$H$49,Tierb!$H$52:$H$61,Tierb!$H$64:$H$71,Tierb!$H$73:$H$79</definedName>
    <definedName name="Fax_Email" localSheetId="2">Allg!$G$12</definedName>
    <definedName name="FehlerBedingung" localSheetId="3">Fläche!$Q$10:$Q$24,Fläche!$Q$26:$Q$31,Fläche!$Q$48</definedName>
    <definedName name="FehlerGMF" localSheetId="25">PSB!$M$86</definedName>
    <definedName name="FehlerMarkieren" localSheetId="3">Fläche!$R$10:$R$24,Fläche!$R$26:$R$31,Fläche!$R$48</definedName>
    <definedName name="FehlerMeldung" localSheetId="3">Fläche!$S$10:$S$24,Fläche!$S$26:$S$31,Fläche!$S$48</definedName>
    <definedName name="Fehlermeldung" localSheetId="24">GMF!$H$10:$H$11</definedName>
    <definedName name="FehlerZellen" localSheetId="0">Q!$P$8</definedName>
    <definedName name="FHF" localSheetId="3">Fläche!$N$26</definedName>
    <definedName name="Finished" localSheetId="0">Q!$C$5</definedName>
    <definedName name="FL_BFF_grün_1" localSheetId="21">VSB!$I$17</definedName>
    <definedName name="FL_BFF_grün_2" localSheetId="21">VSB!$I$18</definedName>
    <definedName name="FL_BFF_grün_3" localSheetId="21">VSB!$I$19</definedName>
    <definedName name="FL_BFF_grün_4" localSheetId="21">VSB!$I$20</definedName>
    <definedName name="FL_BFF_grün_5" localSheetId="21">VSB!$I$21</definedName>
    <definedName name="FL_BFF_grün_6" localSheetId="21">VSB!$I$22</definedName>
    <definedName name="FL_BFF_grün_Summe" localSheetId="21">VSB!$I$23</definedName>
    <definedName name="FL_BFF_grün_Zonen" localSheetId="21">VSB!$I$17:$I$22</definedName>
    <definedName name="FL_KW_1" localSheetId="21">VSB!$G$17</definedName>
    <definedName name="FL_KW_2" localSheetId="21">VSB!$G$18</definedName>
    <definedName name="FL_KW_3" localSheetId="21">VSB!$G$19</definedName>
    <definedName name="FL_KW_4" localSheetId="21">VSB!$G$20</definedName>
    <definedName name="FL_KW_5" localSheetId="21">VSB!$G$21</definedName>
    <definedName name="FL_KW_6" localSheetId="21">VSB!$G$22</definedName>
    <definedName name="FL_KW_Summe" localSheetId="21">VSB!$G$23</definedName>
    <definedName name="FL_KW_Zonen" localSheetId="21">VSB!$G$17:$G$22</definedName>
    <definedName name="FL_NW_n_ÖA_1" localSheetId="21">VSB!$M$17</definedName>
    <definedName name="FL_NW_n_ÖA_2" localSheetId="21">VSB!$M$18</definedName>
    <definedName name="FL_NW_n_ÖA_3" localSheetId="21">VSB!$M$19</definedName>
    <definedName name="FL_NW_n_ÖA_4" localSheetId="21">VSB!$M$20</definedName>
    <definedName name="FL_NW_n_ÖA_5" localSheetId="21">VSB!$M$21</definedName>
    <definedName name="FL_NW_n_ÖA_6" localSheetId="21">VSB!$M$22</definedName>
    <definedName name="FL_NW_n_ÖA_Summe" localSheetId="21">VSB!$M$23</definedName>
    <definedName name="FL_NW_n_ÖA_Zonen" localSheetId="21">VSB!$M$17:$M$22</definedName>
    <definedName name="FL_oA_DK_1" localSheetId="21">VSB!$E$17</definedName>
    <definedName name="FL_oA_DK_2" localSheetId="21">VSB!$E$18</definedName>
    <definedName name="FL_oA_DK_3" localSheetId="21">VSB!$E$19</definedName>
    <definedName name="FL_oA_DK_4" localSheetId="21">VSB!$E$20</definedName>
    <definedName name="FL_oA_DK_5" localSheetId="21">VSB!$E$21</definedName>
    <definedName name="FL_oA_DK_6" localSheetId="21">VSB!$E$22</definedName>
    <definedName name="FL_oA_DK_Summe" localSheetId="21">VSB!$E$23</definedName>
    <definedName name="FL_oA_DK_Zonen" localSheetId="21">VSB!$E$17:$E$22</definedName>
    <definedName name="FL_Summe" localSheetId="20">KLB!$K$8</definedName>
    <definedName name="FL_Zone0" localSheetId="20">KLB!$K$9</definedName>
    <definedName name="FL_Zone1" localSheetId="20">KLB!$K$10</definedName>
    <definedName name="FL_Zone11" localSheetId="22">BDB!$F$13</definedName>
    <definedName name="FL_Zone12" localSheetId="22">BDB!$F$14</definedName>
    <definedName name="FL_Zone13" localSheetId="22">BDB!$F$15</definedName>
    <definedName name="FL_Zone14" localSheetId="22">BDB!$F$16</definedName>
    <definedName name="FL_Zone2" localSheetId="20">KLB!$K$11</definedName>
    <definedName name="FL_Zone21" localSheetId="22">BDB!$F$19</definedName>
    <definedName name="FL_Zone22" localSheetId="22">BDB!$F$20</definedName>
    <definedName name="FL_Zone23" localSheetId="22">BDB!$F$21</definedName>
    <definedName name="FL_Zone24" localSheetId="22">BDB!$F$22</definedName>
    <definedName name="FL_Zone3" localSheetId="20">KLB!$K$12</definedName>
    <definedName name="FL_Zone31" localSheetId="22">BDB!$F$25</definedName>
    <definedName name="FL_Zone32" localSheetId="22">BDB!$F$28</definedName>
    <definedName name="FL_Zone4" localSheetId="20">KLB!$K$13</definedName>
    <definedName name="FL_Zone5" localSheetId="20">KLB!$K$14</definedName>
    <definedName name="FL_Zonen" localSheetId="20">KLB!$K$9:$K$14</definedName>
    <definedName name="FL_Zonen1" localSheetId="22">BDB!$F$13:$F$16</definedName>
    <definedName name="FL_Zonen1Summe" localSheetId="22">BDB!$F$12</definedName>
    <definedName name="FL_Zonen2" localSheetId="22">BDB!$F$19:$F$22</definedName>
    <definedName name="FL_Zonen2Summe" localSheetId="22">BDB!$F$18</definedName>
    <definedName name="FL_Zonen3" localSheetId="22">BDB!$F$25:$F$28</definedName>
    <definedName name="FL_Zonen3Summe" localSheetId="22">BDB!$F$24</definedName>
    <definedName name="Fläche" localSheetId="30">D_Fläche!$N$8:$N$110</definedName>
    <definedName name="Fläche" localSheetId="11">'SB2'!$I$10:$I$16,'SB2'!$I$20,'SB2'!$I$24:$I$29,'SB2'!$I$37:$I$47,'SB2'!$I$55:$I$63</definedName>
    <definedName name="Fläche1" localSheetId="3">Fläche!$E$10:$E$22,Fläche!$E$26:$E$37,Fläche!$E$39:$E$56,Fläche!$E$58:$E$69</definedName>
    <definedName name="Fläche1Bis9.0" localSheetId="3">Fläche!$E$10:$E$22,Fläche!$E$26:$E$37,Fläche!$E$39:$E$54,Fläche!$E$58:$E$69</definedName>
    <definedName name="Fläche2" localSheetId="3">Fläche!$N$10:$N$25,Fläche!$N$27:$N$31,Fläche!$N$32:$N$36,Fläche!$N$39:$N$40,Fläche!$N$44:$N$53,Fläche!$Q$52:$Q$53</definedName>
    <definedName name="FlächeGMF" localSheetId="25">PSB!$M$83</definedName>
    <definedName name="FlächeMinusAckerSF" localSheetId="30">D_Fläche!$P$8:$P$110</definedName>
    <definedName name="FlächenBtr" localSheetId="39">D_Klick!$F$20</definedName>
    <definedName name="Flächenkonst" localSheetId="39">D_Klick!$L$22</definedName>
    <definedName name="Flächenziffer" localSheetId="39">D_Klick!$AM$12</definedName>
    <definedName name="FlächKonst" localSheetId="39">D_Klick!$T$21</definedName>
    <definedName name="Förderlim" localSheetId="39">D_Klick!$C$12</definedName>
    <definedName name="Fr_VbE">#REF!</definedName>
    <definedName name="FreilandListe" localSheetId="39">D_Klick!$D$41:$E$43</definedName>
    <definedName name="FutterGehalt" localSheetId="19">HDC!$C$6:$C$10,HDC!$D$6:$D$10,HDC!$E$6:$E$10,HDC!$D$12,HDC!$E$12</definedName>
    <definedName name="FutterGehaltStd" localSheetId="19">HDC!$AR$6:$AR$10,HDC!$AS$6:$AS$10,HDC!$AT$6:$AT$10,HDC!$AS$12,HDC!$AT$12</definedName>
    <definedName name="G" localSheetId="3">Fläche!$E$9</definedName>
    <definedName name="g_P" localSheetId="31">D_Tierb!$AJ$65:$AJ$70,D_Tierb!$AJ$74</definedName>
    <definedName name="g_RP" localSheetId="31">D_Tierb!$AI$65:$AI$70,D_Tierb!$AI$74</definedName>
    <definedName name="GebAb">#REF!</definedName>
    <definedName name="GebRep">#REF!</definedName>
    <definedName name="GeburtsJahr" localSheetId="2">Allg!$E$21:$E$35</definedName>
    <definedName name="Geflügel" localSheetId="31">D_Tierb!$B$74:$B$80</definedName>
    <definedName name="Geflügel" localSheetId="4">Tierb!$B$73:$B$79</definedName>
    <definedName name="Gem" localSheetId="3">Fläche!$E$38</definedName>
    <definedName name="GemKultur" localSheetId="35">D_Bsi!$G$7:$G$57</definedName>
    <definedName name="GL" localSheetId="3">Fläche!$N$9</definedName>
    <definedName name="GMF_Nr" localSheetId="0">Q!$D$6</definedName>
    <definedName name="GMF_Zone" localSheetId="39">D_Klick!$DC$12</definedName>
    <definedName name="Grenze_SAK" localSheetId="39">D_Klick!$I$26</definedName>
    <definedName name="Grenze1" localSheetId="39">D_Klick!$O$22</definedName>
    <definedName name="Grenze2" localSheetId="39">D_Klick!$P$22</definedName>
    <definedName name="Grenze3" localSheetId="39">D_Klick!$Q$22</definedName>
    <definedName name="GrubenNo" localSheetId="17">HDA!$AB:$AB,HDA!$AY:$AY</definedName>
    <definedName name="GrünbracheBtr" localSheetId="39">D_Klick!$V$12</definedName>
    <definedName name="Gülle" localSheetId="16">Hd!$K$13:$K$27</definedName>
    <definedName name="Gülle" localSheetId="37">TG!$D$8:$I$45</definedName>
    <definedName name="Gülle_Mt" localSheetId="17">HDA!$L$13:$L$80,HDA!$AI$13:$AI$80</definedName>
    <definedName name="Gülle_Mt" localSheetId="19">HDC!$L:$L</definedName>
    <definedName name="Gülle_Typ" localSheetId="17">HDA!$P$13:$P$80,HDA!$AM$13:$AM$80</definedName>
    <definedName name="Gülle_Typ" localSheetId="19">HDC!$P:$P</definedName>
    <definedName name="Gülle1Sys1" localSheetId="19">HDC!$21:$30</definedName>
    <definedName name="Gülle1Sys2" localSheetId="19">HDC!$32:$38</definedName>
    <definedName name="Gülle2Sys1" localSheetId="19">HDC!$53:$57</definedName>
    <definedName name="Gülle2Sys2" localSheetId="19">HDC!$59:$63</definedName>
    <definedName name="Gülle3Sys1" localSheetId="19">HDC!$78:$80</definedName>
    <definedName name="Gülle3Sys2" localSheetId="19">HDC!$82:$84</definedName>
    <definedName name="GüllegrubenListe" localSheetId="39">D_Klick!$B$99:$B$102</definedName>
    <definedName name="GülleNo" localSheetId="17">HDA!$P:$P,HDA!$AM:$AM</definedName>
    <definedName name="GültigAb_Nachweis" localSheetId="0">Q!$E$4</definedName>
    <definedName name="GültigAbErntejahr" localSheetId="0">Q!$C$4</definedName>
    <definedName name="GVE" localSheetId="31">D_Tierb!$AE$9:$AE$31,D_Tierb!$AE$34:$AE$39,D_Tierb!$AE$41:$AE$50,D_Tierb!$AE$52:$AE$62,D_Tierb!$AE$64:$AE$72,D_Tierb!$AE$74:$AE$80</definedName>
    <definedName name="GVE" localSheetId="24">GMF!$T$21:$T$37,GMF!$T$39:$T$47</definedName>
    <definedName name="GVE_aRfv" localSheetId="4">Tierb!$M$51</definedName>
    <definedName name="GVE_Gfl" localSheetId="4">Tierb!$M$72</definedName>
    <definedName name="GVE_KWK" localSheetId="4">Tierb!$M$39</definedName>
    <definedName name="GVE_Pf" localSheetId="4">Tierb!$M$32</definedName>
    <definedName name="GVE_Rv" localSheetId="4">Tierb!$M$8</definedName>
    <definedName name="GVE_Schw" localSheetId="4">Tierb!$M$63</definedName>
    <definedName name="H2O_S" localSheetId="17">HDA!$M$13:$M$80,HDA!$AJ$13:$AJ$80</definedName>
    <definedName name="H2O_S" localSheetId="19">HDC!$M:$M</definedName>
    <definedName name="H2O_W" localSheetId="17">HDA!$N$13:$N$80,HDA!$AK$13:$AK$80</definedName>
    <definedName name="H2O_W" localSheetId="19">HDC!$N:$N</definedName>
    <definedName name="ha_GVE" localSheetId="39">D_Klick!$AK$12</definedName>
    <definedName name="HangBtr18_35" localSheetId="39">D_Klick!$N$12</definedName>
    <definedName name="HangBtr35_" localSheetId="39">D_Klick!$O$12</definedName>
    <definedName name="HeckenBtr" localSheetId="39">D_Klick!$H$12</definedName>
    <definedName name="HennenListe" localSheetId="39">D_Klick!$F$89:$G$90</definedName>
    <definedName name="HF_Fläche" localSheetId="3">Fläche!$N$10:$N$25,Fläche!$N$27:$N$31,Fläche!$N$44:$N$47</definedName>
    <definedName name="HF_Fläche_B" localSheetId="3">Fläche!$E$23:$E$24</definedName>
    <definedName name="HF_Kultur" localSheetId="3">Fläche!$K$10:$K$25,Fläche!$K$27:$K$31,Fläche!$K$44:$K$47</definedName>
    <definedName name="HF_Kultur_B" localSheetId="3">Fläche!$B$23:$B$24</definedName>
    <definedName name="HF_Kultur2" localSheetId="3">Fläche!$L$10:$L$25,Fläche!$L$27:$L$31,Fläche!$L$44:$L$47</definedName>
    <definedName name="HF_Kultur2_B" localSheetId="3">Fläche!$C$23:$C$24</definedName>
    <definedName name="Hi_La_Alp_üZ_üS" localSheetId="4">Tierb!$I$40,Tierb!$I$45:$I$49,Tierb!$I$54:$I$59</definedName>
    <definedName name="HinweisPK" localSheetId="40">Texte!$A$3168</definedName>
    <definedName name="Hochstamm" localSheetId="3">Fläche!$N$54</definedName>
    <definedName name="HochstammBtr" localSheetId="39">D_Klick!$E$12</definedName>
    <definedName name="Hochstämme" localSheetId="3">Fläche!$B$75</definedName>
    <definedName name="HöheÜberMeer" localSheetId="2">Allg!$C$14</definedName>
    <definedName name="HornListe" localSheetId="39">D_Klick!$B$71:$B$73</definedName>
    <definedName name="Hypothekarzinsen_Li">#REF!</definedName>
    <definedName name="ID" localSheetId="17">"HDA"</definedName>
    <definedName name="ID" localSheetId="18">"HDB"</definedName>
    <definedName name="ID" localSheetId="19">"HDC"</definedName>
    <definedName name="ID">"nicht identifiziert"</definedName>
    <definedName name="inBetvorlight" localSheetId="0">Q!$D$8:$D$79</definedName>
    <definedName name="IndexFeb" localSheetId="35">D_Bsi!$E$7:$E$57</definedName>
    <definedName name="IndexNov" localSheetId="35">D_Bsi!$D$7:$D$57</definedName>
    <definedName name="inDirzahl" localSheetId="0">Q!$E$8:$E$79</definedName>
    <definedName name="Informatik">#REF!</definedName>
    <definedName name="Inhaltsverzeichnis" localSheetId="1">Dblatt!$C$12:$C$87</definedName>
    <definedName name="InitZelle" localSheetId="4">Tierb!$G$17</definedName>
    <definedName name="inNachweis" localSheetId="0">Q!$C$8:$C$79</definedName>
    <definedName name="Input_AendernLeistung" localSheetId="0">Q!$F$167</definedName>
    <definedName name="Input_Anpassen_Kühe" localSheetId="0">Q!$F$163</definedName>
    <definedName name="Input_AnzahlKühe" localSheetId="0">Q!$F$163</definedName>
    <definedName name="Input_EingabePW" localSheetId="0">Q!$F$168</definedName>
    <definedName name="Input_Kühe" localSheetId="0">Q!$F$162</definedName>
    <definedName name="Input_Kuhzahl" localSheetId="0">Q!$F$164</definedName>
    <definedName name="Input_Milchmenge" localSheetId="0">Q!$F$165</definedName>
    <definedName name="Input_MLautom" localSheetId="0">Q!$F$166</definedName>
    <definedName name="JahrListe1" localSheetId="39">D_Klick!$Q$31:$Q$37</definedName>
    <definedName name="JahrListe2" localSheetId="39">D_Klick!$R$30:$R$36</definedName>
    <definedName name="JaNeinListe" localSheetId="39">D_Klick!$B$49:$B$51</definedName>
    <definedName name="JaNeinPlusListe" localSheetId="39">D_Klick!$B$49:$C$51</definedName>
    <definedName name="JvFormeln" localSheetId="4">Tierb!$U$9:$U$16,Tierb!$U$25:$U$29</definedName>
    <definedName name="JVGVE_eff" localSheetId="4">Tierb!$BW$20</definedName>
    <definedName name="K_Bedarf" localSheetId="30">D_Fläche!$I$8:$I$83</definedName>
    <definedName name="K_Bedarf" localSheetId="11">'SB2'!$P$10:$P$20,'SB2'!$P$26:$P$29,'SB2'!$P$37:$P$43,'SB2'!$P$55:$P$56</definedName>
    <definedName name="K_Einh_Jahr" localSheetId="10">'SB1'!$O$17:$O$38</definedName>
    <definedName name="K_Equid" localSheetId="4">Tierb!$E$33:$E$38</definedName>
    <definedName name="K_FL" localSheetId="4">Tierb!$Q$65</definedName>
    <definedName name="K_ges" localSheetId="31">D_Tierb!$T$9:$T$32,D_Tierb!$T$34:$T$39,D_Tierb!$T$41:$T$50,D_Tierb!$T$52:$T$62,D_Tierb!$T$64:$T$72,D_Tierb!$T$74:$T$80</definedName>
    <definedName name="K_He" localSheetId="4">Tierb!$E$73</definedName>
    <definedName name="K_Jahr" localSheetId="10">'SB1'!$T$17:$T$38</definedName>
    <definedName name="K_KAG" localSheetId="4">Tierb!$E$10</definedName>
    <definedName name="K_MAK" localSheetId="4">Tierb!$E$17</definedName>
    <definedName name="K_MKK" localSheetId="4">Tierb!$E$19</definedName>
    <definedName name="K_MTR" localSheetId="4">Tierb!$E$76</definedName>
    <definedName name="K_Sch" localSheetId="4">Tierb!$E$40:$E$40</definedName>
    <definedName name="K_St" localSheetId="4">Tierb!$E$34</definedName>
    <definedName name="Kaninchen" localSheetId="31">D_Tierb!$B$60:$B$62</definedName>
    <definedName name="Kanton" localSheetId="2">Allg!$G$11</definedName>
    <definedName name="Kart_ZR" localSheetId="3">Fläche!$E$28:$E$31</definedName>
    <definedName name="Kartoffeln" localSheetId="3">Fläche!$E$28:$E$30</definedName>
    <definedName name="Kennnummer" localSheetId="31">D_Tierb!$A$9:$A$32,D_Tierb!$A$34:$A$39,D_Tierb!$A$41:$A$50,D_Tierb!$A$52:$A$62,D_Tierb!$A$64:$A$72,D_Tierb!$A$74:$A$80</definedName>
    <definedName name="Key" localSheetId="16">Hd!$A:$A</definedName>
    <definedName name="Key" localSheetId="17">HDA!$A:$A</definedName>
    <definedName name="Key" localSheetId="4">Tierb!$A$9:$A$31,Tierb!$A$33:$A$38,Tierb!$A$40:$A$49,Tierb!$A$52:$A$61,Tierb!$A$64:$A$71,Tierb!$A$73:$A$79</definedName>
    <definedName name="KF_Bereich" localSheetId="31">D_Tierb!$AL$15:$AN$26</definedName>
    <definedName name="KFutter" localSheetId="31">D_Tierb!$AL$9</definedName>
    <definedName name="kg_Nges" localSheetId="31">D_Tierb!$AZ$25,D_Tierb!$AZ$32,D_Tierb!$AZ$62,D_Tierb!$AZ$64:$AZ$72,D_Tierb!$AZ$75:$AZ$80</definedName>
    <definedName name="kg_Ntot" localSheetId="31">D_Tierb!$AY$25,D_Tierb!$AY$32,D_Tierb!$AY$62,D_Tierb!$AY$64:$AY$72,D_Tierb!$AY$75:$AY$80</definedName>
    <definedName name="kg_P2O5" localSheetId="31">D_Tierb!$BA$25,D_Tierb!$BA$32,D_Tierb!$BA$62,D_Tierb!$BA$64:$BA$72,D_Tierb!$BA$75:$BA$80</definedName>
    <definedName name="KgA" localSheetId="3">Fläche!$Q$38</definedName>
    <definedName name="KlickAnbaumeth" localSheetId="2">Allg!$C$15</definedName>
    <definedName name="KlickBG" localSheetId="2">Allg!$C$16</definedName>
    <definedName name="KlickDüngerEinh" localSheetId="11">'SB2'!$H$75:$H$87</definedName>
    <definedName name="KlickEigentum" localSheetId="2">Allg!$C$17</definedName>
    <definedName name="KlickEquid" localSheetId="4">Tierb!$D$33:$D$38</definedName>
    <definedName name="KlickFreiland" localSheetId="4">Tierb!$D$65</definedName>
    <definedName name="KlickGüllegrube" localSheetId="17">HDA!$AB$13:$AB$35,HDA!$AY$13:$AY$35,HDA!$AB$65:$AB$72,HDA!$AY$65:$AY$72,HDA!$AB$74:$AB$80,HDA!$AY$74:$AY$80</definedName>
    <definedName name="KlickGüllegrube" localSheetId="19">HDC!$AF$8:$AG$8</definedName>
    <definedName name="KlickHennen" localSheetId="4">Tierb!$D$73</definedName>
    <definedName name="KlickJahr" localSheetId="2">Allg!$G$6</definedName>
    <definedName name="KlickJahr1">#REF!</definedName>
    <definedName name="KlickJahr2">#REF!</definedName>
    <definedName name="KlickJaNein" localSheetId="17">HDA!$I$13:$I$35,HDA!$AF$13:$AF$35</definedName>
    <definedName name="KlickKuhAusmGalt" localSheetId="4">Tierb!$D$10</definedName>
    <definedName name="KlickMist" localSheetId="10">'SB1'!$X$55:$X$56,'SB1'!$X$59:$X$60</definedName>
    <definedName name="KlickMistplatz" localSheetId="17">HDA!$AC$13:$AC$35,HDA!$AC$37:$AC$41,HDA!$AC$43:$AC$52,HDA!$AC$54:$AC$63,HDA!$AC$65:$AC$72,HDA!$AC$74:$AC$80,HDA!$AZ$13:$AZ$35,HDA!$AZ$37:$AZ$41,HDA!$AZ$43:$AZ$52,HDA!$AZ$54:$AZ$63,HDA!$AZ$65:$AZ$72,HDA!$AZ$74:$AZ$80</definedName>
    <definedName name="KlickMistplatzK" localSheetId="19">HDC!$AH$9:$AI$9</definedName>
    <definedName name="KlickMistplatzS" localSheetId="19">HDC!$AH$8:$AI$8</definedName>
    <definedName name="KlickMTruten" localSheetId="4">Tierb!$D$76</definedName>
    <definedName name="KlickMutterkuh" localSheetId="4">Tierb!$D$17</definedName>
    <definedName name="KlickParz_Acker">#REF!</definedName>
    <definedName name="KlickParz_Futter">#REF!</definedName>
    <definedName name="KlickSilozone" localSheetId="2">Allg!$G$16</definedName>
    <definedName name="KlickStallsys" localSheetId="16">Hd!$D$13:$D$27</definedName>
    <definedName name="KlickStallSys" localSheetId="17">HDA!$H$13:$H$80,HDA!$AE$13:$AE$80</definedName>
    <definedName name="KlickStuten" localSheetId="4">Tierb!$D$34</definedName>
    <definedName name="KlickVerZukauf" localSheetId="24">GMF!$H$105:$H$114,GMF!$H$116:$H$118</definedName>
    <definedName name="KlickVollmist" localSheetId="10">'SB1'!$X$17:$X$38</definedName>
    <definedName name="KlickZonenEintlg" localSheetId="2">Allg!$G$15</definedName>
    <definedName name="KlickZukaufahFF" localSheetId="24">GMF!$H$110,GMF!$H$115,GMF!$H$119,GMF!$H$123</definedName>
    <definedName name="kmFremd">#REF!</definedName>
    <definedName name="kmNE">#REF!</definedName>
    <definedName name="kmPriv">#REF!</definedName>
    <definedName name="kmSatzAuto">#REF!</definedName>
    <definedName name="KörnerG" localSheetId="3">Fläche!$E$10:$E$22</definedName>
    <definedName name="Korr" localSheetId="3">Fläche!$N$12:$N$22</definedName>
    <definedName name="KorrekturGülle" localSheetId="19">HDC!$Y$43,HDC!$Y$68,HDC!$Y$89</definedName>
    <definedName name="KorrekturMist" localSheetId="19">HDC!$Y$112:$Y$113,HDC!$Y$132:$Y$133</definedName>
    <definedName name="KorrRep">#REF!</definedName>
    <definedName name="KostBtr" localSheetId="39">D_Klick!$AJ$12</definedName>
    <definedName name="KostenBtr_Grenze" localSheetId="39">D_Klick!$N$22</definedName>
    <definedName name="Kraftfutter" localSheetId="24">GMF!$L$21:$L$37,GMF!$L$39:$L$47</definedName>
    <definedName name="KraftfutterMiKu" localSheetId="24">GMF!$G$13</definedName>
    <definedName name="KraftfutterMiKu" localSheetId="10">'SB1'!$J$11</definedName>
    <definedName name="KraftfutterTotal" localSheetId="24">GMF!$M$21:$M$37,GMF!$M$39:$M$47</definedName>
    <definedName name="KuhAusmGaltListe" localSheetId="39">D_Klick!$F$72:$G$74</definedName>
    <definedName name="Kultur" localSheetId="3">Fläche!$B$10:$B$24,Fläche!$B$26:$B$37,Fläche!$B$39:$B$56,Fläche!$B$58:$B$69</definedName>
    <definedName name="Kultur" localSheetId="13">'Gem1'!$B$12:$B$56</definedName>
    <definedName name="Kultur" localSheetId="14">'Gem2'!$B$12:$B$56</definedName>
    <definedName name="KulturBeeren" localSheetId="15">OB!$B$35:$B$49</definedName>
    <definedName name="KulturenListe" localSheetId="35">D_Bsi!$B$7:$B$57</definedName>
    <definedName name="KulturObst" localSheetId="15">OB!$B$12:$B$25</definedName>
    <definedName name="KürzelListe" localSheetId="0">Q!$N$8:$N$79</definedName>
    <definedName name="Kürzung" localSheetId="39">D_Klick!$AM$25</definedName>
    <definedName name="KW" localSheetId="3">Fläche!$N$21:$N$25</definedName>
    <definedName name="LandwTotal" localSheetId="2">Allg!$G$43</definedName>
    <definedName name="Laufhofabzug" localSheetId="17">HDA!$V:$V,HDA!$AS:$AS</definedName>
    <definedName name="Laufhofabzug" localSheetId="19">HDC!$E:$E</definedName>
    <definedName name="LaufhofEinh" localSheetId="17">HDA!$T:$T,HDA!$AQ:$AQ</definedName>
    <definedName name="LaufhofJahre" localSheetId="31">D_Tierb!$X$9:$X$32,D_Tierb!$X$34:$X$39,D_Tierb!$X$41:$X$50,D_Tierb!$X$52:$X$62,D_Tierb!$X$64:$X$72,D_Tierb!$X$74:$X$80</definedName>
    <definedName name="LaufhofJahre" localSheetId="10">'SB1'!$V$17:$V$38</definedName>
    <definedName name="LaufhofTage" localSheetId="17">HDA!$U:$U,HDA!$AR:$AR</definedName>
    <definedName name="LE">#REF!</definedName>
    <definedName name="Legende" localSheetId="10">'SB1'!$Q$74:$Y$97</definedName>
    <definedName name="Leistung" localSheetId="31">D_Tierb!$D$9</definedName>
    <definedName name="LHP" localSheetId="4">Tierb!$Z$73:$Z$79</definedName>
    <definedName name="Liefer_nLW">#REF!</definedName>
    <definedName name="LieferAbschrP">#REF!</definedName>
    <definedName name="LieferBetrag">#REF!</definedName>
    <definedName name="LieferNE">#REF!</definedName>
    <definedName name="LNber" localSheetId="3">SUM(Fläche!$E$10:$E$24,Fläche!$E$26:$E$37,Fläche!$E$39:$E$43,Fläche!$E$44:$E$56,Fläche!$E$58:$E$69,Fläche!$N$10:$N$25,Fläche!$N$27:$N$32,Fläche!$N$34:$N$36,-Fläche!$R$39,Fläche!$N$37)</definedName>
    <definedName name="LNHangBeitrag" localSheetId="3">Fläche!$E$9,Fläche!$E$25,Fläche!$N$26,Fläche!$E$39:$E$42,Fläche!$E$44:$E$45,Fläche!$E$48:$E$56,Fläche!$E$59:$E$65,Fläche!$N$10:$N$13,Fläche!$N$17:$N$24,Fläche!$N$32,Fläche!$N$34</definedName>
    <definedName name="LNmitBauland" localSheetId="3">Fläche!$N$38</definedName>
    <definedName name="LöschGVE" localSheetId="24">GMF!$T$39:$T$47</definedName>
    <definedName name="LöschZellen" localSheetId="2">Allg!$C$21:$G$28</definedName>
    <definedName name="LöschZellen3" localSheetId="2">Allg!$C$32:$G$33,Allg!$C$41:$E$42</definedName>
    <definedName name="LöschZellen4" localSheetId="2">Allg!$C$33:$G$33,Allg!$C$42:$E$42</definedName>
    <definedName name="LöschZellenBG" localSheetId="2">Allg!$C$30:$G$33,Allg!$C$39:$E$42</definedName>
    <definedName name="lstEigentum" localSheetId="39">D_Klick!$B$303:$C$305</definedName>
    <definedName name="MaschAb">#REF!</definedName>
    <definedName name="MaschRep">#REF!</definedName>
    <definedName name="Mastkälber" localSheetId="31">D_Tierb!$B$25:$B$32</definedName>
    <definedName name="MastKälber" localSheetId="4">Tierb!$B$26</definedName>
    <definedName name="MastSW_GF" localSheetId="39">D_Klick!$F$215</definedName>
    <definedName name="MastTrutenListe" localSheetId="39">D_Klick!$F$68:$G$70</definedName>
    <definedName name="mBG" localSheetId="40">Texte!$A$3348</definedName>
    <definedName name="Mehrarbeit" localSheetId="39">D_Klick!$J$20</definedName>
    <definedName name="MelAb">#REF!</definedName>
    <definedName name="MelRep">#REF!</definedName>
    <definedName name="Menge" localSheetId="16">Hd!$F$13:$F$27</definedName>
    <definedName name="Mg_Bedarf" localSheetId="30">D_Fläche!$J$8:$J$83</definedName>
    <definedName name="Mg_Bedarf" localSheetId="11">'SB2'!$Q$10:$Q$20,'SB2'!$Q$26:$Q$29,'SB2'!$Q$37:$Q$43,'SB2'!$Q$55:$Q$56</definedName>
    <definedName name="Mg_Einh_Jahr" localSheetId="10">'SB1'!$P$17:$P$38</definedName>
    <definedName name="Mg_ges" localSheetId="31">D_Tierb!$U$9:$U$32,D_Tierb!$U$34:$U$39,D_Tierb!$U$41:$U$50,D_Tierb!$U$52:$U$62,D_Tierb!$U$64:$U$72,D_Tierb!$U$74:$U$80</definedName>
    <definedName name="Mg_Jahr" localSheetId="10">'SB1'!$U$17:$U$38</definedName>
    <definedName name="MHF" localSheetId="3">Fläche!$E$25</definedName>
    <definedName name="Miete_MK">#REF!</definedName>
    <definedName name="MietwertA">#REF!</definedName>
    <definedName name="MietwertD">#REF!</definedName>
    <definedName name="MietwertP">#REF!</definedName>
    <definedName name="MiKuh" localSheetId="4">Tierb!$G$9</definedName>
    <definedName name="Milch" localSheetId="31">D_Tierb!$D$9:$D$32,D_Tierb!$D$34:$D$39,D_Tierb!$D$41:$D$50,D_Tierb!$D$52:$D$62,D_Tierb!$D$64:$D$72,D_Tierb!$D$74:$D$80</definedName>
    <definedName name="Milch" localSheetId="24">GMF!$D$21:$D$47</definedName>
    <definedName name="Milch" localSheetId="10">'SB1'!$E$17:$E$38</definedName>
    <definedName name="MilchKont" localSheetId="2">Allg!$C$37</definedName>
    <definedName name="MilchkuhKraftfutter" localSheetId="24">GMF!$L$21</definedName>
    <definedName name="MilchkuhKraftfutterSöm" localSheetId="24">GMF!$S$21</definedName>
    <definedName name="Milchleistung" localSheetId="17">HDA!$C$13:$C$13</definedName>
    <definedName name="Milchmenge" localSheetId="16">Hd!$C$13:$C$27</definedName>
    <definedName name="MilchMenge" localSheetId="4">Tierb!$D$9</definedName>
    <definedName name="MilkQuant" localSheetId="31">D_Tierb!$D$9</definedName>
    <definedName name="MilkQuantGoat" localSheetId="39">D_Klick!$C$195</definedName>
    <definedName name="MilkQuantGoat" localSheetId="31">D_Tierb!$D$45</definedName>
    <definedName name="MilkQuantGoat" localSheetId="4">Tierb!$D$44</definedName>
    <definedName name="MIlkQuantGoatDiff" comment="Milk Quantity Goat Difference" localSheetId="39">D_Klick!$C$197</definedName>
    <definedName name="MilkQuantGoatStand" comment="Milk Quantity Goat Standard" localSheetId="39">D_Klick!$C$196</definedName>
    <definedName name="MilkQuantityDiff" localSheetId="39">D_Klick!$C$177</definedName>
    <definedName name="MilkQuantityStandard" localSheetId="39">D_Klick!$C$176</definedName>
    <definedName name="MilkQuantSheep" localSheetId="39">D_Klick!$C$185</definedName>
    <definedName name="MilkQuantSheep" localSheetId="31">D_Tierb!$D$41</definedName>
    <definedName name="MilkQuantSheep" localSheetId="4">Tierb!$D$40</definedName>
    <definedName name="MilkQuantSheepDiff" comment="Milk Quantity Sheep Difference" localSheetId="39">D_Klick!$C$187</definedName>
    <definedName name="MilkQuantSheepStand" comment="Milk Quantity Sheep Standard" localSheetId="39">D_Klick!$C$186</definedName>
    <definedName name="Mist" localSheetId="16">Hd!$J$13:$J$27</definedName>
    <definedName name="Mist_Mt" localSheetId="17">HDA!$K$13:$K$80,HDA!$AH$13:$AH$80</definedName>
    <definedName name="Mist_Mt" localSheetId="19">HDC!$K:$K</definedName>
    <definedName name="Mist_Typ" localSheetId="17">HDA!$O$13:$O$80,HDA!$AL$13:$AL$80</definedName>
    <definedName name="Mist_Typ" localSheetId="19">HDC!$O:$O</definedName>
    <definedName name="Mist1Sys1" localSheetId="19">HDC!$99:$103</definedName>
    <definedName name="Mist1Sys2" localSheetId="19">HDC!$105:$109</definedName>
    <definedName name="Mist2Sys1" localSheetId="19">HDC!$123:$125</definedName>
    <definedName name="Mist2Sys2" localSheetId="19">HDC!$127:$129</definedName>
    <definedName name="MistNo" localSheetId="17">HDA!$O:$O,HDA!$AL:$AL</definedName>
    <definedName name="MistplatzListe" localSheetId="39">D_Klick!$B$106:$B$108</definedName>
    <definedName name="MistplatzNo" localSheetId="17">HDA!$AC:$AC,HDA!$AZ:$AZ</definedName>
    <definedName name="MJ" localSheetId="31">D_Tierb!$AK$65:$AK$70,D_Tierb!$AK$74</definedName>
    <definedName name="MKälberListe" localSheetId="39">D_Klick!$F$81:$G$84</definedName>
    <definedName name="MKGVE_eff" localSheetId="4">Tierb!$BW$11</definedName>
    <definedName name="MKK_Platz" localSheetId="39">D_Klick!$W$52:$W$56</definedName>
    <definedName name="Msg_AKBilanz" localSheetId="0">Q!$F$157</definedName>
    <definedName name="Msg_AllgAngaben" localSheetId="0">Q!$F$94</definedName>
    <definedName name="Msg_Ausführen" localSheetId="0">Q!$F$184</definedName>
    <definedName name="Msg_Bereiche" localSheetId="0">Q!$F$117</definedName>
    <definedName name="Msg_DateiName" localSheetId="0">Q!$F$102</definedName>
    <definedName name="Msg_Dateiwahl" localSheetId="0">Q!$F$104</definedName>
    <definedName name="Msg_DatumFertig" localSheetId="0">Q!$F$112</definedName>
    <definedName name="Msg_DBMuKu" localSheetId="0">Q!$F$186</definedName>
    <definedName name="Msg_DlgValDel" localSheetId="0">Q!$F$195</definedName>
    <definedName name="Msg_Eingetragen" localSheetId="0">Q!$F$155</definedName>
    <definedName name="Msg_Erfolgsrechnung" localSheetId="0">Q!$F$161</definedName>
    <definedName name="Msg_Erntejahr" localSheetId="0">Q!$F$106</definedName>
    <definedName name="Msg_Erntejahr1" localSheetId="0">Q!$F$189</definedName>
    <definedName name="Msg_Erntejahr2" localSheetId="0">Q!$F$190</definedName>
    <definedName name="Msg_ErntejahrWahl" localSheetId="0">Q!$F$113</definedName>
    <definedName name="Msg_FalscheMappe" localSheetId="0">Q!$F$101</definedName>
    <definedName name="Msg_FeBuVers" localSheetId="0">Q!$F$116</definedName>
    <definedName name="Msg_Fehlerknopf" localSheetId="0">Q!$F$135</definedName>
    <definedName name="Msg_Fehlerkorrektur" localSheetId="0">Q!$F$134</definedName>
    <definedName name="Msg_FehlerMarkieren" localSheetId="0">Q!$F$128</definedName>
    <definedName name="Msg_FehlerMeldung" localSheetId="0">Q!$F$129</definedName>
    <definedName name="Msg_FehlerMldg" localSheetId="0">Q!$F$175</definedName>
    <definedName name="Msg_Feldbuch1" localSheetId="0">Q!$F$119</definedName>
    <definedName name="Msg_Feldbuch2" localSheetId="0">Q!$F$120</definedName>
    <definedName name="Msg_FlächenEintrag" localSheetId="0">Q!$F$122</definedName>
    <definedName name="Msg_FlächenErträge" localSheetId="0">Q!$F$121</definedName>
    <definedName name="Msg_Fortfahren" localSheetId="0">Q!$F$187</definedName>
    <definedName name="Msg_FutterflächenEintrag" localSheetId="0">Q!$F$151</definedName>
    <definedName name="Msg_GFKosten" localSheetId="0">Q!$F$159</definedName>
    <definedName name="Msg_GleicheMappe" localSheetId="0">Q!$F$98</definedName>
    <definedName name="Msg_Grassamen" localSheetId="0">Q!$F$118</definedName>
    <definedName name="Msg_Grube" localSheetId="0">Q!$F$171</definedName>
    <definedName name="Msg_Güllentrog" localSheetId="0">Q!$F$179</definedName>
    <definedName name="Msg_HF_ZF" localSheetId="0">Q!$F$150</definedName>
    <definedName name="Msg_Hinweis" localSheetId="0">Q!$F$194</definedName>
    <definedName name="Msg_HinweisSuiBi" localSheetId="0">Q!$F$123</definedName>
    <definedName name="Msg_Hofdüngeranfall" localSheetId="0">Q!$F$146</definedName>
    <definedName name="Msg_KeineZahl" localSheetId="0">Q!$F$139</definedName>
    <definedName name="Msg_KeinImport" localSheetId="0">Q!$F$100</definedName>
    <definedName name="Msg_Korrekturen" localSheetId="0">Q!$F$127</definedName>
    <definedName name="Msg_Kulturen_Tiere" localSheetId="0">Q!$F$154</definedName>
    <definedName name="Msg_Kulturfläche" localSheetId="0">Q!$F$158</definedName>
    <definedName name="Msg_LaufhofTiere" localSheetId="0">Q!$F$176</definedName>
    <definedName name="Msg_LöschBVL" localSheetId="0">Q!$F$110</definedName>
    <definedName name="Msg_LöschDZ" localSheetId="0">Q!$F$111</definedName>
    <definedName name="Msg_LöschNW" localSheetId="0">Q!$F$109</definedName>
    <definedName name="Msg_MehrereMappen" localSheetId="0">Q!$F$105</definedName>
    <definedName name="Msg_Mistplatz" localSheetId="0">Q!$F$180</definedName>
    <definedName name="Msg_MK_Zahl" localSheetId="0">Q!$F$136</definedName>
    <definedName name="Msg_MPlatz" localSheetId="0">Q!$F$172</definedName>
    <definedName name="Msg_NegativeZahl" localSheetId="0">Q!$F$140</definedName>
    <definedName name="Msg_NichtGeladen" localSheetId="0">Q!$F$99</definedName>
    <definedName name="Msg_NichtPositiv" localSheetId="0">Q!$F$142</definedName>
    <definedName name="Msg_NurBetvor" localSheetId="0">Q!$F$108</definedName>
    <definedName name="Msg_NurEineMappe" localSheetId="0">Q!$F$115</definedName>
    <definedName name="Msg_Objekte" localSheetId="0">Q!$F$182</definedName>
    <definedName name="Msg_Passwort" localSheetId="0">Q!$F$107</definedName>
    <definedName name="Msg_Platz_MK_K1" localSheetId="0">Q!$F$191</definedName>
    <definedName name="Msg_Platz_MK_K2" localSheetId="0">Q!$F$192</definedName>
    <definedName name="Msg_Position" localSheetId="0">Q!$F$183</definedName>
    <definedName name="Msg_Raufutterverzehrer" localSheetId="0">Q!$F$148</definedName>
    <definedName name="Msg_SeiteDrei" localSheetId="0">Q!$F$156</definedName>
    <definedName name="Msg_Sömmerung_Diff" localSheetId="0">Q!$F$193</definedName>
    <definedName name="Msg_Speichern" localSheetId="0">Q!$F$96</definedName>
    <definedName name="Msg_Stallsys" localSheetId="0">Q!$F$170</definedName>
    <definedName name="Msg_SuiBiRechnen" localSheetId="0">Q!$F$169</definedName>
    <definedName name="Msg_Tabelle_voll" localSheetId="0">Q!$F$160</definedName>
    <definedName name="Msg_TechPlan" localSheetId="0">Q!$F$95</definedName>
    <definedName name="Msg_TF_Markierung" localSheetId="0">Q!$F$130</definedName>
    <definedName name="Msg_TF_Meldung" localSheetId="0">Q!$F$131</definedName>
    <definedName name="Msg_Tierbestand" localSheetId="0">Q!$F$126</definedName>
    <definedName name="Msg_TiereEingetragen" localSheetId="0">Q!$F$145</definedName>
    <definedName name="Msg_Tiersumme" localSheetId="0">Q!$F$173</definedName>
    <definedName name="Msg_TSBilanz" localSheetId="0">Q!$F$152</definedName>
    <definedName name="Msg_Uebernahme" localSheetId="0">Q!$F$114</definedName>
    <definedName name="Msg_Umwandeln" localSheetId="0">Q!$F$138</definedName>
    <definedName name="Msg_Warnung" localSheetId="0">Q!$F$144</definedName>
    <definedName name="Msg_WeideTiere" localSheetId="0">Q!$F$177</definedName>
    <definedName name="Msg_WeitereMldg" localSheetId="0">Q!$F$174</definedName>
    <definedName name="Msg_Weiterfahren" localSheetId="0">Q!$F$185</definedName>
    <definedName name="Msg_WelcheMappe" localSheetId="0">Q!$F$103</definedName>
    <definedName name="Msg_WF_Zahl" localSheetId="0">Q!$F$147</definedName>
    <definedName name="Msg_Zeichen" localSheetId="0">Q!$F$97</definedName>
    <definedName name="Msg_Zeichenfolge" localSheetId="0">Q!$F$137</definedName>
    <definedName name="Msg_ZS_Markierung" localSheetId="0">Q!$F$132</definedName>
    <definedName name="Msg_ZS_Meldung" localSheetId="0">Q!$F$133</definedName>
    <definedName name="Msg_ZuvieleGattungen" localSheetId="0">Q!$F$125</definedName>
    <definedName name="Msg_ZuvieleKategorien" localSheetId="0">Q!$F$124</definedName>
    <definedName name="Msg_ZuvieleKulturen" localSheetId="0">Q!$F$149</definedName>
    <definedName name="Msg_ZuvieleTiere" localSheetId="0">Q!$F$143</definedName>
    <definedName name="Msg_ZuvieleZweige" localSheetId="0">Q!$F$153</definedName>
    <definedName name="Msg_ZuWegTiere" localSheetId="0">Q!$F$178</definedName>
    <definedName name="Msg_Zuweisung" localSheetId="0">Q!$F$181</definedName>
    <definedName name="MSP" localSheetId="4">Tierb!$Z$64:$Z$71</definedName>
    <definedName name="MuKu_BZw" localSheetId="4">Tierb!$G$17,Tierb!$G$18,Tierb!$G$22,Tierb!$G$23,Tierb!$G$24</definedName>
    <definedName name="MüssenDefSein" localSheetId="2">Allg!$G$6:$G$7,Allg!$C$9:$C$11,Allg!$C$15:$C$16,Allg!$G$15</definedName>
    <definedName name="MüssenDefSein" localSheetId="3">Fläche!$N$38</definedName>
    <definedName name="mussPosSein" localSheetId="2">Allg!$G$6,Allg!$C$14,Allg!$G$14,Allg!$C$37,Allg!$E$37,Allg!$G$37,Allg!$C$43,Allg!$E$43</definedName>
    <definedName name="mussPosSein" localSheetId="8">Ff!$D$27,Ff!$J$44,Ff!$I$57:$I$58</definedName>
    <definedName name="mussPosSein" localSheetId="3">Fläche!$E$10:$H$24,Fläche!$E$26:$H$31,Fläche!$E$32:$F$37,Fläche!$E$39:$E$69,Fläche!$F$44:$F$51,Fläche!$G$48:$H$48,Fläche!$O$37:$O$37,Fläche!$N$44:$N$56,Fläche!$O$44:$O$50,Fläche!$N$10:$N$40,Fläche!$O$10:$O$31,Fläche!$O$34</definedName>
    <definedName name="mussPosSein" localSheetId="13">'Gem1'!$D$12:$D$56,'Gem1'!$F$12:$F$56</definedName>
    <definedName name="mussPosSein" localSheetId="14">'Gem2'!$D$12:$D$56,'Gem2'!$F$12:$F$56</definedName>
    <definedName name="mussPosSein" localSheetId="5">Kennz!$G$16:$G$17,Kennz!$F$25:$F$29,Kennz!$F$37,Kennz!$G$43:$G$43,Kennz!$F$56,Kennz!$F$58,Kennz!$F$67</definedName>
    <definedName name="mussPosSein" localSheetId="15">OB!$D$12:$D$25,OB!$D$35:$D$49</definedName>
    <definedName name="mussPosSein" localSheetId="12">RH!$D$12:$D$26,RH!$D$29:$D$43,RH!$D$56:$D$67,RH!$M$56:$O$67,RH!$M$29:$O$43,RH!$M$12:$O$26,RH!$E$26:$H$26,RH!$E$43:$H$43</definedName>
    <definedName name="mussPosSein" localSheetId="11">'SB2'!$K$17:$K$18,'SB2'!$K$23,'SB2'!$N$23:$Q$23,'SB2'!$K$48:$K$49,'SB2'!$J$55:$L$56,'SB2'!$J$63:$Q$63,'SB2'!$J$75:$J$88,'SB2'!$N$75:$Q$87</definedName>
    <definedName name="mussPosSein" localSheetId="4">Tierb!$D$9,Tierb!$G$9:$H$31,Tierb!$K$9:$R$31,Tierb!$G$33:$H$38,Tierb!$K$33:$R$38,Tierb!$G$40:$H$49,Tierb!$K$40:$R$49,Tierb!$G$52:$H$61,Tierb!$K$52:$R$61,Tierb!$G$64:$H$71,Tierb!$K$64:$R$71,Tierb!$G$73:$H$79,Tierb!$K$73:$O$79</definedName>
    <definedName name="mussZahlSein" localSheetId="31">D_Tierb!$I$30:$I$31,D_Tierb!$Q$30:$U$31,D_Tierb!$I$50,D_Tierb!$Q$50:$U$50,D_Tierb!$I$64,D_Tierb!$I$66:$I$68,D_Tierb!$I$70:$I$71,D_Tierb!$Q$70:$U$71,D_Tierb!$Q$80:$U$80</definedName>
    <definedName name="mussZahlSein" localSheetId="16">Hd!$M$5,Hd!$I$13:$K$28,Hd!$F$28:$G$28,Hd!$M$34,Hd!$J$40:$J$45,Hd!$M$48,Hd!$J$49:$J$57,Hd!$N$64</definedName>
    <definedName name="mussZahlSein" localSheetId="5">Kennz!$F$67</definedName>
    <definedName name="mussZahlSein" localSheetId="11">'SB2'!$K$17:$K$18,'SB2'!$K$23,'SB2'!$N$23:$Q$23,'SB2'!$K$48:$K$49,'SB2'!$J$55:$L$56,'SB2'!$J$63:$Q$63,'SB2'!$J$75:$J$88,'SB2'!$N$75:$Q$87</definedName>
    <definedName name="mussZahlSein" localSheetId="4">Tierb!$J$9:$J$79</definedName>
    <definedName name="Mutterkuhkälber" localSheetId="4">Tierb!$B$19</definedName>
    <definedName name="MutterkuhListe" localSheetId="39">D_Klick!$F$76:$G$79</definedName>
    <definedName name="N_Bedarf" localSheetId="11">'SB2'!$N$17:$N$20,'SB2'!$N$26:$N$29,'SB2'!$N$48:$N$49,'SB2'!$N$55:$N$56</definedName>
    <definedName name="N_Einh_Jahr" localSheetId="10">'SB1'!$L$17:$L$38</definedName>
    <definedName name="N_Equid" localSheetId="4">Tierb!$A$33:$A$38</definedName>
    <definedName name="N_ges" localSheetId="31">D_Tierb!$R$9:$R$32,D_Tierb!$R$34:$R$39,D_Tierb!$R$41:$R$50,D_Tierb!$R$52:$R$62,D_Tierb!$R$64:$R$72,D_Tierb!$R$74:$R$80</definedName>
    <definedName name="N_UebrigeRFTiere" localSheetId="24">GMF!$V$39:$V$47</definedName>
    <definedName name="N_Umsatz" localSheetId="31">D_Tierb!$Q$9:$Q$32,D_Tierb!$Q$34:$Q$39,D_Tierb!$Q$41:$Q$50,D_Tierb!$Q$52:$Q$62,D_Tierb!$Q$64:$Q$72,D_Tierb!$Q$74:$Q$80</definedName>
    <definedName name="Namen" localSheetId="2">Allg!$C$21:$C$35</definedName>
    <definedName name="NameVorname" localSheetId="2">Allg!$C$9</definedName>
    <definedName name="Naturalien">#REF!</definedName>
    <definedName name="Nb2_DatenZurückschreiben" localSheetId="47">Dialog_GVE!Nb2_DatenZurückschreiben</definedName>
    <definedName name="Nb2_DatenZurückschreiben" localSheetId="41">Dialog_GVE!Nb2_DatenZurückschreiben</definedName>
    <definedName name="NE_EK" localSheetId="40">Texte!$A$3102</definedName>
    <definedName name="NE_Fam" localSheetId="0">Q!$F$54</definedName>
    <definedName name="Nebenprod2Zus" localSheetId="3">Fläche!$L$10:$L$24,Fläche!$L$27:$L$31,Fläche!$L$34,Fläche!$L$44:$L$50</definedName>
    <definedName name="Nebenprodukte1" localSheetId="3">Fläche!$B$26:$B$31,Fläche!$B$48</definedName>
    <definedName name="Nebenprodukte2" localSheetId="3">Fläche!$K$10:$K$24,Fläche!$K$27:$K$31,Fläche!$K$34,Fläche!$K$44:$K$50</definedName>
    <definedName name="Nfix_Bedarf" localSheetId="30">D_Fläche!$F$8:$F$83</definedName>
    <definedName name="Nges_Einh_Jahr" localSheetId="10">'SB1'!$M$17:$M$38</definedName>
    <definedName name="Nges_Jahr" localSheetId="10">'SB1'!$R$17:$R$38</definedName>
    <definedName name="NgesAnteil" localSheetId="10">'SB1'!$Z$17:$Z$38</definedName>
    <definedName name="NgesAnteilMist" localSheetId="10">'SB1'!$Z$55:$Z$56,'SB1'!$Z$59:$Z$60</definedName>
    <definedName name="NichtWeideTiere" localSheetId="31">D_Tierb!$B$74:$B$80</definedName>
    <definedName name="NichtWeideTiere" localSheetId="10">'SB1'!$B$35:$B$38</definedName>
    <definedName name="Nkorr_Bedarf" localSheetId="30">D_Fläche!$K$8:$K$83</definedName>
    <definedName name="Nkorr_Bedarf" localSheetId="11">'SB2'!$M$37:$M$43</definedName>
    <definedName name="Nkorr_Darst" localSheetId="30">D_Fläche!$L$8:$L$83</definedName>
    <definedName name="NKorr_Darst" localSheetId="11">'SB2'!$L$37:$L$43</definedName>
    <definedName name="NLW_Erfolg_nLW">#REF!</definedName>
    <definedName name="NLW_ErfolgNE">#REF!</definedName>
    <definedName name="NLW_Privat">#REF!</definedName>
    <definedName name="NST_Ab" localSheetId="4">Tierb!$Z$3</definedName>
    <definedName name="NW" localSheetId="0">Q!$F$4</definedName>
    <definedName name="NW_n_ÖA" localSheetId="3">Fläche!$N$12:$N$13,Fläche!$N$16:$N$20</definedName>
    <definedName name="NW_Tit" localSheetId="0">Q!$J$4</definedName>
    <definedName name="oA_DK_VSB" localSheetId="3">Fläche!$M$26,Fläche!$E$56,Fläche!$E$9,Fläche!$E$25,Fläche!$E$39:$E$42,Fläche!$E$44,Fläche!$E$49:$E$51,Fläche!$E$58:$E$64,Fläche!$E$67:$E$68,Fläche!$N$26</definedName>
    <definedName name="oAF_DKBtr" localSheetId="39">D_Klick!$G$20</definedName>
    <definedName name="oBG" localSheetId="40">Texte!$A$3347</definedName>
    <definedName name="Obstanlage" localSheetId="3">Fläche!$E$60</definedName>
    <definedName name="offeneAckerfläche" localSheetId="3">Fläche!$E$9,Fläche!$E$25,Fläche!$E$38,Fläche!$N$26</definedName>
    <definedName name="OGrenze" localSheetId="31">D_Tierb!$AN$27</definedName>
    <definedName name="OHB_Fläche" localSheetId="3">Fläche!$E$10:$E$24,Fläche!$E$26:$E$37,Fläche!$E$39:$E$42,Fläche!$E$44:$E$45,Fläche!$E$48:$E$56,Fläche!$E$58:$E$65,Fläche!$E$67:$E$68,Fläche!$N$10:$N$24,Fläche!$N$27:$N$32,Fläche!$N$34,Fläche!$N$37</definedName>
    <definedName name="OKGVE_eff" localSheetId="4">Tierb!$BW$13</definedName>
    <definedName name="ÖkonomieRep">#REF!</definedName>
    <definedName name="P_Bedarf" localSheetId="30">D_Fläche!$H$8:$H$83</definedName>
    <definedName name="P_Bedarf" localSheetId="11">'SB2'!$O$10:$O$20,'SB2'!$O$26:$O$29,'SB2'!$O$37:$O$43,'SB2'!$O$55:$O$56</definedName>
    <definedName name="P_Einh_Jahr" localSheetId="10">'SB1'!$N$17:$N$38</definedName>
    <definedName name="P_ges" localSheetId="31">D_Tierb!$S$9:$S$32,D_Tierb!$S$34:$S$39,D_Tierb!$S$41:$S$50,D_Tierb!$S$52:$S$62,D_Tierb!$S$64:$S$72,D_Tierb!$S$74:$S$80</definedName>
    <definedName name="P_Jahr" localSheetId="10">'SB1'!$S$17:$S$38</definedName>
    <definedName name="Pacht">#REF!</definedName>
    <definedName name="Pachtland" localSheetId="2">Allg!$E$43</definedName>
    <definedName name="PachtlandA" localSheetId="2">Allg!$E$39</definedName>
    <definedName name="PachtlandB" localSheetId="2">Allg!$E$40</definedName>
    <definedName name="PachtlandC" localSheetId="2">Allg!$E$41</definedName>
    <definedName name="PachtlandD" localSheetId="2">Allg!$E$42</definedName>
    <definedName name="Pachtzins">#REF!</definedName>
    <definedName name="Parz_AckerListe" localSheetId="39">D_Klick!$D$55:$D$58</definedName>
    <definedName name="Parz_FutterListe" localSheetId="39">D_Klick!$F$55:$F$57</definedName>
    <definedName name="PauschBetrag" localSheetId="22">BDB!$L$50</definedName>
    <definedName name="PauschBez" localSheetId="22">BDB!$AA$50</definedName>
    <definedName name="PBzg_1">#REF!</definedName>
    <definedName name="PBzg_2">#REF!</definedName>
    <definedName name="PBzg_3">#REF!</definedName>
    <definedName name="PBzg_4">#REF!</definedName>
    <definedName name="PBzg_5">#REF!</definedName>
    <definedName name="PBzg_6">#REF!</definedName>
    <definedName name="Personal">#REF!</definedName>
    <definedName name="Personalkosten">#REF!</definedName>
    <definedName name="PFIdx" localSheetId="2">Allg!$H$15</definedName>
    <definedName name="PLZ_Ort" localSheetId="2">Allg!$C$11</definedName>
    <definedName name="Privat">#REF!</definedName>
    <definedName name="Privatverbrauch">#REF!</definedName>
    <definedName name="ProgrammTyp" localSheetId="0">Q!$C$2</definedName>
    <definedName name="QualBtrHecken" localSheetId="39">D_Klick!$Z$12</definedName>
    <definedName name="QualBtrHochstamm" localSheetId="39">D_Klick!$Y$12</definedName>
    <definedName name="QualBtrReben" localSheetId="39">D_Klick!$AA$12</definedName>
    <definedName name="QualBtrWeiden" localSheetId="39">D_Klick!$X$12</definedName>
    <definedName name="QualBtrWiesen" localSheetId="39">D_Klick!$W$12</definedName>
    <definedName name="Raps" localSheetId="3">Fläche!$B$26,Fläche!$B$27,Fläche!$B$48</definedName>
    <definedName name="RapsKont" localSheetId="2">Allg!$E$37</definedName>
    <definedName name="RapsKuchen" localSheetId="40">Texte!$A$5297</definedName>
    <definedName name="RauBtr_Milch" localSheetId="39">D_Klick!$AD$25</definedName>
    <definedName name="RauBtr_Rind" localSheetId="39">D_Klick!$AB$25</definedName>
    <definedName name="RauBtr_übrige" localSheetId="39">D_Klick!$AC$25</definedName>
    <definedName name="RaufutterVerzehrer" localSheetId="31">D_Tierb!$B$9:$B$31,D_Tierb!$B$34:$B$39,D_Tierb!$B$41:$B$50,D_Tierb!$B$52:$B$61,D_Tierb!$B$64,D_Tierb!$B$66:$B$68,D_Tierb!$C$70:$C$71</definedName>
    <definedName name="RaufutterVerzehrer" localSheetId="4">Tierb!$B$9:$B$29,Tierb!$C$30:$C$31,Tierb!$B$33:$B$38,Tierb!$B$40:$B$48,Tierb!$C$49,Tierb!$B$52:$B$61,Tierb!$B$64,Tierb!$B$66:$B$68,Tierb!$C$70:$C$71</definedName>
    <definedName name="RAUS_Galtsauen" localSheetId="39">D_Klick!$D$26</definedName>
    <definedName name="RAUS_Gefl" localSheetId="39">D_Klick!$G$26</definedName>
    <definedName name="RAUS_Schw" localSheetId="39">D_Klick!$E$26</definedName>
    <definedName name="RAUS_WK" localSheetId="39">D_Klick!$C$26</definedName>
    <definedName name="RebBtr35_50" localSheetId="39">D_Klick!$P$12</definedName>
    <definedName name="RebBtr50" localSheetId="39">D_Klick!$Q$12</definedName>
    <definedName name="RebBtrTerr" localSheetId="39">D_Klick!$R$12</definedName>
    <definedName name="Reben" localSheetId="3">Fläche!$E$58</definedName>
    <definedName name="ReduktionDW" localSheetId="39">D_Klick!$F$12</definedName>
    <definedName name="Renten">#REF!</definedName>
    <definedName name="RentenVers">#REF!</definedName>
    <definedName name="reparieren" localSheetId="0">Q!$F$87</definedName>
    <definedName name="RGVE" localSheetId="4">Tierb!$AA$9:$AA$31,Tierb!$AA$33:$AA$38,Tierb!$AA$40:$AA$49,Tierb!$AA$52:$AA$59</definedName>
    <definedName name="RGVE_korr" localSheetId="4">Tierb!$M$9:$M$18,Tierb!$M$27:$M$31,Tierb!$M$33:$M$38,Tierb!$M$40:$M$49,Tierb!$M$52:$M$61</definedName>
    <definedName name="RGVE_oRi" localSheetId="4">Tierb!$AA$33:$AA$38,Tierb!$AA$40:$AA$49,Tierb!$AA$52:$AA$59</definedName>
    <definedName name="RGVE_tot" localSheetId="4">Tierb!$I$63</definedName>
    <definedName name="Ri_Pf_Bi_MZ_MS" localSheetId="4">Tierb!$I$9:$I$31,Tierb!$I$33:$I$38,Tierb!$I$41:$I$44,Tierb!$I$52:$I$53</definedName>
    <definedName name="RiAlle_Raus" localSheetId="25">PSB!$Y$111</definedName>
    <definedName name="RiAlle_Raus" localSheetId="4">Tierb!$V$8</definedName>
    <definedName name="RiGVE_Alp" localSheetId="4">Tierb!$BU$11:$BU$19</definedName>
    <definedName name="RiGVE_Betrieb" localSheetId="4">Tierb!$BS$11:$BS$19</definedName>
    <definedName name="RiGVE_BTS" localSheetId="4">Tierb!$CB$19</definedName>
    <definedName name="RiGVE_eff" localSheetId="4">Tierb!$BW$19</definedName>
    <definedName name="RiGVE_Faktor" localSheetId="4">Tierb!$BN$11:$BN$18</definedName>
    <definedName name="RiGVE_RAUS" localSheetId="4">Tierb!$CA$19</definedName>
    <definedName name="RiGVE_Söm" localSheetId="4">Tierb!$BU$19</definedName>
    <definedName name="RiGVE_Total" localSheetId="4">Tierb!$BW$11:$BW$19</definedName>
    <definedName name="RiMaALG" localSheetId="24">GMF!$S$14</definedName>
    <definedName name="RiMaALG" localSheetId="10">'SB1'!$Y$12</definedName>
    <definedName name="RiMaALG_SB" localSheetId="39">D_Klick!$D$212</definedName>
    <definedName name="RiMaTZW" localSheetId="24">GMF!$S$13</definedName>
    <definedName name="RiMaTZW" localSheetId="10">'SB1'!$Y$11</definedName>
    <definedName name="RiMaTZW_SB" localSheetId="39">D_Klick!$C$212</definedName>
    <definedName name="Rindvieh" localSheetId="31">D_Tierb!$B$9:$B$31</definedName>
    <definedName name="Rindvieh" localSheetId="24">GMF!$B$21:$B$37</definedName>
    <definedName name="RMastListe" localSheetId="39">D_Klick!$I$80:$J$82</definedName>
    <definedName name="RotatbracheBtr" localSheetId="39">D_Klick!$J$12</definedName>
    <definedName name="SAK_Beeren" localSheetId="39">D_Klick!$C$157</definedName>
    <definedName name="SAK_BioProz" localSheetId="39">D_Klick!$C$165</definedName>
    <definedName name="SAK_BioZschlg" localSheetId="39">D_Klick!$I$20</definedName>
    <definedName name="SAK_Brüsseler" localSheetId="39">D_Klick!$C$168</definedName>
    <definedName name="SAK_Champ" localSheetId="39">D_Klick!$C$167</definedName>
    <definedName name="SAK_Christ" localSheetId="39">D_Klick!$C$158</definedName>
    <definedName name="SAK_GHaus" localSheetId="39">D_Klick!$C$160</definedName>
    <definedName name="SAK_Hang" localSheetId="39">D_Klick!$C$148</definedName>
    <definedName name="SAK_Hochst" localSheetId="39">D_Klick!$C$151</definedName>
    <definedName name="SAK_Hochtunnel" localSheetId="39">D_Klick!$C$161</definedName>
    <definedName name="SAK_Kart" localSheetId="39">D_Klick!$C$156</definedName>
    <definedName name="SAK_Kelt" localSheetId="39">D_Klick!$C$159</definedName>
    <definedName name="SAK_LNoSpez" localSheetId="39">D_Klick!$C$145</definedName>
    <definedName name="SAK_LWnah" localSheetId="39">D_Klick!$C$172</definedName>
    <definedName name="SAK_Mast" localSheetId="39">D_Klick!$C$153</definedName>
    <definedName name="SAK_Milch" localSheetId="39">D_Klick!$C$152</definedName>
    <definedName name="SAK_MKSö" localSheetId="39">D_Klick!$C$163</definedName>
    <definedName name="SAK_NTSö" localSheetId="39">D_Klick!$C$164</definedName>
    <definedName name="SAK_Pilz" localSheetId="39">D_Klick!$C$166</definedName>
    <definedName name="SAK_ProdGarten" localSheetId="39">D_Klick!$C$170</definedName>
    <definedName name="SAK_Reb" localSheetId="39">D_Klick!$C$147</definedName>
    <definedName name="SAK_Selbstprod" localSheetId="39">D_Klick!$C$171</definedName>
    <definedName name="SAK_Spez" localSheetId="39">D_Klick!$C$146</definedName>
    <definedName name="SAK_Sprossen" localSheetId="39">D_Klick!$C$169</definedName>
    <definedName name="SAK_Steil" localSheetId="39">D_Klick!$C$149</definedName>
    <definedName name="SAK_Steilü50" localSheetId="39">D_Klick!$C$150</definedName>
    <definedName name="SAK_übrTier" localSheetId="39">D_Klick!$C$155</definedName>
    <definedName name="SAK_Wald" localSheetId="39">D_Klick!$C$162</definedName>
    <definedName name="SAK_Zucht" localSheetId="39">D_Klick!$C$154</definedName>
    <definedName name="SAKBasis" localSheetId="28">SAK!$Q$8</definedName>
    <definedName name="SaumBtr" localSheetId="39">D_Klick!$K$12</definedName>
    <definedName name="SaveGVE" localSheetId="24">GMF!$X$39:$X$47</definedName>
    <definedName name="SavePausch" localSheetId="22">BDB!$Z$50</definedName>
    <definedName name="SchafListe" localSheetId="39">D_Klick!$I$76:$J$78</definedName>
    <definedName name="Schweine" localSheetId="31">D_Tierb!$B$64:$B$72</definedName>
    <definedName name="Schweine" localSheetId="4">Tierb!$B$64:$B$71</definedName>
    <definedName name="SchweineGülle" localSheetId="17">HDA!$AA:$AA,HDA!$AX:$AX</definedName>
    <definedName name="SchweineGülle" localSheetId="19">HDC!$V:$V</definedName>
    <definedName name="Schwemmentmistung" localSheetId="17">HDA!$I:$I,HDA!$AF:$AF</definedName>
    <definedName name="Schwemmentmistung" localSheetId="19">HDC!$U:$U</definedName>
    <definedName name="Seite" localSheetId="40">Texte!$A$23</definedName>
    <definedName name="SeitenNo" localSheetId="1">Dblatt!$F$12:$F$87</definedName>
    <definedName name="SöBtr_Milch" localSheetId="39">D_Klick!$N$31</definedName>
    <definedName name="SöBtr_Schafe" localSheetId="39">D_Klick!$N$35</definedName>
    <definedName name="SöBtr_übrigeRF" localSheetId="39">D_Klick!$N$37</definedName>
    <definedName name="Sommermonate" localSheetId="17">HDA!$C$4</definedName>
    <definedName name="Sömmerung" localSheetId="20">KLB!$K$45</definedName>
    <definedName name="SömTage" localSheetId="24">GMF!$O$21:$O$37,GMF!$O$39:$O$47,GMF!$O$54:$O$59</definedName>
    <definedName name="SömTiere" localSheetId="24">GMF!$N$21:$N$37,GMF!$N$39:$N$47,GMF!$N$54:$N$59</definedName>
    <definedName name="sperren" localSheetId="0">Q!$F$89</definedName>
    <definedName name="SperrZellen" localSheetId="4">Tierb!$G$9:$G$16,Tierb!$G$25:$G$26</definedName>
    <definedName name="Spezialkultur" localSheetId="30">D_Fläche!$B$55,D_Fläche!$B$57:$B$58,D_Fläche!$B$72:$B$82</definedName>
    <definedName name="Spezialkultur" localSheetId="11">'SB2'!$C$55:$C$56</definedName>
    <definedName name="Spezialkulturen" localSheetId="3">Fläche!$E$39,Fläche!$E$41:$E$42,Fläche!$E$50:$E$51,Fläche!$E$58:$E$64,Fläche!$N$32:$N$33,Fläche!$E$68</definedName>
    <definedName name="Spezialkulturen_oT" localSheetId="3">Fläche!$E$39,Fläche!$E$41:$E$42,Fläche!$E$58:$E$64,Fläche!$E$68</definedName>
    <definedName name="SpezialkulturenDZ" localSheetId="3">Fläche!$E$39,Fläche!$E$41:$E$42,Fläche!$E$50:$E$51,Fläche!$E$58:$E$64,Fläche!$N$32,Fläche!$E$68</definedName>
    <definedName name="SpezkulturenBtr" localSheetId="39">D_Klick!$C$20</definedName>
    <definedName name="SPlatz" localSheetId="4">Tierb!$G$65</definedName>
    <definedName name="SprachIdx" localSheetId="40">Texte!$A$2</definedName>
    <definedName name="StallSys1" localSheetId="17">HDA!$B$13:$AC$80</definedName>
    <definedName name="StallSys2" localSheetId="17">HDA!$B$13:$F$80,HDA!$AD$13:$AZ$80</definedName>
    <definedName name="Standardwerte_Eintragen" localSheetId="47">Dialog_GVE!Standardwerte_Eintragen</definedName>
    <definedName name="Standardwerte_Eintragen" localSheetId="41">Dialog_GVE!Standardwerte_Eintragen</definedName>
    <definedName name="StartCon" localSheetId="39">D_Klick!$C$178</definedName>
    <definedName name="StartKF" localSheetId="31">D_Tierb!$AL$10</definedName>
    <definedName name="StartZelle" localSheetId="2">Allg!$G$4</definedName>
    <definedName name="StartZelle" localSheetId="22">BDB!$J$13</definedName>
    <definedName name="StartZelle" localSheetId="6">BioKennz!$C$17</definedName>
    <definedName name="StartZelle" localSheetId="35">D_Bsi!$B$8</definedName>
    <definedName name="StartZelle" localSheetId="30">D_Fläche!$N$9</definedName>
    <definedName name="StartZelle" localSheetId="32">D_Gemüse1!$B$4</definedName>
    <definedName name="StartZelle" localSheetId="33">D_Gemüse2!$B$4</definedName>
    <definedName name="StartZelle" localSheetId="36">D_Hd!$A$1</definedName>
    <definedName name="StartZelle" localSheetId="39">D_Klick!$B$6</definedName>
    <definedName name="StartZelle" localSheetId="34">D_ObstBeeren!$B$4</definedName>
    <definedName name="StartZelle" localSheetId="31">D_Tierb!$J$30</definedName>
    <definedName name="StartZelle" localSheetId="1">Dblatt!$A$1</definedName>
    <definedName name="StartZelle" localSheetId="8">Ff!$D$27</definedName>
    <definedName name="StartZelle" localSheetId="3">Fläche!$E$10</definedName>
    <definedName name="StartZelle" localSheetId="9">FormE!$G$15</definedName>
    <definedName name="Startzelle" localSheetId="7">Fzukauf!$B$8</definedName>
    <definedName name="StartZelle" localSheetId="13">'Gem1'!$D$12</definedName>
    <definedName name="StartZelle" localSheetId="14">'Gem2'!$D$12</definedName>
    <definedName name="StartZelle" localSheetId="24">GMF!$G$13</definedName>
    <definedName name="StartZelle" localSheetId="16">Hd!$M$5</definedName>
    <definedName name="StartZelle" localSheetId="17">HDA!$C$4</definedName>
    <definedName name="StartZelle" localSheetId="18">HDB!$G$8</definedName>
    <definedName name="StartZelle" localSheetId="19">HDC!$Y$43</definedName>
    <definedName name="StartZelle" localSheetId="5">Kennz!$G$16</definedName>
    <definedName name="StartZelle" localSheetId="20">KLB!$M$18</definedName>
    <definedName name="StartZelle" localSheetId="23">LQB!$E$9</definedName>
    <definedName name="StartZelle" localSheetId="15">OB!$D$12</definedName>
    <definedName name="StartZelle" localSheetId="25">PSB!$S$13</definedName>
    <definedName name="StartZelle" localSheetId="26">REB!$K$10</definedName>
    <definedName name="StartZelle" localSheetId="29">RED!$H$8</definedName>
    <definedName name="Startzelle" localSheetId="12">RH!$B$12</definedName>
    <definedName name="StartZelle" localSheetId="28">SAK!$C$43</definedName>
    <definedName name="StartZelle" localSheetId="10">'SB1'!$J$11</definedName>
    <definedName name="StartZelle" localSheetId="11">'SB2'!$K$17</definedName>
    <definedName name="StartZelle" localSheetId="40">Texte!$A$1</definedName>
    <definedName name="StartZelle" localSheetId="37">TG!$B$8</definedName>
    <definedName name="StartZelle" localSheetId="4">Tierb!$D$9</definedName>
    <definedName name="StartZelle" localSheetId="38">TW!$B$7</definedName>
    <definedName name="StartZelle" localSheetId="27">ÜGB!$M$8</definedName>
    <definedName name="StartZelle" localSheetId="21">VSB!$Q$66</definedName>
    <definedName name="StdErtrag" localSheetId="30">D_Fläche!$D$8:$D$83</definedName>
    <definedName name="StdErtrag" localSheetId="11">'SB2'!$H$37:$H$45</definedName>
    <definedName name="StkDivisor" localSheetId="39">D_Klick!$AL$12</definedName>
    <definedName name="StrasseHof" localSheetId="2">Allg!$C$10</definedName>
    <definedName name="Strd_g_P" localSheetId="31">D_Tierb!$AO$65:$AO$70,D_Tierb!$AO$74</definedName>
    <definedName name="Strd_g_RP" localSheetId="31">D_Tierb!$AN$65:$AN$70,D_Tierb!$AN$74</definedName>
    <definedName name="Strd_MJ" localSheetId="31">D_Tierb!$AP$65:$AP$70,D_Tierb!$AP$74</definedName>
    <definedName name="Stroh" localSheetId="16">Hd!$I$13:$I$27</definedName>
    <definedName name="Stroh_Mt" localSheetId="17">HDA!$J$13:$J$80,HDA!$AG$13:$AG$80</definedName>
    <definedName name="Stroh_Mt" localSheetId="19">HDC!$J:$J</definedName>
    <definedName name="Stück" localSheetId="40">Texte!$A$5296</definedName>
    <definedName name="Stufe1" localSheetId="39">D_Klick!$V$16</definedName>
    <definedName name="Stufe2" localSheetId="39">D_Klick!$V$17</definedName>
    <definedName name="Stufe3" localSheetId="39">D_Klick!$V$18</definedName>
    <definedName name="Stufe4" localSheetId="39">D_Klick!$V$19</definedName>
    <definedName name="StutenListe" localSheetId="39">D_Klick!$F$85:$G$87</definedName>
    <definedName name="SuchSpalten" localSheetId="0">Q!$V:$W</definedName>
    <definedName name="SuiBiNr" localSheetId="0">Q!$C$6</definedName>
    <definedName name="SumFuKo">#REF!</definedName>
    <definedName name="SummeBez" localSheetId="22">BDB!$AB$50</definedName>
    <definedName name="SWeide" localSheetId="4">Tierb!$P$65:$R$65</definedName>
    <definedName name="SWeideStd" localSheetId="4">Tierb!$Q$65</definedName>
    <definedName name="SWeideTag" localSheetId="4">Tierb!$R$65</definedName>
    <definedName name="SWeideTier" localSheetId="4">Tierb!$P$65</definedName>
    <definedName name="T_Quot_2" localSheetId="39">D_Klick!$Z$17</definedName>
    <definedName name="T_Quot_3" localSheetId="39">D_Klick!$Z$18</definedName>
    <definedName name="T_Quot_4" localSheetId="39">D_Klick!$Z$19</definedName>
    <definedName name="Tabellenblätter" localSheetId="0">Q!$F$84</definedName>
    <definedName name="Telefon" localSheetId="2">Allg!$C$12</definedName>
    <definedName name="TestListe" localSheetId="39">D_Klick!$C$54:$C$60</definedName>
    <definedName name="TextErtrag" localSheetId="3">Fläche!$G$3</definedName>
    <definedName name="Tierart" localSheetId="16">Hd!$B$13:$B$27</definedName>
    <definedName name="Tierart" localSheetId="17">HDA!$B$13:$B$35,HDA!$B$37:$B$41,HDA!$B$43:$B$52,HDA!$B$54:$B$63,HDA!$B$65:$B$72,HDA!$B$74:$B$80</definedName>
    <definedName name="Tierart" localSheetId="19">HDC!$B:$B</definedName>
    <definedName name="Tierart" localSheetId="37">TG!$B$9:$B$12,TG!$B$14:$B$17,TG!$B$19:$B$20,TG!$B$22,TG!$B$24,TG!$B$27:$B$29,TG!$B$31:$B$36,TG!$B$38:$B$39,TG!$B$41:$B$42,TG!$B$44:$B$45</definedName>
    <definedName name="Tierart" localSheetId="4">Tierb!$B$9:$B$29,Tierb!$C$30:$C$31,Tierb!$B$33:$B$38,Tierb!$B$40:$B$48,Tierb!$C$49,Tierb!$B$52:$B$61,Tierb!$B$64:$B$69,Tierb!$C$70:$C$71,Tierb!$B$73:$B$78,Tierb!$C$79</definedName>
    <definedName name="TierartIdx" localSheetId="17">HDA!$F:$F</definedName>
    <definedName name="TierartIdx" localSheetId="19">HDC!$I:$I</definedName>
    <definedName name="Tierbestand" localSheetId="4">Tierb!$B$9:$B$10,Tierb!$B$14,Tierb!$B$17,Tierb!$B$25:$B$29,Tierb!$C$30:$C$31,Tierb!$B$33:$B$38,Tierb!$B$40:$B$48,Tierb!$C$49,Tierb!$B$52:$B$61,Tierb!$B$64:$B$65,Tierb!$B$67:$B$69,Tierb!$C$70:$C$71,Tierb!$B$73:$B$78,Tierb!$C$79</definedName>
    <definedName name="TierbKonst" localSheetId="39">D_Klick!$U$21</definedName>
    <definedName name="Tierkey" localSheetId="36">D_Hd!$B$3:$B$320</definedName>
    <definedName name="Tierkonst" localSheetId="39">D_Klick!$M$22</definedName>
    <definedName name="Titel" localSheetId="2">Allg!$G$1</definedName>
    <definedName name="Titel" localSheetId="24">GMF!$S$1</definedName>
    <definedName name="Titel" localSheetId="17">HDA!$AZ$1</definedName>
    <definedName name="Titel" localSheetId="18">HDB!$L$1</definedName>
    <definedName name="Titel" localSheetId="19">HDC!$AL$1</definedName>
    <definedName name="Titel" localSheetId="5">Kennz!$J$1</definedName>
    <definedName name="Titel" localSheetId="12">RH!$O$1</definedName>
    <definedName name="Titel" localSheetId="4">Tierb!$T$1</definedName>
    <definedName name="Total" localSheetId="22">BDB!$V$13:$V$46</definedName>
    <definedName name="Total">#REF!</definedName>
    <definedName name="TotDBMilch">#REF!</definedName>
    <definedName name="TotDBMuKu">#REF!</definedName>
    <definedName name="TotErfolg_nLW">#REF!</definedName>
    <definedName name="TotErfolgNE">#REF!</definedName>
    <definedName name="TotErtrag8000">#REF!</definedName>
    <definedName name="TotPacht">#REF!</definedName>
    <definedName name="TotPersonal">#REF!</definedName>
    <definedName name="TotSozialversBL">#REF!</definedName>
    <definedName name="TotUnterhaltG_P">#REF!</definedName>
    <definedName name="TS_Ertrag" localSheetId="11">'SB2'!$J$29</definedName>
    <definedName name="TS_Ertrag">""</definedName>
    <definedName name="TS_FS" localSheetId="31">D_Tierb!$AH$72</definedName>
    <definedName name="TS_int" localSheetId="3">Fläche!$O$19:$O$20,Fläche!$O$22,Fläche!$O$25</definedName>
    <definedName name="txt¹" localSheetId="0">Q!$F$214</definedName>
    <definedName name="txt²" localSheetId="0">Q!$F$215</definedName>
    <definedName name="txt³" localSheetId="0">Q!$F$216</definedName>
    <definedName name="txtAbsatz" localSheetId="0">Q!$F$213</definedName>
    <definedName name="txtAbstand_em" localSheetId="0">Q!$F$211</definedName>
    <definedName name="txtAbstand_en" localSheetId="0">Q!$F$212</definedName>
    <definedName name="txtBvSubject" localSheetId="0">Q!$F$222</definedName>
    <definedName name="txtDt" localSheetId="0">Q!$F$209</definedName>
    <definedName name="txtDtHa" localSheetId="0">Q!$F$210</definedName>
    <definedName name="txtEins">Fläche!$B$3</definedName>
    <definedName name="txtMoreEQ" localSheetId="0">Q!$F$218</definedName>
    <definedName name="txtMoreThan" localSheetId="0">Q!$F$207</definedName>
    <definedName name="txtTo" localSheetId="0">Q!$F$206</definedName>
    <definedName name="übrigeDZ" localSheetId="39">D_Klick!$H$20</definedName>
    <definedName name="übrigeLN" localSheetId="3">Fläche!$E$65:$E$69,Fläche!$N$9,Fläche!$N$34:$N$36</definedName>
    <definedName name="ÜbrigeLN_Btr" localSheetId="39">D_Klick!$E$20</definedName>
    <definedName name="übrigeOA" localSheetId="3">Fläche!$E$9,Fläche!$E$25,Fläche!$E$40,Fläche!$E$44:$E$49,Fläche!$E$52:$E$56,Fläche!$N$26</definedName>
    <definedName name="ÜbrigeOffAckerflBtr" localSheetId="39">D_Klick!$D$20</definedName>
    <definedName name="Ue" localSheetId="3">Fläche!$Q$42</definedName>
    <definedName name="UebergangText" localSheetId="39">D_Klick!$AD$22</definedName>
    <definedName name="UebrigeGFTiere" localSheetId="31">D_Tierb!$B$60:$B$61,D_Tierb!$B$64:$B$68,D_Tierb!$B$70:$B$71</definedName>
    <definedName name="UebrigeGFTiere" localSheetId="24">GMF!$B$54:$B$59</definedName>
    <definedName name="UebrigeRFTiere" localSheetId="31">D_Tierb!$B$34:$B$39,D_Tierb!$B$41:$B$50,D_Tierb!$B$52:$B$59</definedName>
    <definedName name="UebrigeRFTiere" localSheetId="24">GMF!$B$39:$B$47</definedName>
    <definedName name="UGrenze" localSheetId="31">D_Tierb!$AM$27</definedName>
    <definedName name="Unkorr" localSheetId="3">Fläche!$N$13:$N$25</definedName>
    <definedName name="UnselbstNE">#REF!</definedName>
    <definedName name="UnselbstNebeneink">#REF!</definedName>
    <definedName name="URE_E">#REF!</definedName>
    <definedName name="UREmobS">#REF!</definedName>
    <definedName name="Variante" localSheetId="2">Allg!$G$7</definedName>
    <definedName name="Verfügbar" localSheetId="37">TG!$J$8:$K$45</definedName>
    <definedName name="Vermietung">#REF!</definedName>
    <definedName name="VernBtrBäume" localSheetId="39">D_Klick!$AD$12</definedName>
    <definedName name="VernBtrBrachen" localSheetId="39">D_Klick!$AF$12</definedName>
    <definedName name="VernBtrHecken" localSheetId="39">D_Klick!$AE$12</definedName>
    <definedName name="VernBtrWeiden" localSheetId="39">D_Klick!$AC$12</definedName>
    <definedName name="VernBtrWiesen" localSheetId="39">D_Klick!$AB$12</definedName>
    <definedName name="Versicherungen">#REF!</definedName>
    <definedName name="VersionsDatum" localSheetId="0">Q!$D$3</definedName>
    <definedName name="VersionsNummer" localSheetId="0">Q!$C$3</definedName>
    <definedName name="VerweisTab" localSheetId="31">D_Tierb!$A$8:$U$80</definedName>
    <definedName name="Verzehr_Jahr" localSheetId="31">D_Tierb!$J$9:$J$32,D_Tierb!$J$34:$J$39,D_Tierb!$J$41:$J$50,D_Tierb!$J$52:$J$62,D_Tierb!$J$64:$J$72,D_Tierb!$J$74:$J$80</definedName>
    <definedName name="Verzehr_Jahr" localSheetId="24">GMF!$J$21:$J$37,GMF!$J$39:$J$47,GMF!$J$54:$J$59</definedName>
    <definedName name="Verzehr_Jahr" localSheetId="10">'SB1'!$J$17:$J$38</definedName>
    <definedName name="Verzehr_Tag" localSheetId="31">D_Tierb!$I$9:$I$31,D_Tierb!$I$34:$I$39,D_Tierb!$I$41:$I$50,D_Tierb!$I$52:$I$62,D_Tierb!$I$64:$I$72,D_Tierb!$I$74:$I$80</definedName>
    <definedName name="VerzehrSöm_Jahr" localSheetId="31">D_Tierb!$O$9:$O$31,D_Tierb!$O$34:$O$39,D_Tierb!$O$41:$O$50,D_Tierb!$O$52:$O$62,D_Tierb!$O$64:$O$72,D_Tierb!$O$74:$O$80</definedName>
    <definedName name="VerzehrSöm_Tag" localSheetId="31">D_Tierb!$N$9:$N$31,D_Tierb!$N$34:$N$39,D_Tierb!$N$41:$N$50,D_Tierb!$N$52:$N$62,D_Tierb!$N$64:$N$72,D_Tierb!$N$74:$N$80</definedName>
    <definedName name="VerzehrSöm_Tag" localSheetId="24">GMF!$Q$21:$Q$37,GMF!$Q$39:$Q$47,GMF!$Q$54:$Q$59</definedName>
    <definedName name="VerZukaufListe" localSheetId="39">D_Klick!$B$106:$B$108</definedName>
    <definedName name="Vgl_SB" localSheetId="24">GMF!$M$81:$M$82,GMF!$N$132:$N$142</definedName>
    <definedName name="VKGemJa" localSheetId="35">D_Bsi!$F$7:$F$57</definedName>
    <definedName name="Vollmist_N" localSheetId="10">'SB1'!$Y$17:$Y$38</definedName>
    <definedName name="VollmistListe1" localSheetId="39">D_Klick!$D$34:$E$37</definedName>
    <definedName name="VollmistListe2" localSheetId="39">D_Klick!$F$34:$G$36</definedName>
    <definedName name="VorVersNr" localSheetId="0">Q!$D$4</definedName>
    <definedName name="Wald" localSheetId="3">Fläche!$N$39</definedName>
    <definedName name="Wasser_LHP" localSheetId="4">Tierb!$AA$73:$AA$74</definedName>
    <definedName name="Wasser_MPP" localSheetId="4">Tierb!$AA$75:$AA$79</definedName>
    <definedName name="Wasser_MSP" localSheetId="4">Tierb!$AA$64:$AA$71</definedName>
    <definedName name="Wasser_RiGVE" localSheetId="4">Tierb!$BO$9:$BO$18</definedName>
    <definedName name="WasserSommer" localSheetId="38">TW!$E$7:$E$23</definedName>
    <definedName name="WasserSommerKonst" localSheetId="38">TW!$F$7:$F$23</definedName>
    <definedName name="WasserWinter" localSheetId="38">TW!$G$7:$G$23</definedName>
    <definedName name="WasserWinterKonst" localSheetId="38">TW!$H$7:$H$23</definedName>
    <definedName name="Weideabzug" localSheetId="17">HDA!$Z:$Z,HDA!$AW:$AW</definedName>
    <definedName name="Weideabzug" localSheetId="19">HDC!$F:$F</definedName>
    <definedName name="WeideEinh" localSheetId="17">HDA!$W:$W,HDA!$AT:$AT</definedName>
    <definedName name="WeideJahre" localSheetId="31">D_Tierb!$AB$9:$AB$32,D_Tierb!$AB$34:$AB$39,D_Tierb!$AB$41:$AB$50,D_Tierb!$AB$52:$AB$62,D_Tierb!$AB$64:$AB$72</definedName>
    <definedName name="WeideJahre" localSheetId="10">'SB1'!$W$17:$W$34</definedName>
    <definedName name="WeideLaufhof" localSheetId="4">Tierb!$N$9:$R$31,Tierb!$N$33:$R$38,Tierb!$N$40:$R$49,Tierb!$N$52:$R$61,Tierb!$N$64:$R$71,Tierb!$N$73:$O$79</definedName>
    <definedName name="WeideListe" localSheetId="39">D_Klick!$M$32:$N$35</definedName>
    <definedName name="WeideStd" localSheetId="17">HDA!$Y:$Y,HDA!$AV:$AV</definedName>
    <definedName name="WeideStunden" localSheetId="31">D_Tierb!$Z$9:$Z$31,D_Tierb!$Z$34:$Z$39,D_Tierb!$Z$41:$Z$50,D_Tierb!$Z$52:$Z$62,D_Tierb!$Z$64:$Z$72</definedName>
    <definedName name="WeideTage" localSheetId="31">D_Tierb!$AA$9:$AA$31,D_Tierb!$AA$34:$AA$39,D_Tierb!$AA$41:$AA$50,D_Tierb!$AA$52:$AA$62,D_Tierb!$AA$64:$AA$72</definedName>
    <definedName name="WeideTage" localSheetId="17">HDA!$X:$X,HDA!$AU:$AU</definedName>
    <definedName name="WeideVieh" localSheetId="31">D_Tierb!$B$9:$B$32,D_Tierb!$B$34:$B$39,D_Tierb!$B$41:$B$50,D_Tierb!$B$52:$B$62,D_Tierb!$B$64:$B$72</definedName>
    <definedName name="WeideVieh" localSheetId="10">'SB1'!$B$17:$B$34</definedName>
    <definedName name="WeitereAng" localSheetId="2">Allg!$G$21:$G$35</definedName>
    <definedName name="WeitereKraftfutterSöm" localSheetId="24">GMF!$S$39:$S$47</definedName>
    <definedName name="WenigIntBtr" localSheetId="39">D_Klick!$G$12</definedName>
    <definedName name="WertBVlight" localSheetId="0">Q!$C$92:$C$107</definedName>
    <definedName name="WertDirzahl" localSheetId="0">Q!$C$111:$C$123</definedName>
    <definedName name="WertNachw" localSheetId="0">Q!$C$84:$C$88</definedName>
    <definedName name="Wiesenfutter" localSheetId="24">GMF!$M$54:$M$59</definedName>
    <definedName name="WiesenfutterPlatz" localSheetId="24">GMF!$L$54:$L$59</definedName>
    <definedName name="Winterfütterung" localSheetId="2">Allg!$G$14</definedName>
    <definedName name="Wintermonate" localSheetId="17">HDA!$C$5</definedName>
    <definedName name="WohnRep">#REF!</definedName>
    <definedName name="YearOld" localSheetId="39">D_Klick!$AW$2</definedName>
    <definedName name="Z_AB7369C7_DE08_4AD5_A530_2D676F998F11_.wvu.Cols" localSheetId="24">GMF!$AE:$AH</definedName>
    <definedName name="Z_AB7369C7_DE08_4AD5_A530_2D676F998F11_.wvu.PrintArea" localSheetId="24">GMF!$A$1:$AH$175</definedName>
    <definedName name="ZAEigenkap">#REF!</definedName>
    <definedName name="ZahlGefordert" localSheetId="18">HDB!$G$8:$I$24</definedName>
    <definedName name="ZahlGefordert" localSheetId="19">HDC!$Y$43,HDC!$Y$68,HDC!$Y$89,HDC!$Y$112:$Y$113,HDC!$Y$132:$Y$133</definedName>
    <definedName name="ZeichPos" localSheetId="0">Q!$V$3:$AA$290</definedName>
    <definedName name="ZellBezBVlight" localSheetId="0">Q!$B$92:$B$107</definedName>
    <definedName name="ZellBezDirzahl" localSheetId="0">Q!$B$111:$B$123</definedName>
    <definedName name="ZellBezNachw" localSheetId="0">Q!$B$84:$B$88</definedName>
    <definedName name="ZiegenSchafe" localSheetId="4">Tierb!$I$40:$I$49</definedName>
    <definedName name="ZonenListe" localSheetId="39">D_Klick!$B$5:$B$11</definedName>
    <definedName name="ZS_AFP" localSheetId="4">Tierb!$G$67:$G$69</definedName>
    <definedName name="ZS_Komb" localSheetId="4">Tierb!$G$64</definedName>
    <definedName name="ZsZahl" localSheetId="3">Fläche!$E$10:$E$24,Fläche!$E$26:$E$37,Fläche!$E$39:$E$56,Fläche!$E$58:$E$75</definedName>
    <definedName name="ZsZweig" localSheetId="3">Fläche!$B$10:$B$24,Fläche!$B$26:$B$37,Fläche!$B$39:$B$56,Fläche!$B$58:$B$75</definedName>
    <definedName name="ZuAbzEinh" localSheetId="17">HDA!$Q:$Q,HDA!$AN:$AN</definedName>
    <definedName name="ZuAbzTage" localSheetId="17">HDA!$R:$R,HDA!$AO:$AO</definedName>
    <definedName name="ZuckerKont" localSheetId="2">Allg!$G$37</definedName>
    <definedName name="ZukaufahFFListe" localSheetId="39">D_Klick!$B$115:$B$117</definedName>
    <definedName name="ZuvielBäume" localSheetId="40">Texte!$A$4929</definedName>
    <definedName name="ZuvielFläche" localSheetId="40">Texte!$A$4928</definedName>
  </definedNames>
  <calcPr calcId="0" fullCalcOnLoad="1"/>
  <extLst>
    <ext uri="{B58B0392-4F1F-4190-BB64-5DF3571DCE5F}">
      <ns4:calcFeatures>
        <ns4:feature name="microsoft.com:RD"/>
        <ns4:feature name="microsoft.com:Single"/>
        <ns4:feature name="microsoft.com:FV"/>
        <ns4:feature name="microsoft.com:CNMTM"/>
        <ns4:feature name="microsoft.com:LET_WF"/>
        <ns4:feature name="microsoft.com:LAMBDA_WF"/>
        <ns4:feature name="microsoft.com:ARRAYTEXT_WF"/>
      </ns4:calcFeatures>
    </ext>
  </extLst>
</workbook>
</file>

<file path=xl/comments1.xml><?xml version="1.0" encoding="utf-8"?>
<comments xmlns="http://schemas.openxmlformats.org/spreadsheetml/2006/main">
  <authors>
    <author>Dagmar Feierabend</author>
  </authors>
  <commentList>
    <comment ref="V66" authorId="0" shapeId="0">
      <text>
        <r>
          <rPr>
            <sz val="9"/>
            <color indexed="81"/>
            <rFont val="Segoe UI"/>
            <family val="2"/>
          </rPr>
          <t xml:space="preserve">Ursprungliche Formel aus Zelle links
</t>
        </r>
      </text>
    </comment>
    <comment ref="V68" authorId="0" shapeId="0">
      <text>
        <r>
          <rPr>
            <b/>
            <sz val="9"/>
            <color indexed="81"/>
            <rFont val="Segoe UI"/>
            <family val="2"/>
          </rPr>
          <t>Reduktion unterdrückt ab 2023!</t>
        </r>
      </text>
    </comment>
  </commentList>
</comments>
</file>

<file path=xl/sharedStrings.xml><?xml version="1.0" encoding="utf-8"?>
<sst xmlns="http://schemas.openxmlformats.org/spreadsheetml/2006/main" count="19111" uniqueCount="12240">
  <si>
    <t>Attention!</t>
  </si>
  <si>
    <t>Remettre aux valeurs originales</t>
  </si>
  <si>
    <t>Reprendre les valeurs</t>
  </si>
  <si>
    <t>Texte dans le code</t>
  </si>
  <si>
    <t>Four. pauvres en élém. nutr.</t>
  </si>
  <si>
    <t>Sous-total contribution de base</t>
  </si>
  <si>
    <t>Emissionsmindernde Ausbringverfahren*</t>
  </si>
  <si>
    <t>Procédés d'épandage réduisant les émissions*</t>
  </si>
  <si>
    <t>zu Beiträgen berechtigende Ausbringfläche (ha x Anz. Gaben)</t>
  </si>
  <si>
    <t>Surface d'épandage donnant droit à la contribution (ha x nbre épandages)</t>
  </si>
  <si>
    <t>Direktsaat</t>
  </si>
  <si>
    <t>Semis direct</t>
  </si>
  <si>
    <t>Streifensaat</t>
  </si>
  <si>
    <t>Semis sur bandes</t>
  </si>
  <si>
    <t>Mulchsaat</t>
  </si>
  <si>
    <t>Semis sous litière</t>
  </si>
  <si>
    <t>Dérobées, engrais verts, semis après le 30.9</t>
  </si>
  <si>
    <t>Fumier de poule</t>
  </si>
  <si>
    <t>Ndisp en % de Nstock</t>
  </si>
  <si>
    <t>Type d'animal</t>
  </si>
  <si>
    <t>g PB</t>
  </si>
  <si>
    <t xml:space="preserve">Quantité annuelle </t>
  </si>
  <si>
    <t>Zusatzformular "Freiland-Gemüsebau"</t>
  </si>
  <si>
    <t>g PB MF</t>
  </si>
  <si>
    <t>g P MF</t>
  </si>
  <si>
    <t>MJ EDP</t>
  </si>
  <si>
    <t>Qualitätsstufe II</t>
  </si>
  <si>
    <t>Qualitätsstufe III</t>
  </si>
  <si>
    <t>Biodiversitätsförderfläche</t>
  </si>
  <si>
    <t>ab 2016</t>
  </si>
  <si>
    <t>Artenreiche Grün- und Streue-</t>
  </si>
  <si>
    <t>flächen im Sömmerungsgebiet</t>
  </si>
  <si>
    <t>Prairies temporaires</t>
  </si>
  <si>
    <t>Terres assolées (TA)</t>
  </si>
  <si>
    <t>Total cumulé</t>
  </si>
  <si>
    <t>Pachtzins/ha</t>
  </si>
  <si>
    <t>Eigentümer</t>
  </si>
  <si>
    <t>Beschreibung</t>
  </si>
  <si>
    <t>Vaches mères/Jeune bétail &lt; 1 an</t>
  </si>
  <si>
    <t>Vaches mères/Jeune bétail 1 - 2 ans</t>
  </si>
  <si>
    <t>Vaches mères/Jeune bétail &gt; 2 ans</t>
  </si>
  <si>
    <t>D_lég2</t>
  </si>
  <si>
    <t>Questions relatives à l'affouragement voir E2</t>
  </si>
  <si>
    <t>Maïs d'ensilage été</t>
  </si>
  <si>
    <t xml:space="preserve">Il ne peut pas être utilisé comme justificatif pour le respect des conditions </t>
  </si>
  <si>
    <t>pour les contributions PLVH.</t>
  </si>
  <si>
    <t>Eaux de lavage</t>
  </si>
  <si>
    <t>Chambre à lait</t>
  </si>
  <si>
    <t>Avoine d'automne</t>
  </si>
  <si>
    <t>Système de stabulation 1</t>
  </si>
  <si>
    <t>Nombre de jours pendant</t>
  </si>
  <si>
    <t>Période de calcul</t>
  </si>
  <si>
    <t>bêtes/periode</t>
  </si>
  <si>
    <t>Déd. Pâture</t>
  </si>
  <si>
    <t>No</t>
  </si>
  <si>
    <t>Eiweisserbsen</t>
  </si>
  <si>
    <t>Futterrüben</t>
  </si>
  <si>
    <t>Betteraves fourrag., p.d.t.</t>
  </si>
  <si>
    <t>Total offre</t>
  </si>
  <si>
    <t>Equidés</t>
  </si>
  <si>
    <t>Abschrei-</t>
  </si>
  <si>
    <t>Weide</t>
  </si>
  <si>
    <t>de GVE</t>
  </si>
  <si>
    <t>GVE alt</t>
  </si>
  <si>
    <t>GVE neu</t>
  </si>
  <si>
    <t>erfasst</t>
  </si>
  <si>
    <t>Abzug</t>
  </si>
  <si>
    <t>Alp</t>
  </si>
  <si>
    <t xml:space="preserve"> contributions selon art. 77a/b Lagr, contributions selon art. 62a Leaux</t>
  </si>
  <si>
    <t>Moutons sans brebis laitières</t>
  </si>
  <si>
    <t>Berechnete Werte</t>
  </si>
  <si>
    <t>(vorstehende Seiten)</t>
  </si>
  <si>
    <t>Valeurs calculées</t>
  </si>
  <si>
    <t>(pages précédentes)</t>
  </si>
  <si>
    <t>gepasste Werte gemäss</t>
  </si>
  <si>
    <t>Prairie naturelle extensive</t>
  </si>
  <si>
    <t xml:space="preserve">                              peu intensive</t>
  </si>
  <si>
    <t>Kunstwiesenansaat im Frühjahr</t>
  </si>
  <si>
    <t>Semis jachère florale</t>
  </si>
  <si>
    <t>Le nombre de vaches laitières est aussi mis à jour automatiquement dans la feuille "bilan des jeunes bovins" et "animaux". Par contre le bilan des jeunes bovins ne sera pas optimisé!</t>
  </si>
  <si>
    <t>Evolution en ct./kg et an</t>
  </si>
  <si>
    <t>Menge 1</t>
  </si>
  <si>
    <t>Quantité 1</t>
  </si>
  <si>
    <t>Menge 2</t>
  </si>
  <si>
    <t>Quantité 2</t>
  </si>
  <si>
    <t>Karotten Verarbeitung-, Lager-, mittlerer Ertrag</t>
  </si>
  <si>
    <t>Erbsen, Kefen</t>
  </si>
  <si>
    <t>Fenchel, Knollen</t>
  </si>
  <si>
    <t>Rendement récolté</t>
  </si>
  <si>
    <t>40 vaches, lait ramassé</t>
  </si>
  <si>
    <t>Total Résultat d'immeuble</t>
  </si>
  <si>
    <t>Abgesetzte Ferkel 1)</t>
  </si>
  <si>
    <t>Zuchtschweine inkl. Ferkel 1)</t>
  </si>
  <si>
    <t xml:space="preserve">  - übriges Grundfutter</t>
  </si>
  <si>
    <t xml:space="preserve">  - autres fourrages</t>
  </si>
  <si>
    <t xml:space="preserve">  - Kraftfutter</t>
  </si>
  <si>
    <t xml:space="preserve">  - concentrés</t>
  </si>
  <si>
    <t>Privatbezüge und Entschädigungen im 1. Jahr</t>
  </si>
  <si>
    <t>Bezug je Partner</t>
  </si>
  <si>
    <t>AKh- und Th-Bedarf</t>
  </si>
  <si>
    <t>Verwenden Sie zur Berechnung früherer Erntejahre eine ältere Programmversion.</t>
  </si>
  <si>
    <t>Eingabefehler</t>
  </si>
  <si>
    <t>Traktorstunden (Th)</t>
  </si>
  <si>
    <t>Betriebszweig</t>
  </si>
  <si>
    <t>Privatausgaben *)</t>
  </si>
  <si>
    <t>Zuchteber 2)</t>
  </si>
  <si>
    <t>Verrats d'élevage 2)</t>
  </si>
  <si>
    <t>Plateformes de silo-couloirs exposées à la pluie dont les eaux sont évacuées vers la fosse à lisier</t>
  </si>
  <si>
    <t>AEF, bilan complet par ha SF</t>
  </si>
  <si>
    <t>Azote</t>
  </si>
  <si>
    <t>Phosphore</t>
  </si>
  <si>
    <t>Nährstoff-Anfall pauschal</t>
  </si>
  <si>
    <t>Güllegrube 1</t>
  </si>
  <si>
    <t>Güllegrube 2</t>
  </si>
  <si>
    <t>Güllegrube 3</t>
  </si>
  <si>
    <t>C. Gülle-, Mist- und Nährstoffanfall</t>
  </si>
  <si>
    <t>Weitere in die Güllegrube entwässerte Flächen</t>
  </si>
  <si>
    <t>Haushalt:</t>
  </si>
  <si>
    <t xml:space="preserve">Bovins et buffles d'Asie, équidés, moutons et chèvres &gt; 1 an, agneaux de pâturage, lapins  </t>
  </si>
  <si>
    <t>NHG-, kantonale und kommunale Naturschutzbeiträge sowie kantonale Hangbeiträge</t>
  </si>
  <si>
    <t>vollständig</t>
  </si>
  <si>
    <t>complètes</t>
  </si>
  <si>
    <t>Ihre Beiträge können nicht berechnet werden</t>
  </si>
  <si>
    <t>Vos contributions ne peuvent pas être calculées</t>
  </si>
  <si>
    <t>Bitte tragen Sie die Anzahl RGVE Ihres Betriebes ein</t>
  </si>
  <si>
    <t>Dérobées, engrais verts, semis jusqu'au 31.8 au plus tard</t>
  </si>
  <si>
    <t xml:space="preserve">                          wenig intensiv</t>
  </si>
  <si>
    <t>par j.</t>
  </si>
  <si>
    <t>Ntot</t>
  </si>
  <si>
    <t>Production par unité et an</t>
  </si>
  <si>
    <t>Aire d'exercice</t>
  </si>
  <si>
    <t>Jours par</t>
  </si>
  <si>
    <t>an</t>
  </si>
  <si>
    <t>Volaille d'engraissement</t>
  </si>
  <si>
    <t>Exploitation entière</t>
  </si>
  <si>
    <t>UGBFG</t>
  </si>
  <si>
    <t>Autres animaux</t>
  </si>
  <si>
    <t>Intensif</t>
  </si>
  <si>
    <t>Extensif</t>
  </si>
  <si>
    <t>Mutterschafe (inkl.Jungtiere)</t>
  </si>
  <si>
    <t>Milchschafe (inkl.Jungtiere)</t>
  </si>
  <si>
    <t>Tiere/Periode</t>
  </si>
  <si>
    <t>Std</t>
  </si>
  <si>
    <t>1,2,3</t>
  </si>
  <si>
    <t>kosten (GK)</t>
  </si>
  <si>
    <t>von den GK</t>
  </si>
  <si>
    <t>vom WBW*</t>
  </si>
  <si>
    <t>Hausarbeit</t>
  </si>
  <si>
    <t>Kinderbetreuung</t>
  </si>
  <si>
    <t>Besondere Pflegeleistungen</t>
  </si>
  <si>
    <t>Inventaire bétail</t>
  </si>
  <si>
    <t>Garde permanente dans l'étable</t>
  </si>
  <si>
    <t>Elevage en liberté</t>
  </si>
  <si>
    <t>Oui/non</t>
  </si>
  <si>
    <t>Oui</t>
  </si>
  <si>
    <t>Non</t>
  </si>
  <si>
    <t>Nombre de surfaces partielles (IPS)</t>
  </si>
  <si>
    <t>Cette action supprime définitivement toutes les feuilles qui ne sont pas nécessaire à 'PLANETE light'. C'est pourquoi le classeur ne doit pas contenir de données!</t>
  </si>
  <si>
    <t>Total Siloraumbedarf</t>
  </si>
  <si>
    <t>Güllenlagerraum</t>
  </si>
  <si>
    <t>Notwendiger Güllenlagerraum bei einer Lagerdauer von</t>
  </si>
  <si>
    <t>Mistplatz</t>
  </si>
  <si>
    <t>Mistanfallsmenge im Winter</t>
  </si>
  <si>
    <t>t x Raumbedarf</t>
  </si>
  <si>
    <t>Stapelhöhe</t>
  </si>
  <si>
    <t>Tierarzt, Medikamente</t>
  </si>
  <si>
    <t>Spinat, nicht überwinternd, 2 Schnitte</t>
  </si>
  <si>
    <t>Automatisches Melksystem (AMS)</t>
  </si>
  <si>
    <t>Restauration:</t>
  </si>
  <si>
    <t>Bilan de fourrage et de paille</t>
  </si>
  <si>
    <t>umgerechnet ab 2014</t>
  </si>
  <si>
    <t xml:space="preserve">           betonierter Fressplatz)</t>
  </si>
  <si>
    <t>Seigle</t>
  </si>
  <si>
    <t>1) bei pfluglosem Anbau ohne Kartoffeln, Mais oder Tabak als Vorkultur erhöht sich der Index um 20 Punkte</t>
  </si>
  <si>
    <t>Winterhalbjahr</t>
  </si>
  <si>
    <t>Sommerhalbjahr</t>
  </si>
  <si>
    <t>Mechanisierungs-</t>
  </si>
  <si>
    <t>führungs- und</t>
  </si>
  <si>
    <t>stufe</t>
  </si>
  <si>
    <t>10-25</t>
  </si>
  <si>
    <t>10-30</t>
  </si>
  <si>
    <t>Ertrag überschritten</t>
  </si>
  <si>
    <t>Maximalerträge Wiesen, Weiden, ZF</t>
  </si>
  <si>
    <t>Raifort 18 pl/m2</t>
  </si>
  <si>
    <t>Pourpier</t>
  </si>
  <si>
    <t>Fourrages vendus, achetés ou produits sur l'exploitation hors surface fourragère (SF)</t>
  </si>
  <si>
    <t>Ventes</t>
  </si>
  <si>
    <t>Achats</t>
  </si>
  <si>
    <t>dt MF</t>
  </si>
  <si>
    <t>MS</t>
  </si>
  <si>
    <t>Hors SF</t>
  </si>
  <si>
    <t>Herbe, ensilage d'herbe</t>
  </si>
  <si>
    <t>Pour la saisie globale des divers postes, activez la case correspondante !</t>
  </si>
  <si>
    <t>Fumier</t>
  </si>
  <si>
    <t>Purin</t>
  </si>
  <si>
    <t>Rote Johannisbeeren, hoher Ertrag</t>
  </si>
  <si>
    <t>Cassis</t>
  </si>
  <si>
    <t>Cassis, hoher Ertrag</t>
  </si>
  <si>
    <t>Jungvieh, 1 bis 2-jährig</t>
  </si>
  <si>
    <t>UBG</t>
  </si>
  <si>
    <t>cultures</t>
  </si>
  <si>
    <t>C3 und C4 entsprechen nicht den Mengen in der Suisse-Bilanz!</t>
  </si>
  <si>
    <t>Zu den Erläuterungen</t>
  </si>
  <si>
    <t>Aux explications</t>
  </si>
  <si>
    <t>Zuchtschweine galt</t>
  </si>
  <si>
    <t>Topinambour</t>
  </si>
  <si>
    <t>Espèces de choux d'hiver</t>
  </si>
  <si>
    <t>Epinards d'hiver</t>
  </si>
  <si>
    <t>Oignons d'hiver</t>
  </si>
  <si>
    <t>Carottes</t>
  </si>
  <si>
    <t>Céleris</t>
  </si>
  <si>
    <t>WBF: 2014: 0.4727; 2015: 0.2796, 2016: 0.2619, 2017: 0.2116</t>
  </si>
  <si>
    <t>DEFR 2014: 0.4727; 2015: 0.2796, 2016: 0.2619, 2017: 0.2116</t>
  </si>
  <si>
    <t>Wald, Holz</t>
  </si>
  <si>
    <t>Forêt, bois</t>
  </si>
  <si>
    <t>Bosco, legna</t>
  </si>
  <si>
    <t>Eigenkapitalbildung, Eigenkapitalverzehr</t>
  </si>
  <si>
    <t>Vermietung, Verpachtung Gebäude, Boden an Dritte</t>
  </si>
  <si>
    <t>Tiere der Rindergattung und Wasserbüffel</t>
  </si>
  <si>
    <t>Güllelagerraum</t>
  </si>
  <si>
    <t>m3</t>
  </si>
  <si>
    <t>supplément.</t>
  </si>
  <si>
    <t>± bête</t>
  </si>
  <si>
    <t>jours</t>
  </si>
  <si>
    <t xml:space="preserve">Direktvermarktung ab Hof </t>
  </si>
  <si>
    <t>Vente directe de la ferme</t>
  </si>
  <si>
    <t>kg Fleisch:</t>
  </si>
  <si>
    <t>kg viande:</t>
  </si>
  <si>
    <t>Die Flächenanteile sind der Betriebszone zugeordnet. Zum Ändern Kontrollkästchen aktivieren.</t>
  </si>
  <si>
    <t>ab 2009</t>
  </si>
  <si>
    <t>&gt; 50%, 2 Kons.-schnitte, hoch</t>
  </si>
  <si>
    <t>gelbe Zeilen:</t>
  </si>
  <si>
    <t>Cases vertes:</t>
  </si>
  <si>
    <t>grüne Zellen:</t>
  </si>
  <si>
    <t>Conseils d'utilisation</t>
  </si>
  <si>
    <t>Anleitung</t>
  </si>
  <si>
    <t>PLVH</t>
  </si>
  <si>
    <t>Farben</t>
  </si>
  <si>
    <t>Kontrollsumme</t>
  </si>
  <si>
    <t>Grenzwert</t>
  </si>
  <si>
    <t>u. Dauerkulturen</t>
  </si>
  <si>
    <t>cultures pérennes</t>
  </si>
  <si>
    <t>area di foraggiamento pavimentata)</t>
  </si>
  <si>
    <t>UBG; stalla su piano inclinato</t>
  </si>
  <si>
    <t>Teil C: Zu- und Wegfuhr Grundfutter</t>
  </si>
  <si>
    <t>ÜGB</t>
  </si>
  <si>
    <t>Kulturlandschaft</t>
  </si>
  <si>
    <t>Versorgungssicherheit</t>
  </si>
  <si>
    <t>Biodiversität</t>
  </si>
  <si>
    <t>PLCSI</t>
  </si>
  <si>
    <t xml:space="preserve">UC x </t>
  </si>
  <si>
    <t>UL per unità</t>
  </si>
  <si>
    <t>Contributions à la sécurité de l'approvisionnement</t>
  </si>
  <si>
    <t xml:space="preserve">* Rampe d’épandage à tuyaux souples (pendillards); rampe d’épand. à tuyaux semi-rigides  </t>
  </si>
  <si>
    <t>g RP FS</t>
  </si>
  <si>
    <t>g P FS</t>
  </si>
  <si>
    <t>MJ VES</t>
  </si>
  <si>
    <t>g RP korr.</t>
  </si>
  <si>
    <t>Werte für Schweine und Geflügel bei NPr-Futtereinsatz ändern</t>
  </si>
  <si>
    <t>Travaux par tiers, location de machines</t>
  </si>
  <si>
    <t>Intérêts des dettes</t>
  </si>
  <si>
    <t>Prêts et hypothèques</t>
  </si>
  <si>
    <t>Montant</t>
  </si>
  <si>
    <t>Chiffres-clés</t>
  </si>
  <si>
    <t>Production d'engrais de ferme</t>
  </si>
  <si>
    <t>Quantité fourrage dt MF</t>
  </si>
  <si>
    <t>Branches de production</t>
  </si>
  <si>
    <t>Pilzproduktion in Hochtunneln oder Gebäuden</t>
  </si>
  <si>
    <t>Bau-</t>
  </si>
  <si>
    <t>Kauf-</t>
  </si>
  <si>
    <t>Anteil</t>
  </si>
  <si>
    <t>Anschaffungs-</t>
  </si>
  <si>
    <t>WBW*</t>
  </si>
  <si>
    <t>35-50%, 3 Kons.-schnitte, hoch</t>
  </si>
  <si>
    <t>Wiese mittelintensiv</t>
  </si>
  <si>
    <t>Übrige nicht abgeerntete Gemüsekulturen</t>
  </si>
  <si>
    <t>Brache nach Gemüsekultur</t>
  </si>
  <si>
    <t>Datenbank Hofdüngeranfall</t>
  </si>
  <si>
    <t>Verweis</t>
  </si>
  <si>
    <t>Stallhaltungsart</t>
  </si>
  <si>
    <t>(keine Angabe)</t>
  </si>
  <si>
    <t>Nur Gülle</t>
  </si>
  <si>
    <t>Rindviehmast intensiv, keine Weideh. im Sommer</t>
  </si>
  <si>
    <t>Weidemast, keine Stallh. im Sommer</t>
  </si>
  <si>
    <t>Votre version de carnet des champs (« Feldbuch ») est plus ancienne que 7.4. Une éventuelle production de semences de culture fourragère a été comptabilisée comme prairie temporaire intensive et doit être inscrite manuellement dans les bonnes catégories.</t>
  </si>
  <si>
    <t xml:space="preserve">    - Saisir les achats et les ventes de fourrages.</t>
  </si>
  <si>
    <t xml:space="preserve">    - Zu- und Wegfuhr Grundfutter erfassen</t>
  </si>
  <si>
    <t xml:space="preserve">    - Teil D zeigt abhängig von der Produktionszone, </t>
  </si>
  <si>
    <t xml:space="preserve">      ob die Mindestanteile an der Ration erfüllt sind oder nicht.</t>
  </si>
  <si>
    <t xml:space="preserve">      Grün = Erfüllt</t>
  </si>
  <si>
    <t>Flächen-</t>
  </si>
  <si>
    <t>Sommertriticale</t>
  </si>
  <si>
    <t>Triticale de printemps</t>
  </si>
  <si>
    <t>Sommerraps</t>
  </si>
  <si>
    <t>Colza de printemps</t>
  </si>
  <si>
    <t>Céleri pomme</t>
  </si>
  <si>
    <t>Coûts de structure 2</t>
  </si>
  <si>
    <t>Evac.</t>
  </si>
  <si>
    <t>Prod. Lisier</t>
  </si>
  <si>
    <t>(Gr. c)</t>
  </si>
  <si>
    <t>(C.four.)</t>
  </si>
  <si>
    <t xml:space="preserve">1) S'applique à une production laitière annuelle Ø de 7500 kg. Pour chaque diminution ou augmentation de 1000 kg de la production par rapport à la production indicative, le facteur UGB </t>
  </si>
  <si>
    <t>Vérifiez les données à la feuille</t>
  </si>
  <si>
    <t xml:space="preserve">  Diese Fläche entspricht der Summe aus "Getreide", "Markt- und </t>
  </si>
  <si>
    <t>Kunstwiesen</t>
  </si>
  <si>
    <t xml:space="preserve">Total </t>
  </si>
  <si>
    <t>Nebeneinkommen und Privat</t>
  </si>
  <si>
    <t>Revenu accessoire provenant d'activités dépendantes</t>
  </si>
  <si>
    <t>Poules pondeuses et poulettes</t>
  </si>
  <si>
    <t>Animaux consommant du fourrage grossier</t>
  </si>
  <si>
    <t>Nombre et proportions de cultures</t>
  </si>
  <si>
    <t>Valeur-cible PER (&gt;1ha TO)</t>
  </si>
  <si>
    <t>Culture</t>
  </si>
  <si>
    <t xml:space="preserve">Part des </t>
  </si>
  <si>
    <t>terres</t>
  </si>
  <si>
    <t>assolées</t>
  </si>
  <si>
    <t xml:space="preserve">Nombre de </t>
  </si>
  <si>
    <t>Rinder 120 bis 365 Tage alt</t>
  </si>
  <si>
    <t>Rinder bis 120 Tage alt</t>
  </si>
  <si>
    <t>AS</t>
  </si>
  <si>
    <t>Vous avez saisi, à la page 3, trop d'espèces d'animaux pour ce tableau! Vérifiez les données à la page 3 Animaux!</t>
  </si>
  <si>
    <t>TAMV Art. 15</t>
  </si>
  <si>
    <t xml:space="preserve">gemäss </t>
  </si>
  <si>
    <t>Légende</t>
  </si>
  <si>
    <t>*) SE = stab. entravée; SL = stab. libre</t>
  </si>
  <si>
    <t>Besoins fourr. secs</t>
  </si>
  <si>
    <t>dt MS x besoins en volume</t>
  </si>
  <si>
    <t>m³/dt MS</t>
  </si>
  <si>
    <t>Réserve</t>
  </si>
  <si>
    <t>Contribution à la surface</t>
  </si>
  <si>
    <t>Datenübernahme aus Feldbuch</t>
  </si>
  <si>
    <t xml:space="preserve">verheiratet </t>
  </si>
  <si>
    <t>Auto-Korrektur von Eingabefehlern</t>
  </si>
  <si>
    <t xml:space="preserve"> = Mittelfluss vor Privat und vor Zinsen</t>
  </si>
  <si>
    <t xml:space="preserve"> Zufuhr </t>
  </si>
  <si>
    <t xml:space="preserve">       -</t>
  </si>
  <si>
    <t xml:space="preserve"> Wegfuhr</t>
  </si>
  <si>
    <t>[–]</t>
  </si>
  <si>
    <t xml:space="preserve">    +</t>
  </si>
  <si>
    <t>Cas particuliers avec quantités inférieures à la normale</t>
  </si>
  <si>
    <t>Restauration (activité annexe)</t>
  </si>
  <si>
    <t>Hackfrüchte</t>
  </si>
  <si>
    <t>Zusammenfassung</t>
  </si>
  <si>
    <t xml:space="preserve">Aktivieren Sie für die pauschale Erfassung einzelner Positionen das entsprechende Kontrollkästchen! </t>
  </si>
  <si>
    <t>Betriebszweige</t>
  </si>
  <si>
    <t>dt</t>
  </si>
  <si>
    <t>1) Bezieht sich auf eine mittlere Jahresmilchleistung von 7500 kg.</t>
  </si>
  <si>
    <t xml:space="preserve">    Je 1000 kg Mehr- oder Minderleistung wird mit 5 % höheren oder tieferen Werten gerechnet.</t>
  </si>
  <si>
    <t>Rinder über 730 Tage alt</t>
  </si>
  <si>
    <t>Quantité saisie &lt;&gt; quantité au feuille "SB1" !</t>
  </si>
  <si>
    <t>Preuve nécessaire !</t>
  </si>
  <si>
    <t>Konventioneller Betrieb, wenig Handarbeit</t>
  </si>
  <si>
    <t>ist die Höhe der Beiträge nur eine Schätzung.</t>
  </si>
  <si>
    <t xml:space="preserve">des contributions PLVH est à considérer comme une estimation.  </t>
  </si>
  <si>
    <t>RGVE effektiv auf dem Betrieb</t>
  </si>
  <si>
    <t>UGBFG totaux de l'exploitation</t>
  </si>
  <si>
    <t>Effektiver Mindesttierbesatz (RGVE/ha Grünfläche)</t>
  </si>
  <si>
    <t>Charge en bétail effective (UGBFG/ha herb.)</t>
  </si>
  <si>
    <t>ce (-)</t>
  </si>
  <si>
    <t>corrigé</t>
  </si>
  <si>
    <t>par jour</t>
  </si>
  <si>
    <t>Graminées</t>
  </si>
  <si>
    <t>Stabulation entravée sur grille, bovins</t>
  </si>
  <si>
    <t xml:space="preserve">Pruduction de semences </t>
  </si>
  <si>
    <t>SPB spécifique à la région</t>
  </si>
  <si>
    <t>Chaumes de céréales avec au max. 1 déchaumage</t>
  </si>
  <si>
    <t>Chaumes de chanvre</t>
  </si>
  <si>
    <t>Strauchbeeren</t>
  </si>
  <si>
    <t>Gehalt der verdünnten Mischgülle</t>
  </si>
  <si>
    <t>Freie Korrektur</t>
  </si>
  <si>
    <t>Alle Blätter aktualisieren</t>
  </si>
  <si>
    <t>E2: Produits solides issus de la méthanisation</t>
  </si>
  <si>
    <t>Légendes</t>
  </si>
  <si>
    <t>Hoch, nicht sortiert</t>
  </si>
  <si>
    <t>chk_RW_7</t>
  </si>
  <si>
    <t>Gemüse Gewächshaus</t>
  </si>
  <si>
    <t>Mineral- und andere Dünger</t>
  </si>
  <si>
    <t>Zukauf von Weizenstroh zum Einstreuen</t>
  </si>
  <si>
    <t>D: Gesamttotal Zufuhr übriger Dünger</t>
  </si>
  <si>
    <t>D</t>
  </si>
  <si>
    <t>Text 70.1</t>
  </si>
  <si>
    <t>Text 70.2</t>
  </si>
  <si>
    <t>Flächen, auf denen Freilandschweine weiden</t>
  </si>
  <si>
    <t>Cicorino</t>
  </si>
  <si>
    <t>Nüssler</t>
  </si>
  <si>
    <t>Anfall / Mt.</t>
  </si>
  <si>
    <t>Typ No</t>
  </si>
  <si>
    <t>ZoneTexte 3</t>
  </si>
  <si>
    <t>Butt GMF</t>
  </si>
  <si>
    <t>Butt Vorgehen</t>
  </si>
  <si>
    <t>Investimenti netti</t>
  </si>
  <si>
    <t>Finanziamenti netti</t>
  </si>
  <si>
    <t>Colture perenni</t>
  </si>
  <si>
    <t>Altro</t>
  </si>
  <si>
    <t>Superficie agricola utile</t>
  </si>
  <si>
    <t>Bosco</t>
  </si>
  <si>
    <t>Frumento primaverile</t>
  </si>
  <si>
    <t>Orzo autunnale</t>
  </si>
  <si>
    <t>Orzo primaverile</t>
  </si>
  <si>
    <t>Avena autunnale</t>
  </si>
  <si>
    <t>Avena primaverile</t>
  </si>
  <si>
    <t>Segale autunnale</t>
  </si>
  <si>
    <t>Spelta</t>
  </si>
  <si>
    <t>Triticale autunnale</t>
  </si>
  <si>
    <t>Triticale primaverile</t>
  </si>
  <si>
    <t>Progetti</t>
  </si>
  <si>
    <t xml:space="preserve">Fabbisogno </t>
  </si>
  <si>
    <t>Mezzi disponibili</t>
  </si>
  <si>
    <t>Conto economico</t>
  </si>
  <si>
    <t>Modifica del capitale proprio</t>
  </si>
  <si>
    <t>Reddito del lavoro della comunità</t>
  </si>
  <si>
    <t>Flusso monetario</t>
  </si>
  <si>
    <t>Indicazioni generali</t>
  </si>
  <si>
    <t>Comunità aziendale</t>
  </si>
  <si>
    <t>Contingente lattiero</t>
  </si>
  <si>
    <t>1 surface partielle</t>
  </si>
  <si>
    <t>Les résultats présentés ici se basent sur une situation avec un troupeau établi !</t>
  </si>
  <si>
    <t xml:space="preserve">Verkauf Ausmerzkühe </t>
  </si>
  <si>
    <t>Vente vaches de réforme</t>
  </si>
  <si>
    <t>Verkauf Nutz- oder Zuchtkühe</t>
  </si>
  <si>
    <t>Vente vaches d'élevage</t>
  </si>
  <si>
    <t>Verkauf tragende Rinder</t>
  </si>
  <si>
    <t>Vente génisses portantes</t>
  </si>
  <si>
    <t>Verkauf Kuh mit Kalb</t>
  </si>
  <si>
    <t>Vente vaches avec veaux</t>
  </si>
  <si>
    <t xml:space="preserve">Veränder- ung in 5 Jahren </t>
  </si>
  <si>
    <t>Modification en 5 ans</t>
  </si>
  <si>
    <t>in %</t>
  </si>
  <si>
    <t>en %</t>
  </si>
  <si>
    <t>Erfolgsrechnung</t>
  </si>
  <si>
    <t>Production de semences: Légumineuses pures</t>
  </si>
  <si>
    <t>Samenproduktion: Gras Reinbestand</t>
  </si>
  <si>
    <t>Exploitation conventionnelle, peu de travail manuel</t>
  </si>
  <si>
    <t>UGB maximal par ha maïs ou betteraves fourragères</t>
  </si>
  <si>
    <t>Niveaux de la surface</t>
  </si>
  <si>
    <t>Quotient du niveau de la surface</t>
  </si>
  <si>
    <t>Niveaux des animaux</t>
  </si>
  <si>
    <t>Besoins nets des fruits en éléments nutritifs selon le guide Suisse-Bilanz</t>
  </si>
  <si>
    <t>Presse</t>
  </si>
  <si>
    <t>Tronçonneuse</t>
  </si>
  <si>
    <t>Eigentum</t>
  </si>
  <si>
    <t>Tabak</t>
  </si>
  <si>
    <t>Nettoyage d'étables et soins aux bovins</t>
  </si>
  <si>
    <t>vom Ansch.preis</t>
  </si>
  <si>
    <t>surf. herb. Permanentes</t>
  </si>
  <si>
    <t>&lt; 18%, 4 coupes de conserv., bas</t>
  </si>
  <si>
    <t>Ja/Nein</t>
  </si>
  <si>
    <t>Ja</t>
  </si>
  <si>
    <t>Nein</t>
  </si>
  <si>
    <t>(120*0.1+180*0.3)/365</t>
  </si>
  <si>
    <t>Parzellengrösse Ackerbau</t>
  </si>
  <si>
    <t>Parzellengrösse Futterbau</t>
  </si>
  <si>
    <t>Anzahl Teilflächen (Bsi-Kultur)</t>
  </si>
  <si>
    <t xml:space="preserve">1 Teilfläche  </t>
  </si>
  <si>
    <t>Verluste und Fehlerbereich stimmen nicht</t>
  </si>
  <si>
    <t>reste de la surf.</t>
  </si>
  <si>
    <t>pro AE</t>
  </si>
  <si>
    <t>AE/J.**</t>
  </si>
  <si>
    <t>Zusatzgeräte</t>
  </si>
  <si>
    <t>Wagen</t>
  </si>
  <si>
    <t>Pflug</t>
  </si>
  <si>
    <t>Egge</t>
  </si>
  <si>
    <t>Walze</t>
  </si>
  <si>
    <t>Sämaschine</t>
  </si>
  <si>
    <t>Location bâtiments et terres à des tiers</t>
  </si>
  <si>
    <t>Pour les exploitations avec simultanément différentes formes de culture du maïs</t>
  </si>
  <si>
    <t>Maïs d'ensilage</t>
  </si>
  <si>
    <t>Maïs-grain</t>
  </si>
  <si>
    <t>Liquidités annuelles disponibles selon l'onglet Flux monétaires avant projet</t>
  </si>
  <si>
    <t>Moyenne des années</t>
  </si>
  <si>
    <t>jusqu'à</t>
  </si>
  <si>
    <t>Charge totale supplém. avec intérêts et remboursements</t>
  </si>
  <si>
    <t>Sie haben dem Mistplatz Nr.</t>
  </si>
  <si>
    <t>Apport de fortune et intérêts calculés des capitaux propres par partenaire</t>
  </si>
  <si>
    <t>Resultat ist nur interpretierbar, wenn die Blätter der Partner vollständig ausgefüllt sind!</t>
  </si>
  <si>
    <t>&gt; 35%</t>
  </si>
  <si>
    <t>35% - 50 %</t>
  </si>
  <si>
    <t>&gt; 50%</t>
  </si>
  <si>
    <t>Terrassen</t>
  </si>
  <si>
    <t>Ackerbohnen, Eiweisserbsen, Lupinen</t>
  </si>
  <si>
    <t>Rindvieh, Pferde, Bisons, Milchziegen, Milchschafe</t>
  </si>
  <si>
    <t>Uebrige Ziegen u. Schafe, Hirsche, Lamas, Alpakas</t>
  </si>
  <si>
    <t>Flächenziffer</t>
  </si>
  <si>
    <t>31 Talzone</t>
  </si>
  <si>
    <t>Concentrés tot. dans l’exploitation à l‘année pour vaches laitières</t>
  </si>
  <si>
    <t xml:space="preserve">la suite de caractères </t>
  </si>
  <si>
    <t>Offre nette</t>
  </si>
  <si>
    <t>Besoin en MS des animaux</t>
  </si>
  <si>
    <t>HDC</t>
  </si>
  <si>
    <t>EFA</t>
  </si>
  <si>
    <t>EFB</t>
  </si>
  <si>
    <t>18-35%, 2 Kons.-schnitte, tief</t>
  </si>
  <si>
    <t>Elevage au sol, stabulation mobile</t>
  </si>
  <si>
    <t>Volière, travail manuel élevé</t>
  </si>
  <si>
    <t>Volière, peu de travail manuel</t>
  </si>
  <si>
    <t>Herbages et surfaces à litière riches</t>
  </si>
  <si>
    <t>en espèces de la région d'estivage</t>
  </si>
  <si>
    <t>**</t>
  </si>
  <si>
    <t>Abres</t>
  </si>
  <si>
    <t>Arbres isolés et allées d'arbres</t>
  </si>
  <si>
    <t>Regionsspezifische BFF</t>
  </si>
  <si>
    <t>Die Beiträge können abweichen, da der Kanton die Beitragsansätze für die Vernetzung festlegt.</t>
  </si>
  <si>
    <t>3) La norme s'applique à l'exploitation exploité toute l'année. Une exploitation saisonnière peut être prise en compte par le calcul des absences,</t>
  </si>
  <si>
    <t>KW/ZF/GD ansäen</t>
  </si>
  <si>
    <t>Choux frisé léger</t>
  </si>
  <si>
    <t>Anfallsmenge</t>
  </si>
  <si>
    <t>Tierart /</t>
  </si>
  <si>
    <t>Einh.</t>
  </si>
  <si>
    <t>DGVE1) /</t>
  </si>
  <si>
    <t>Revenu accessoire provenant d'activités indépendantes</t>
  </si>
  <si>
    <t>Résultats des activités accessoires</t>
  </si>
  <si>
    <t>Pruduction de semences, graminées</t>
  </si>
  <si>
    <t>Mähdrusch, 1 Futterkonservierung</t>
  </si>
  <si>
    <t>Direktzahlungen und andere Beiträge für Übertrag in Erfolgs- und Mittelflussrechnung</t>
  </si>
  <si>
    <t>Zusammenstellung für Übertrag in Erfolgs- und Mittelflussrechnung</t>
  </si>
  <si>
    <t>Moins Ø pertes stockage</t>
  </si>
  <si>
    <t>Tabac</t>
  </si>
  <si>
    <t>Petits pois de conserve</t>
  </si>
  <si>
    <t>Pois total</t>
  </si>
  <si>
    <t>Cult. maraîchères</t>
  </si>
  <si>
    <t>Viola (Stiefmütterchen, Pensée)</t>
  </si>
  <si>
    <t>1) Die Lagerplätze der I/E-Bilanz und der beteiligten Tierkategorien (Blatt "HDA") müssen übereinstimmen.</t>
  </si>
  <si>
    <t>Jahrgang</t>
  </si>
  <si>
    <t>Tomates 2400 kg de rendement</t>
  </si>
  <si>
    <t>Tomates 3000 kg de rendement</t>
  </si>
  <si>
    <t>Courgettes, pâtisson</t>
  </si>
  <si>
    <t>Moyenne légumes en serre</t>
  </si>
  <si>
    <t>Fruits à pépins</t>
  </si>
  <si>
    <t>Fruits à pépins, rendement élevé</t>
  </si>
  <si>
    <t>dt MS x volume stockage</t>
  </si>
  <si>
    <t>Foin</t>
  </si>
  <si>
    <t>Mistplatz; befestigte, nicht überdachte Laufplätze</t>
  </si>
  <si>
    <t>Vorplatz, Waschplatz (betriebsspezifisch zu erheben)</t>
  </si>
  <si>
    <t>en fermage</t>
  </si>
  <si>
    <t>Remarques</t>
  </si>
  <si>
    <t>Date</t>
  </si>
  <si>
    <t>Signature</t>
  </si>
  <si>
    <t>chk_Spezkulturen</t>
  </si>
  <si>
    <t>Verfügbares nettomonetäres Umlaufvermögen gemäss Abrechnungen der Partner</t>
  </si>
  <si>
    <t>Base de données grandes cultures et herbages</t>
  </si>
  <si>
    <t>Veaux de vaches allait. pour engr.</t>
  </si>
  <si>
    <t xml:space="preserve"> = Coûts totaux par personne</t>
  </si>
  <si>
    <t>Gemüse-</t>
  </si>
  <si>
    <t>aber vor dem</t>
  </si>
  <si>
    <t>Hoher Ertrag: Tafeltrauben</t>
  </si>
  <si>
    <t>Vollmist-Nges</t>
  </si>
  <si>
    <t>Abzug für die pro Jahr verfügbare Menge an nährstoffarmem Futter (dt GFnährstoffarm)</t>
  </si>
  <si>
    <t>Text 28</t>
  </si>
  <si>
    <t>Übrige Tiere</t>
  </si>
  <si>
    <t>Zuchtschweine und Ferkel</t>
  </si>
  <si>
    <t>Text 37</t>
  </si>
  <si>
    <t>Text 38</t>
  </si>
  <si>
    <t>Text 39</t>
  </si>
  <si>
    <t>Rectangle 20</t>
  </si>
  <si>
    <t>Rectangle 21</t>
  </si>
  <si>
    <t>Rectangle 22</t>
  </si>
  <si>
    <t>Rectangle 23</t>
  </si>
  <si>
    <t>Rectangle 24</t>
  </si>
  <si>
    <t>Rectangle 25</t>
  </si>
  <si>
    <t>Rectangle 1</t>
  </si>
  <si>
    <t>Rectangle 3</t>
  </si>
  <si>
    <t>Veaux, bovins et buffles d'Asie, jusqu'à 160 jours</t>
  </si>
  <si>
    <t>Getreide, ohne Körnermais</t>
  </si>
  <si>
    <t>céréales, sans mais grain</t>
  </si>
  <si>
    <t>qui séjournent uniquement au pâturage pendant le semestre d’été.</t>
  </si>
  <si>
    <t>Contribution supplémentaire pour veaux, bovins et buffles d'Asie, jusqu'à 365 jours,</t>
  </si>
  <si>
    <t>Obstbau, Rebbau: Teilverzicht auf Herbizide</t>
  </si>
  <si>
    <t>Obstbau, Rebbau: Vollständiger Verzicht auf Herbizide</t>
  </si>
  <si>
    <t>Obstbau, Rebbau: Teilverzicht auf Fungizide</t>
  </si>
  <si>
    <t>Arboriculture fruitière, viticulture: Non-recours partiel aux herbicides</t>
  </si>
  <si>
    <t>Arboriculture fruitière, viticulture: Non-recours total aux herbicides</t>
  </si>
  <si>
    <t>Arboriculture fruitière, viticulture: Non-recours partiel aux fongicides</t>
  </si>
  <si>
    <t>Mastschweine</t>
  </si>
  <si>
    <t>Legehennen</t>
  </si>
  <si>
    <t>Mastgeflügel</t>
  </si>
  <si>
    <t>Gesamtbetrieb</t>
  </si>
  <si>
    <t>Plans techniques</t>
  </si>
  <si>
    <t>Picture 1</t>
  </si>
  <si>
    <t>Drop Down 2</t>
  </si>
  <si>
    <t>Drop Down 3</t>
  </si>
  <si>
    <t>Cifre chiave</t>
  </si>
  <si>
    <t>Coltura</t>
  </si>
  <si>
    <t>colture</t>
  </si>
  <si>
    <t>Nicht überdachte Flachsiloplatten mit vollständiger Entwässerung in Güllengrube</t>
  </si>
  <si>
    <t>Nicht überdachte Flachsiloplatten mit  Entwässerung über Silosaftrinne</t>
  </si>
  <si>
    <t>Basisfläche</t>
  </si>
  <si>
    <t>Mastschweine 26 -100 kg LG</t>
  </si>
  <si>
    <t>Porcs à l'engrais 26 -100 kg PV</t>
  </si>
  <si>
    <t xml:space="preserve">Mastschweine &gt; 26 kg LG, Remonten </t>
  </si>
  <si>
    <t>Maultiere, Maulesel, über 180-tägig</t>
  </si>
  <si>
    <t>Maultiere, Maulesel, bis 180-tägig</t>
  </si>
  <si>
    <t>gattung und Wasserbüffel, die im Sommer ausschliesslich geweidet werden.</t>
  </si>
  <si>
    <t>Zusatzbeitrag für weibliche Tiere, bis 1-jährig, sowie für alle Stiere der Rinder-</t>
  </si>
  <si>
    <t>Normalbesatz*</t>
  </si>
  <si>
    <t>Charge usuelle*</t>
  </si>
  <si>
    <t>Carico usuale*</t>
  </si>
  <si>
    <t>Versorgungssicherheitsbeiträge, VSB, Art. 50 bis 54 und Anhang 7 DZV</t>
  </si>
  <si>
    <t>Aufnahme mittel- und langfristiges Fremdkapital Betrieb</t>
  </si>
  <si>
    <t>Tilgung mittel- und langfristiges Fremdkapital Betrieb</t>
  </si>
  <si>
    <t>Maultiere, Maulesel jeden Alters</t>
  </si>
  <si>
    <t>Text Anmerk_2</t>
  </si>
  <si>
    <t>chk_WW</t>
  </si>
  <si>
    <t>chk_FW</t>
  </si>
  <si>
    <t>40 animaux</t>
  </si>
  <si>
    <t>60 animaux</t>
  </si>
  <si>
    <t>[+] Perdite e margine d'errore</t>
  </si>
  <si>
    <t>Produzione</t>
  </si>
  <si>
    <t>Gemeinschaft</t>
  </si>
  <si>
    <t>Partner A</t>
  </si>
  <si>
    <t>Partner B</t>
  </si>
  <si>
    <t>Partner C</t>
  </si>
  <si>
    <t>C1: Besoins pour la production de fourrages</t>
  </si>
  <si>
    <t>Das Milchkontingent muss eine Zahl (ohne Einheit) enthalten</t>
  </si>
  <si>
    <t>Soll die Zeichenfolge</t>
  </si>
  <si>
    <t>Fermage/ha</t>
  </si>
  <si>
    <t>Propriétaire</t>
  </si>
  <si>
    <t xml:space="preserve"> + surf. à litière</t>
  </si>
  <si>
    <t>Milchleistung verändern</t>
  </si>
  <si>
    <t>Zwischentotal Kulturlandschaftsbeiträge</t>
  </si>
  <si>
    <t>je Hektare düngbare Fläche (DF)</t>
  </si>
  <si>
    <r>
      <t>P</t>
    </r>
    <r>
      <rPr>
        <b/>
        <vertAlign val="subscript"/>
        <sz val="8"/>
        <rFont val="Arial"/>
        <family val="2"/>
      </rPr>
      <t>2</t>
    </r>
    <r>
      <rPr>
        <b/>
        <sz val="8"/>
        <rFont val="Arial"/>
        <family val="2"/>
      </rPr>
      <t>O</t>
    </r>
    <r>
      <rPr>
        <b/>
        <vertAlign val="subscript"/>
        <sz val="8"/>
        <rFont val="Arial"/>
        <family val="2"/>
      </rPr>
      <t>5</t>
    </r>
  </si>
  <si>
    <r>
      <t>K</t>
    </r>
    <r>
      <rPr>
        <b/>
        <vertAlign val="subscript"/>
        <sz val="8"/>
        <rFont val="Arial"/>
        <family val="2"/>
      </rPr>
      <t>2</t>
    </r>
    <r>
      <rPr>
        <b/>
        <sz val="8"/>
        <rFont val="Arial"/>
        <family val="2"/>
      </rPr>
      <t>O</t>
    </r>
  </si>
  <si>
    <t>chkUnselbstNE</t>
  </si>
  <si>
    <t>chkRenten</t>
  </si>
  <si>
    <t>Energiekorrigierte Werte</t>
  </si>
  <si>
    <t>2 Teilflächen</t>
  </si>
  <si>
    <t>Féverole, pois protéagineux</t>
  </si>
  <si>
    <t>* Plantes aromatique et médicinales</t>
  </si>
  <si>
    <t>40 places</t>
  </si>
  <si>
    <t>50 Plätze</t>
  </si>
  <si>
    <t>kg/Tier/Jahr</t>
  </si>
  <si>
    <t>kg/bête/an</t>
  </si>
  <si>
    <t>Grandes cultures et maraîchages</t>
  </si>
  <si>
    <t xml:space="preserve">après le </t>
  </si>
  <si>
    <t>mais avant le</t>
  </si>
  <si>
    <t>Indice</t>
  </si>
  <si>
    <t>Bodennutzung</t>
  </si>
  <si>
    <t>Haies et bosquets champêtres, surfaces viticoles à haute diversité, autres SPB</t>
  </si>
  <si>
    <t>BFF an der LN</t>
  </si>
  <si>
    <t>BFF Grünland</t>
  </si>
  <si>
    <t>SPB de la SAU</t>
  </si>
  <si>
    <t>SPB des herbages</t>
  </si>
  <si>
    <t>Biodiversitätsförderung</t>
  </si>
  <si>
    <t xml:space="preserve">Tabelle aktualisieren </t>
  </si>
  <si>
    <t>Cette action supprime définitivement toutes les feuilles qui ne sont pas nécessaire à 'Paidir'. C'est pourquoi le classeur ne doit pas contenir de données!</t>
  </si>
  <si>
    <t xml:space="preserve">terminée le </t>
  </si>
  <si>
    <t>Surface [ha]</t>
  </si>
  <si>
    <t>Milchkühe, Ø Milchmenge:</t>
  </si>
  <si>
    <t>Wenig intensive Wiesen und Weiden, 1-3 Nutzungen</t>
  </si>
  <si>
    <t>giorni</t>
  </si>
  <si>
    <t>35-50%, haut</t>
  </si>
  <si>
    <t>Bas</t>
  </si>
  <si>
    <t>Moyen</t>
  </si>
  <si>
    <t>Vom Betrieb weggeführte Rübenblätter</t>
  </si>
  <si>
    <t>Sprache:</t>
  </si>
  <si>
    <t>Langue:</t>
  </si>
  <si>
    <t>Erfüllung der Anteile (Gras, Kraftfutter) der Ration</t>
  </si>
  <si>
    <t>surfaces avec</t>
  </si>
  <si>
    <t>Arbres fruitiers à haute tige (type 8), 1 are par arbre</t>
  </si>
  <si>
    <t>Arbres isolés indigènes (type 9), 1 are par arbre</t>
  </si>
  <si>
    <t>Typ 100</t>
  </si>
  <si>
    <t>Alimentation hivernale manuelle, évacuation du fumier en partie mécan.</t>
  </si>
  <si>
    <t>Volume de stockage net (sans volume de manutention)</t>
  </si>
  <si>
    <t>Disponible:</t>
  </si>
  <si>
    <t xml:space="preserve">Mindestfläche für den ökologischen Leistungsnachweis </t>
  </si>
  <si>
    <t>Unselbständige Nebeneinkommen</t>
  </si>
  <si>
    <t>Kinderzulagen</t>
  </si>
  <si>
    <t>Personen</t>
  </si>
  <si>
    <t>Part max. four-</t>
  </si>
  <si>
    <t>rage ext. utilis.</t>
  </si>
  <si>
    <t>Consommation MS</t>
  </si>
  <si>
    <t>Hiver</t>
  </si>
  <si>
    <t>Eté</t>
  </si>
  <si>
    <t>Intérêts calculés des capitaux propres</t>
  </si>
  <si>
    <t>Taux d'intérêts</t>
  </si>
  <si>
    <t>Andere Nutztiere</t>
  </si>
  <si>
    <t>Andere Ziegen über 1-jährig</t>
  </si>
  <si>
    <t xml:space="preserve">    - Erträge Zwischenkulturen max. 25 dt TS</t>
  </si>
  <si>
    <t xml:space="preserve">    - Code wählen: Zu-, Verkauf, GF produziert ausserhalb der Futterfläche</t>
  </si>
  <si>
    <t xml:space="preserve">Exigence des parts (herbes, concentrés) dans la ration satisfaite </t>
  </si>
  <si>
    <t>CHF</t>
  </si>
  <si>
    <t>≥</t>
  </si>
  <si>
    <t>≤</t>
  </si>
  <si>
    <t xml:space="preserve"> GVE; Tretmiststall</t>
  </si>
  <si>
    <t>Autres indications</t>
  </si>
  <si>
    <t>Total auf der Futterfläche zu produzierendes Grundfutter (GFprod)</t>
  </si>
  <si>
    <t xml:space="preserve"> = Total Kosten</t>
  </si>
  <si>
    <t xml:space="preserve"> x  Anzahl Arbeitsmonate</t>
  </si>
  <si>
    <t xml:space="preserve"> = Total Kosten je Person</t>
  </si>
  <si>
    <t>Einkommen aus Privat</t>
  </si>
  <si>
    <t>OB</t>
  </si>
  <si>
    <t>Jv</t>
  </si>
  <si>
    <t>Milch</t>
  </si>
  <si>
    <t>Gf</t>
  </si>
  <si>
    <t>Légumineuses</t>
  </si>
  <si>
    <t>Surfaces servant à la détention de porcs en plein air</t>
  </si>
  <si>
    <t>Pfirsich, hoher Ertrag</t>
  </si>
  <si>
    <t>Kiwi</t>
  </si>
  <si>
    <t>Kiwi, hoher Ertrag</t>
  </si>
  <si>
    <t xml:space="preserve">Kleine gemischte Anlagen (&lt; 20 a) </t>
  </si>
  <si>
    <t>verluste</t>
  </si>
  <si>
    <t>Button 4</t>
  </si>
  <si>
    <t>Line 1</t>
  </si>
  <si>
    <t>chk_Schweine</t>
  </si>
  <si>
    <t>chkPausch</t>
  </si>
  <si>
    <t>Déductions pour la fortune :</t>
  </si>
  <si>
    <t>Einkommensabzug</t>
  </si>
  <si>
    <t>Déductions pour le revenu :</t>
  </si>
  <si>
    <t>Valeurs d'énergie corrigées</t>
  </si>
  <si>
    <t>Vaches laitières</t>
  </si>
  <si>
    <t>prod. laitière Ø:</t>
  </si>
  <si>
    <t>Zuchtschweine als kombinierte Einheit erfassen</t>
  </si>
  <si>
    <t>Bovins</t>
  </si>
  <si>
    <t>Bovins et buffles d'Asie</t>
  </si>
  <si>
    <t>Rucola, zwei Schnitte</t>
  </si>
  <si>
    <t>Porcs d'élevage y compris porcelet 1)</t>
  </si>
  <si>
    <t>jusqu' au 2008</t>
  </si>
  <si>
    <t>dès 2009</t>
  </si>
  <si>
    <t>Gemüsebau, Diverses</t>
  </si>
  <si>
    <t>Une des surfaces saisies dépasse la surface déclarée dans la feuille "SCE" !</t>
  </si>
  <si>
    <t>Un nombre saisi dépasse le nombre déclaré dans la feuille "SCE" !</t>
  </si>
  <si>
    <t>Arbres haute-tige</t>
  </si>
  <si>
    <t>Apport de capitaux propres</t>
  </si>
  <si>
    <t>Courgette, pâtisson, courge</t>
  </si>
  <si>
    <t>Pain de sucre</t>
  </si>
  <si>
    <t>30 vaches, livraison avec tank à lait</t>
  </si>
  <si>
    <t>der Raumplanung, Strukturverbesserungen und soziale Begleitmassnahmen</t>
  </si>
  <si>
    <t xml:space="preserve">SAK: Zuschläge gültig für Bodenrecht, Pachtrecht, Massnahmen im Bereich </t>
  </si>
  <si>
    <t>Total UMOS y compris les suppléments</t>
  </si>
  <si>
    <t>Fumier de stabulation libre et peu de purin (60-90% paillés)</t>
  </si>
  <si>
    <t>Total Biodiversitätsbeitrag vor Begrenzung</t>
  </si>
  <si>
    <t>pro Tierart</t>
  </si>
  <si>
    <t>bedarf</t>
  </si>
  <si>
    <t>im Winter</t>
  </si>
  <si>
    <t>Aufstallungssystem</t>
  </si>
  <si>
    <t>im</t>
  </si>
  <si>
    <t>MSP /</t>
  </si>
  <si>
    <t>1. Verbrauch</t>
  </si>
  <si>
    <t>Nverf (Fu.b.)</t>
  </si>
  <si>
    <t>Rend. tot.</t>
  </si>
  <si>
    <t>Rendement Ø</t>
  </si>
  <si>
    <t>mot de passe non valable</t>
  </si>
  <si>
    <t>Lavorazione rispettosa del suolo**</t>
  </si>
  <si>
    <t>Semina diretta</t>
  </si>
  <si>
    <t>Semina a bande</t>
  </si>
  <si>
    <t>A2: Consommation de fourrage par les animaux consommant des fourrages grossiers</t>
  </si>
  <si>
    <t>A2: Grundfutterverzehr Raufutterverzehrer</t>
  </si>
  <si>
    <t>20 capi</t>
  </si>
  <si>
    <t>30 capi</t>
  </si>
  <si>
    <t>40 capi</t>
  </si>
  <si>
    <t>50 capi</t>
  </si>
  <si>
    <t>5 poste</t>
  </si>
  <si>
    <t>Kotarme Gülle und Stapelmist</t>
  </si>
  <si>
    <t>Der benannte Bereich [RaufutterVerzehrer] auf Tabelle 'D_Tierb' muss dem gleichnamigen Bereich von 'Tierb' entsprechen!</t>
  </si>
  <si>
    <t>Spezialkulturenformulare:</t>
  </si>
  <si>
    <t>Düngungsplan:</t>
  </si>
  <si>
    <t>Datum:</t>
  </si>
  <si>
    <t>Privatverbrauch etweder detailliert oder pro VbE erfassen!</t>
  </si>
  <si>
    <t>à établir</t>
  </si>
  <si>
    <t>Hinweis zur Arbeitskraft-Bilanz</t>
  </si>
  <si>
    <t>Zuckerrübenblätter</t>
  </si>
  <si>
    <t>Verrat</t>
  </si>
  <si>
    <t>Truie allaitante, y c. porcelets, par rotation</t>
  </si>
  <si>
    <t>Zuchtschweine, säugend, pro Umtrieb</t>
  </si>
  <si>
    <t>Autruche jusqu'à 13 mois</t>
  </si>
  <si>
    <t>Strausse &lt; 13 Monate</t>
  </si>
  <si>
    <t>Autruche plus de 13 mois</t>
  </si>
  <si>
    <t>Strausse &gt; 13 Monate</t>
  </si>
  <si>
    <t>Bilanz</t>
  </si>
  <si>
    <t xml:space="preserve">%    </t>
  </si>
  <si>
    <t>Besatz Betrieb</t>
  </si>
  <si>
    <t>Unterhaltskosten durch Investitionen</t>
  </si>
  <si>
    <t xml:space="preserve"> = Bruttobetriebsüberschuss</t>
  </si>
  <si>
    <t>Kategorien bis 2008</t>
  </si>
  <si>
    <t>bis 2008</t>
  </si>
  <si>
    <t>DB Milchvieh ohne Kosten für Vertragsmenge</t>
  </si>
  <si>
    <t>Besoin d'eau par UGB</t>
  </si>
  <si>
    <t>Mouvements externes au privé et à l'exploitation extra-agricole</t>
  </si>
  <si>
    <t>Spinat</t>
  </si>
  <si>
    <t xml:space="preserve">Tomaten  1200 kg Ertrag </t>
  </si>
  <si>
    <t>Eaux usées domestiques</t>
  </si>
  <si>
    <t>chk_WG</t>
  </si>
  <si>
    <t>chk_WRP</t>
  </si>
  <si>
    <t>chk_WRH</t>
  </si>
  <si>
    <t>chk_WT</t>
  </si>
  <si>
    <t>chk_Ra_Oel</t>
  </si>
  <si>
    <t>chk_Ra_RME</t>
  </si>
  <si>
    <t>Text Anmerk_3</t>
  </si>
  <si>
    <t>Durée Ø utilisation</t>
  </si>
  <si>
    <t>années</t>
  </si>
  <si>
    <t>RGVE min.</t>
  </si>
  <si>
    <t>UGBFG min.</t>
  </si>
  <si>
    <t>Auf diesem Blatt fehlt die [FehlerMeldung]</t>
  </si>
  <si>
    <t>Cette surface correspond à la somme de céréales, sarclées, cultures maraîchères</t>
  </si>
  <si>
    <t>et diverses de la feuille "Surface".</t>
  </si>
  <si>
    <t>Lino da fibra</t>
  </si>
  <si>
    <t>Canapa da fibra</t>
  </si>
  <si>
    <t>Girasole</t>
  </si>
  <si>
    <t>Tabacco Burley</t>
  </si>
  <si>
    <t>Tabacco Virginia</t>
  </si>
  <si>
    <t>Maggese da rotazione</t>
  </si>
  <si>
    <t>Maggese fiorito</t>
  </si>
  <si>
    <t>Luppolo</t>
  </si>
  <si>
    <t>ha resp. UGB</t>
  </si>
  <si>
    <t>Taux/unité</t>
  </si>
  <si>
    <t>SAU sans les cultures spéciales</t>
  </si>
  <si>
    <t>Quantité en kg par an</t>
  </si>
  <si>
    <t>Semis jachère tournante</t>
  </si>
  <si>
    <t>Indiquer les UGB des bovins et buffles selon les nouvelles catégories</t>
  </si>
  <si>
    <t>Le nouveau nom ne doit contenir ni espaces ni signes particuliers (p.ex. .,:/&amp;)!</t>
  </si>
  <si>
    <t>Un classeur avec ce nom est déjà ouvert!</t>
  </si>
  <si>
    <t>Rend. standard</t>
  </si>
  <si>
    <t>Rend. récolté</t>
  </si>
  <si>
    <t>Quantité totale</t>
  </si>
  <si>
    <t>10 poste</t>
  </si>
  <si>
    <t>20 poste</t>
  </si>
  <si>
    <t>40 poste</t>
  </si>
  <si>
    <t>Vacca madre con vitello</t>
  </si>
  <si>
    <t>Ressourceneffizienzbeiträge (nationale)</t>
  </si>
  <si>
    <t>Bezüge je Partner im 1. Jahr (siehe Punkt 1)</t>
  </si>
  <si>
    <t>Bezüge je Partner im 5. Jahr</t>
  </si>
  <si>
    <t>Bezüge total im 5. Jahr</t>
  </si>
  <si>
    <t>Dialogue_UGB</t>
  </si>
  <si>
    <t>Futterzukauf</t>
  </si>
  <si>
    <t>Futterverzehr Kontrollspalten</t>
  </si>
  <si>
    <t>Futtermittel</t>
  </si>
  <si>
    <t>% TS</t>
  </si>
  <si>
    <t>Futter-menge 
dt FS</t>
  </si>
  <si>
    <t>Futter-menge 
dt TS</t>
  </si>
  <si>
    <t>Fehler-Zellen:</t>
  </si>
  <si>
    <t>Orzo</t>
  </si>
  <si>
    <t>Segale</t>
  </si>
  <si>
    <t xml:space="preserve"> maximal 4 Gaben pro Jahr sind beitragsberechtigt</t>
  </si>
  <si>
    <t xml:space="preserve">* Année avec le plus haut montant de paiements directs généraux parmi les années 2011 à 2013  </t>
  </si>
  <si>
    <t>Landschaftsqualitätsbeitrag (LQB, Art. 60 und 61 und Anhang 7 DZV)</t>
  </si>
  <si>
    <t>30 Mutterkühe</t>
  </si>
  <si>
    <t>Vaches laitières dans une exploitation d’estivage</t>
  </si>
  <si>
    <t>Autres animaux de rente dans une exploitation d’estivage</t>
  </si>
  <si>
    <t>Petits fruits et baies, plantes médicinales et aromatiques</t>
  </si>
  <si>
    <t>Serres reposant sur des fondations permanentes</t>
  </si>
  <si>
    <t>Tunnels ou châssis</t>
  </si>
  <si>
    <t>Production de champignons dans des tunnels ou des bâtiments</t>
  </si>
  <si>
    <t>Flächen mit Mindesttierbesatzanforderung</t>
  </si>
  <si>
    <t>Surfaces avec charge minimale en bétail</t>
  </si>
  <si>
    <t>Verkauf Tränkekälber</t>
  </si>
  <si>
    <t>Verkauf Mastkälber</t>
  </si>
  <si>
    <t>Aufzuchtkälber</t>
  </si>
  <si>
    <t>type</t>
  </si>
  <si>
    <t>flottant</t>
  </si>
  <si>
    <t>Flächendifferenz von:</t>
  </si>
  <si>
    <t>Faktor für Beitrag</t>
  </si>
  <si>
    <t>vom Tierbesatz abhängig</t>
  </si>
  <si>
    <t>Voraussetzungen für Mindestanteile der Ration nicht erfüllt!</t>
  </si>
  <si>
    <t>Tierkategorie</t>
  </si>
  <si>
    <t>Futtertage</t>
  </si>
  <si>
    <t>Wiesen im Sömmerungsgebiet</t>
  </si>
  <si>
    <t xml:space="preserve"> -------</t>
  </si>
  <si>
    <t>Waldweide</t>
  </si>
  <si>
    <t>d</t>
  </si>
  <si>
    <t>Heidelbeeren, hoher Ertrag</t>
  </si>
  <si>
    <t>Datenbank Bodenschutzfaktor (A5)</t>
  </si>
  <si>
    <t>Kulturen im Winterhalbjahr</t>
  </si>
  <si>
    <t>Index</t>
  </si>
  <si>
    <t>Vorkultur</t>
  </si>
  <si>
    <t>Pour la saisie globale, activez la case !</t>
  </si>
  <si>
    <t>Saum auf Ackerfläche TZ - B II</t>
  </si>
  <si>
    <t>UGB/PP/PPE</t>
  </si>
  <si>
    <t>Wasser im</t>
  </si>
  <si>
    <t>Eau en</t>
  </si>
  <si>
    <t>Nettoyage en été</t>
  </si>
  <si>
    <t>Ndisp grandes cultures</t>
  </si>
  <si>
    <t>Ndisp cultures fourragères</t>
  </si>
  <si>
    <t>Prélèvement des partenaires</t>
  </si>
  <si>
    <t>Achats d'immobilisations</t>
  </si>
  <si>
    <t>Befestigte, nicht überdachte Laufplätze</t>
  </si>
  <si>
    <t>Légumes</t>
  </si>
  <si>
    <t xml:space="preserve">Grandes cultures </t>
  </si>
  <si>
    <t>Butt Dirzahl</t>
  </si>
  <si>
    <t>Exemple: carottes transformation</t>
  </si>
  <si>
    <t>Besoins totaux en éléments nutritifs des cultures maraîchères:</t>
  </si>
  <si>
    <t>Production de semences: Graminées pures</t>
  </si>
  <si>
    <t>Poireaux</t>
  </si>
  <si>
    <t>Melons</t>
  </si>
  <si>
    <t>Galtsauen 2)</t>
  </si>
  <si>
    <t>Laufstallmist und viel Gülle (10-40% eingestreut)</t>
  </si>
  <si>
    <t>Fumier de stabulation libre et bcp de purin (10-40% paillés)</t>
  </si>
  <si>
    <t>Animaux en pension</t>
  </si>
  <si>
    <t>Prestations diverses</t>
  </si>
  <si>
    <t>surveillance permanente par le berger</t>
  </si>
  <si>
    <t>Zwischenfutter (KW), Aeugstlen, Frühjahrsschnitt vor Umbruch</t>
  </si>
  <si>
    <t>Produktionssystembeiträge</t>
  </si>
  <si>
    <t>Contributions au système de production</t>
  </si>
  <si>
    <t>PGO</t>
  </si>
  <si>
    <t>PGO; allevamento su lettiera profonda,</t>
  </si>
  <si>
    <t>Superfici per l'uscita regolare all'aperto (URA)</t>
  </si>
  <si>
    <t>Indice di protezione del suolo</t>
  </si>
  <si>
    <t>Kabis Einschneide-</t>
  </si>
  <si>
    <t>Karotten Pariser</t>
  </si>
  <si>
    <t>Karotten Bund-, Früh-</t>
  </si>
  <si>
    <t>Kirschen</t>
  </si>
  <si>
    <t>Kirschen, hoher Ertrag</t>
  </si>
  <si>
    <t>Zwetschgen</t>
  </si>
  <si>
    <t xml:space="preserve">Jachères </t>
  </si>
  <si>
    <t>florales</t>
  </si>
  <si>
    <t>tournantes</t>
  </si>
  <si>
    <t>Ourlets sur</t>
  </si>
  <si>
    <t>Faserhanf</t>
  </si>
  <si>
    <t>Beitragsberechtigte Fläche</t>
  </si>
  <si>
    <t>Surface donnant droit à des contributions</t>
  </si>
  <si>
    <t>Haies &amp; bosquets, zone de berge</t>
  </si>
  <si>
    <t>Adresse:</t>
  </si>
  <si>
    <t>PLZ, Ort:</t>
  </si>
  <si>
    <t>Betriebsnr.:</t>
  </si>
  <si>
    <t>Telefon:</t>
  </si>
  <si>
    <t>Landw. Nutzfläche, ha :</t>
  </si>
  <si>
    <t>Surf. viticoles à biodiversité naturelle</t>
  </si>
  <si>
    <t>Superficie minima per BIO</t>
  </si>
  <si>
    <t>Qualité biologique</t>
  </si>
  <si>
    <t>Mise en réseau</t>
  </si>
  <si>
    <t>Rinder bis 160 Tage alt</t>
  </si>
  <si>
    <t>Besoins en MOh et en heures de forces de traction</t>
  </si>
  <si>
    <t>Sous-catégories pour Suisse-Bilanz</t>
  </si>
  <si>
    <t>Nourrices</t>
  </si>
  <si>
    <t>arbres fruitiers haute-tige</t>
  </si>
  <si>
    <t>Serra con fondamenta fisse</t>
  </si>
  <si>
    <t>Laufstallmist und Gülle (40-60% eingestreut)</t>
  </si>
  <si>
    <t>Uebr. Wiesen mit Düngeverbot</t>
  </si>
  <si>
    <t>c</t>
  </si>
  <si>
    <t>Nährstoffe aus Import/Export Bilanzen</t>
  </si>
  <si>
    <t>Privat</t>
  </si>
  <si>
    <t>Schulden</t>
  </si>
  <si>
    <t>BG</t>
  </si>
  <si>
    <t>PartnerA</t>
  </si>
  <si>
    <t>Contribution unique par machine</t>
  </si>
  <si>
    <t>Type d'activité accessoire</t>
  </si>
  <si>
    <t>Allocations, rentes et assurances</t>
  </si>
  <si>
    <t>Total Grundfutterverbrauch</t>
  </si>
  <si>
    <t>Butt NPr</t>
  </si>
  <si>
    <t>Text 3</t>
  </si>
  <si>
    <t>Text 25</t>
  </si>
  <si>
    <t>Text 27</t>
  </si>
  <si>
    <t>chk_RW_100</t>
  </si>
  <si>
    <t>chk_RW_104</t>
  </si>
  <si>
    <t>chk_RW_112</t>
  </si>
  <si>
    <t>chk_RW_120</t>
  </si>
  <si>
    <t>chk_RW_124</t>
  </si>
  <si>
    <t>chk_RW_128</t>
  </si>
  <si>
    <t>chk_RW_132</t>
  </si>
  <si>
    <t>chk_RW_136</t>
  </si>
  <si>
    <t>chk_RW_156</t>
  </si>
  <si>
    <t>chk_RW_164</t>
  </si>
  <si>
    <t>chk_RW_168</t>
  </si>
  <si>
    <t>chk_RW_172</t>
  </si>
  <si>
    <t>chk_RW_180</t>
  </si>
  <si>
    <t>chk_RW_220</t>
  </si>
  <si>
    <t>chk_RW_230</t>
  </si>
  <si>
    <t>chk_RW_240</t>
  </si>
  <si>
    <t>chk_RW_250</t>
  </si>
  <si>
    <t>chk_RW_260</t>
  </si>
  <si>
    <t>chk_RW_420</t>
  </si>
  <si>
    <t>chk_RW_300</t>
  </si>
  <si>
    <t>chk_RW_400</t>
  </si>
  <si>
    <t>chk_RW_500</t>
  </si>
  <si>
    <t>chk_RW_510</t>
  </si>
  <si>
    <t>chk_RW_600</t>
  </si>
  <si>
    <t>chk_RW_610</t>
  </si>
  <si>
    <t>chk_RW_620</t>
  </si>
  <si>
    <t>chk_RW_700</t>
  </si>
  <si>
    <t>chk_RW_710</t>
  </si>
  <si>
    <t>chk_RW_720</t>
  </si>
  <si>
    <t>chk_RW_730</t>
  </si>
  <si>
    <t>chk_RW_740</t>
  </si>
  <si>
    <t>chk_BT_100</t>
  </si>
  <si>
    <t>chk_BT_104</t>
  </si>
  <si>
    <t>chk_BT_112</t>
  </si>
  <si>
    <t>chk_BT_120</t>
  </si>
  <si>
    <t>chk_BT_124</t>
  </si>
  <si>
    <t>chk_BT_128</t>
  </si>
  <si>
    <t>chk_BT_132</t>
  </si>
  <si>
    <t>chk_BT_168</t>
  </si>
  <si>
    <t>chk_BT_180</t>
  </si>
  <si>
    <t>chk_BT_400</t>
  </si>
  <si>
    <t>chk_BT_600</t>
  </si>
  <si>
    <t>chk_BT_610</t>
  </si>
  <si>
    <t>chk_BT_640</t>
  </si>
  <si>
    <t>chk_BT_620</t>
  </si>
  <si>
    <t>chk_BT_700</t>
  </si>
  <si>
    <t>chk_BT_710</t>
  </si>
  <si>
    <t>chk_BT_720</t>
  </si>
  <si>
    <t>chk_BT_730</t>
  </si>
  <si>
    <t>chk_BT_740</t>
  </si>
  <si>
    <t>chk_RW_640</t>
  </si>
  <si>
    <t>chk_RW_630</t>
  </si>
  <si>
    <t>chk_BT_630</t>
  </si>
  <si>
    <t>chk_RW_650</t>
  </si>
  <si>
    <t>chk_BT_650</t>
  </si>
  <si>
    <t>chk_RW_310</t>
  </si>
  <si>
    <t>chk_RW_410</t>
  </si>
  <si>
    <t>chk_BT_410</t>
  </si>
  <si>
    <t>chk_RW_520</t>
  </si>
  <si>
    <t>chk_RW_530</t>
  </si>
  <si>
    <t>chk_BT_810</t>
  </si>
  <si>
    <t>chk_RW_660</t>
  </si>
  <si>
    <t>chk_RW_184</t>
  </si>
  <si>
    <t>chk_BT_184</t>
  </si>
  <si>
    <t>chk_BT_220</t>
  </si>
  <si>
    <t>chk_BT_172</t>
  </si>
  <si>
    <t>chk_BT_136</t>
  </si>
  <si>
    <t>chk_BT_250</t>
  </si>
  <si>
    <t>chk_BT_800</t>
  </si>
  <si>
    <t>chk_RW_140</t>
  </si>
  <si>
    <t>chk_BT_140</t>
  </si>
  <si>
    <t>chk_RW_144</t>
  </si>
  <si>
    <t>chk_BT_144</t>
  </si>
  <si>
    <t>chk_RW_148</t>
  </si>
  <si>
    <t>chk_BT_148</t>
  </si>
  <si>
    <t>chk_RW_270</t>
  </si>
  <si>
    <t>chk_RW_670</t>
  </si>
  <si>
    <t>chk_BT_670</t>
  </si>
  <si>
    <t>chk_BT_660</t>
  </si>
  <si>
    <t>chk_RW_116</t>
  </si>
  <si>
    <t>chk_BT_116</t>
  </si>
  <si>
    <t>AutoShape 103</t>
  </si>
  <si>
    <t>Körnermais</t>
  </si>
  <si>
    <t>Silomais</t>
  </si>
  <si>
    <t>Hirse</t>
  </si>
  <si>
    <t>Alternative Strauchbeeren</t>
  </si>
  <si>
    <t>Baies alt.</t>
  </si>
  <si>
    <t xml:space="preserve">Strauchbeeren, alternative </t>
  </si>
  <si>
    <t>Federkohl</t>
  </si>
  <si>
    <t>Pastinake</t>
  </si>
  <si>
    <t>Knoblauch</t>
  </si>
  <si>
    <t>Aigle</t>
  </si>
  <si>
    <t>Cima di rapa</t>
  </si>
  <si>
    <t>Vacances à la ferme 2)</t>
  </si>
  <si>
    <t>Cultures maraîchères (y compris fraisiers annuels &amp; fleurs à couper)</t>
  </si>
  <si>
    <t>SitB</t>
  </si>
  <si>
    <t>SitC</t>
  </si>
  <si>
    <t>SitD</t>
  </si>
  <si>
    <t>Diagram</t>
  </si>
  <si>
    <t>D_surface</t>
  </si>
  <si>
    <t>D_anim</t>
  </si>
  <si>
    <t>D_lég1</t>
  </si>
  <si>
    <t>Anzahl Tiere</t>
  </si>
  <si>
    <t>Kuhbestand</t>
  </si>
  <si>
    <t>x</t>
  </si>
  <si>
    <t>Constante surface</t>
  </si>
  <si>
    <t>Constante animaux</t>
  </si>
  <si>
    <t>Besoins resp. production</t>
  </si>
  <si>
    <t>par espèce</t>
  </si>
  <si>
    <t>et an</t>
  </si>
  <si>
    <t>paille dt</t>
  </si>
  <si>
    <t>fumier t</t>
  </si>
  <si>
    <t>paille</t>
  </si>
  <si>
    <t>dt/an</t>
  </si>
  <si>
    <t>Quantité produite</t>
  </si>
  <si>
    <t>en hiver</t>
  </si>
  <si>
    <t>Lieschkolbenschrot</t>
  </si>
  <si>
    <t>**)</t>
  </si>
  <si>
    <t>Freilandgemüse</t>
  </si>
  <si>
    <t>S</t>
  </si>
  <si>
    <t>Streue- und Torfland</t>
  </si>
  <si>
    <t>Lapins</t>
  </si>
  <si>
    <t>Moh travaux</t>
  </si>
  <si>
    <t>suppl. dus à</t>
  </si>
  <si>
    <t>PI</t>
  </si>
  <si>
    <t>BIO</t>
  </si>
  <si>
    <t>Prod. végét.: (données selon "Surface")</t>
  </si>
  <si>
    <t>Prairie naturelle peu intensive</t>
  </si>
  <si>
    <t>Prairie naturelle mi-intensive</t>
  </si>
  <si>
    <t xml:space="preserve">Foin, regain, "pauvre" </t>
  </si>
  <si>
    <t xml:space="preserve">Foin, regain </t>
  </si>
  <si>
    <t>Graswürfel</t>
  </si>
  <si>
    <t>Herbe</t>
  </si>
  <si>
    <t>Gras</t>
  </si>
  <si>
    <t>hors SF</t>
  </si>
  <si>
    <t>ausser FF</t>
  </si>
  <si>
    <t xml:space="preserve">  MS</t>
  </si>
  <si>
    <t>Recettes provenant de la communauté</t>
  </si>
  <si>
    <t>Recettes privées nettes (revenus annexes etc.)</t>
  </si>
  <si>
    <t>Dépenses privées de consommation *)</t>
  </si>
  <si>
    <t>Solde de liquidité (réserve/manque)</t>
  </si>
  <si>
    <t xml:space="preserve"> PPE; litière et aire de déjection, </t>
  </si>
  <si>
    <t xml:space="preserve"> PPE; litière profonde  (à front ouvert)</t>
  </si>
  <si>
    <t>Miete Zusatzmengen</t>
  </si>
  <si>
    <t>Part des surfaces en forte pente donnant droit aux contributions</t>
  </si>
  <si>
    <t>Korrektur für Flächen im Ausland und nicht beitragsberechtigtes Bauland</t>
  </si>
  <si>
    <t>Correction pour surfaces à l'étranger et terrain à bâtir ne donnent à aucune contribution</t>
  </si>
  <si>
    <t>Total je Kategorie</t>
  </si>
  <si>
    <t>Total par categorie</t>
  </si>
  <si>
    <t>Montant global</t>
  </si>
  <si>
    <t>Bergzone I und II</t>
  </si>
  <si>
    <t>Bergzone III und IV</t>
  </si>
  <si>
    <t>Talzone bis Bergzone II</t>
  </si>
  <si>
    <t>[FehlerBedingung] und [FehlerMarkieren] haben nicht gleichviele Teilflächen</t>
  </si>
  <si>
    <t>Zibben inkl. Jungtiere bis ca 35 Tage</t>
  </si>
  <si>
    <t>Sprossenproduktion in Gebäuden</t>
  </si>
  <si>
    <t>kg P2O5</t>
  </si>
  <si>
    <t>&lt; 18%, 2 coupes de conserv., bas</t>
  </si>
  <si>
    <t>Ackerbohnen</t>
  </si>
  <si>
    <t>Ergänzungsfutter übrige Tiere</t>
  </si>
  <si>
    <t>&lt; 18%, 2 coupes de conserv., haut</t>
  </si>
  <si>
    <t>&lt; 18%, 1 coupe de conserv., bas</t>
  </si>
  <si>
    <t>Für Nussbäume, die 2013 in einer Verpflichtungsdauer (6 Jahre) sind, werden bis Ende dieser Dauer CHF 30.- bezahlt.</t>
  </si>
  <si>
    <t>Pour les noyers qui sont en 2013 en période d'engagement (durée de 6 ans), il sera versé CHF 30.- jusqu'à la fin de cette durée d'engagement</t>
  </si>
  <si>
    <t>Betrag CHF/Einheit</t>
  </si>
  <si>
    <t>Montant CHF/unité</t>
  </si>
  <si>
    <t>Betrag (CHF)</t>
  </si>
  <si>
    <t>25 % der Anschaffungskosten, jedoch maximal CHF 6'000.-</t>
  </si>
  <si>
    <t>avec flux d’air horizontal orientable, jusqu'à un maximum de CHF 6'000.-</t>
  </si>
  <si>
    <t>jedoch maximal CHF 170.- pro Spritzeinheit</t>
  </si>
  <si>
    <t>jusqu'à un maximum de CHF 170.- par unité de pulvérisation</t>
  </si>
  <si>
    <t>25 % der Anschaffungskosten, jedoch maximal CHF 10'000.-</t>
  </si>
  <si>
    <t>jedoch maximal CHF 2‘000.-</t>
  </si>
  <si>
    <t>Kürzung auf Grund des steuerbaren Einkommens um CHF*</t>
  </si>
  <si>
    <t>Réduction pour revenu imposable de CHF*</t>
  </si>
  <si>
    <t>Kürzung auf Grund des massgeblichen Vermögens um CHF*</t>
  </si>
  <si>
    <t>Réduction pour fortune déterminante de CHF*</t>
  </si>
  <si>
    <t>- Abzug pro verheirateter Betriebsleiter (CHF 50'000.-)</t>
  </si>
  <si>
    <t>- Déduction pour exploitant marié (CHF 50'000.-)</t>
  </si>
  <si>
    <t>- Abzug pro verheirateter Betriebsleiter (CHF 340'000.-)</t>
  </si>
  <si>
    <t>- Déduction pour exploitant marié (CHF 340'000.-)</t>
  </si>
  <si>
    <t>Grenze (CHF/ SAK)</t>
  </si>
  <si>
    <t>Limite (CHF/ UMOS)</t>
  </si>
  <si>
    <t>Gebäude-miete, CHF</t>
  </si>
  <si>
    <t>Location d'imm., CHF</t>
  </si>
  <si>
    <t>CHF pro Monat</t>
  </si>
  <si>
    <t>CHF par mois</t>
  </si>
  <si>
    <t>CHF al mese</t>
  </si>
  <si>
    <t>CHF / UC</t>
  </si>
  <si>
    <t>en CHF</t>
  </si>
  <si>
    <t>CHF /Normalstoss bzw. RGVE</t>
  </si>
  <si>
    <t>CHF / Tag</t>
  </si>
  <si>
    <t>CHF / Jour</t>
  </si>
  <si>
    <t>CHF / Unité</t>
  </si>
  <si>
    <t>Lupin pour l'affouragement, semences de graminées et légumineuses fourragères</t>
  </si>
  <si>
    <t>Lupinen zu Futterzwecken, Saatgut von Futtergräsern und Futterleguminosen</t>
  </si>
  <si>
    <t>Getreidezulage</t>
  </si>
  <si>
    <t>Supplément pour les céréales</t>
  </si>
  <si>
    <t>surfaces à litière</t>
  </si>
  <si>
    <t>extensiv genutzte Wiesen</t>
  </si>
  <si>
    <t xml:space="preserve">    - Partie D montre, en tenant compte des zones de production,</t>
  </si>
  <si>
    <t>Consommation fourrage</t>
  </si>
  <si>
    <t>A8: Sömmerungstage gemäss AniCalc (TVD-Auszug)</t>
  </si>
  <si>
    <t>Descrizione</t>
  </si>
  <si>
    <t>mensile</t>
  </si>
  <si>
    <t>Proprietario</t>
  </si>
  <si>
    <t>Abzug für massgebendes Vermögen &gt; 1 Mio.</t>
  </si>
  <si>
    <t>Schweine aus Import/Export Bilanz</t>
  </si>
  <si>
    <t>Haricot transformation</t>
  </si>
  <si>
    <t>Grünschnittroggen, pflugloser Anbau</t>
  </si>
  <si>
    <t>a pro GVE</t>
  </si>
  <si>
    <t>Hofdüngeranfall</t>
  </si>
  <si>
    <t>Mais-</t>
  </si>
  <si>
    <t>*) AS = Anbindestall; LS = Laufstall</t>
  </si>
  <si>
    <t>vorhanden:</t>
  </si>
  <si>
    <t>Dürrfutterraum</t>
  </si>
  <si>
    <t>eingegeben werden. Haben Sie diese Angaben dort schon eingetragen?</t>
  </si>
  <si>
    <t>dt TS x Raumbedarf</t>
  </si>
  <si>
    <t>Feldkulturen (inkl. KW-Ansaat)</t>
  </si>
  <si>
    <t>Der Bodenschutzindex auf Ihrem Gesamtbetrieb ist</t>
  </si>
  <si>
    <t>Maïs épi complet</t>
  </si>
  <si>
    <t>Versorgungssicherheitsbeiträge</t>
  </si>
  <si>
    <t>Surface fertilisable, ha:</t>
  </si>
  <si>
    <t>Plan de fumure:</t>
  </si>
  <si>
    <t>Mouton y c. agneau et part de bélier</t>
  </si>
  <si>
    <t>Weizen, Dinkel, Emmer, Einkorn</t>
  </si>
  <si>
    <t>Gerste</t>
  </si>
  <si>
    <t>Roggen</t>
  </si>
  <si>
    <t>Triticale</t>
  </si>
  <si>
    <t>&lt; 18%, 3 coupes de conserv., haut</t>
  </si>
  <si>
    <t>18-35%, 3 coupes de conserv., bas</t>
  </si>
  <si>
    <t>18-35%, 3 coupes de conserv., moyen</t>
  </si>
  <si>
    <t>18-35%, 3 coupes de conserv., haut</t>
  </si>
  <si>
    <t>Porcelets sevrés 1)</t>
  </si>
  <si>
    <t>Buntbrachen, Saat zwischen 1.9 und 30.9</t>
  </si>
  <si>
    <t>Rotationsbrachen, Saat zwischen 1.9 und 15.9</t>
  </si>
  <si>
    <r>
      <t>m</t>
    </r>
    <r>
      <rPr>
        <vertAlign val="superscript"/>
        <sz val="8"/>
        <rFont val="Arial"/>
        <family val="2"/>
      </rPr>
      <t>3</t>
    </r>
  </si>
  <si>
    <t>Jahrliste2</t>
  </si>
  <si>
    <t>Jährliche Veränderung der flüssigen Mittel (Werte)</t>
  </si>
  <si>
    <t xml:space="preserve">Werte in der gewählten Spanne </t>
  </si>
  <si>
    <t>Obst</t>
  </si>
  <si>
    <t xml:space="preserve">Landwirtschaftliche Nutzfläche (LN) </t>
  </si>
  <si>
    <t>minus:</t>
  </si>
  <si>
    <t>Strohverkauf</t>
  </si>
  <si>
    <t xml:space="preserve"> x Indice</t>
  </si>
  <si>
    <t>Colture invernali</t>
  </si>
  <si>
    <t xml:space="preserve">Terres ouvertes: Non-recours total ou partiel aux herbicides dès le semis ou </t>
  </si>
  <si>
    <t xml:space="preserve">      si la condition concernant la part minimale dans la ration est remplie ou non</t>
  </si>
  <si>
    <t xml:space="preserve">      vert = condition remplie</t>
  </si>
  <si>
    <t>Importo</t>
  </si>
  <si>
    <t>Interesse</t>
  </si>
  <si>
    <t>Affitti</t>
  </si>
  <si>
    <t>Canone/ha</t>
  </si>
  <si>
    <t>Eine der eingebenen Flächen übersteigt die im Blatt "Fläche" deklarierte Fläche dieses Typs!</t>
  </si>
  <si>
    <t>effektiv gezahlte Summe der betroffenen Direktzahlungen:</t>
  </si>
  <si>
    <t>Paille provenant de la prod. céréalière (voir onglet "Surface")</t>
  </si>
  <si>
    <t>Excréments de poule (tapis)</t>
  </si>
  <si>
    <t>Fumier de poulet</t>
  </si>
  <si>
    <t>Liquidité</t>
  </si>
  <si>
    <t>Hanglagen im Berggebiet und in der Hügelzone</t>
  </si>
  <si>
    <t>(C6)</t>
  </si>
  <si>
    <t>Autres fourrages</t>
  </si>
  <si>
    <t>Rau- und Saftfutter</t>
  </si>
  <si>
    <t>Nebenprodukte</t>
  </si>
  <si>
    <t>Sous-produits</t>
  </si>
  <si>
    <t>Fourrage grossier et non-séché</t>
  </si>
  <si>
    <t>C6: Total Zufuhr Nebenprodukte aus Lebensmittelverarbeitung</t>
  </si>
  <si>
    <t>C6: Totale sous-produits provenant de la transformation des denrées alimentaires</t>
  </si>
  <si>
    <t>Biertreber, frisch oder siliert</t>
  </si>
  <si>
    <t>Drêches de brasserie, fraîche ou ensilée</t>
  </si>
  <si>
    <t>Biertreber, getrocknet</t>
  </si>
  <si>
    <t>Drêches de brasserie, séchée</t>
  </si>
  <si>
    <t>Nebenprodukte Trocken- und Schälmüllerei</t>
  </si>
  <si>
    <t>Sous-produits, moutre ou dcorticage</t>
  </si>
  <si>
    <t>Abgang Obst-, Gemüseverwertung</t>
  </si>
  <si>
    <t>Résidus transformation fruits, légumes</t>
  </si>
  <si>
    <t>Result</t>
  </si>
  <si>
    <t>Vendita Swiss Prime Beef</t>
  </si>
  <si>
    <t>Sali minerali</t>
  </si>
  <si>
    <t xml:space="preserve"> converti en places occupées en permanence.</t>
  </si>
  <si>
    <t>Le nombre de veaux de vaches allait. a été</t>
  </si>
  <si>
    <t xml:space="preserve">    - Falls Fläche im Ausland vorhanden, diese unten eintragen und in der Zeile oben korrigieren.</t>
  </si>
  <si>
    <t>Saisie détaillée</t>
  </si>
  <si>
    <t>Contributions à la sécurité de l'approvisionnement, CSA, Art. 50 à 54 et Annexe 7 OPD</t>
  </si>
  <si>
    <t xml:space="preserve"> sauf matières premières renouvelables -kenaf, roseau de Chine- jachères, ourlets sur terres assolées, mûriers, surfaces à litière, haies, bosquets et berges boisées.</t>
  </si>
  <si>
    <t>Raufutterverzehrer, Total inkl. gesömmerte Tiere</t>
  </si>
  <si>
    <t>Bétail consommant des fourrages grossiers, effectifs totaux y compris animaux estivés</t>
  </si>
  <si>
    <t xml:space="preserve">  Sömmerungsdauer von 56 - 100 Tagen (pro GVE)</t>
  </si>
  <si>
    <t xml:space="preserve">  une durée d’estivage de 56 - 100 jours (charge usuelle exprimée en UGB)</t>
  </si>
  <si>
    <t>Gemolkene Kühe, Milchschafe u. Milchziegen, mit einer traditionellen</t>
  </si>
  <si>
    <t>Vaches traites, brebis et chèvres traites, avec</t>
  </si>
  <si>
    <t>Autres animaux consommant du fourrage grossier, sans bisons ni cerfs</t>
  </si>
  <si>
    <t>Moutons, brebis laitières exceptées:</t>
  </si>
  <si>
    <t>Progression linéaire de 100 CHF / ha à 1'000 CHF / ha,</t>
  </si>
  <si>
    <t>Übertragung der berech-</t>
  </si>
  <si>
    <t>neten Werte oder an-</t>
  </si>
  <si>
    <t xml:space="preserve">Die Haupt- und Zwischenfutterflächen und deren Felderträge müssen auf Seite 2 </t>
  </si>
  <si>
    <t>Dialog_GVE</t>
  </si>
  <si>
    <t>Nährstoffgehalt</t>
  </si>
  <si>
    <t>Jachère florale (type 7A)</t>
  </si>
  <si>
    <t>Standard-</t>
  </si>
  <si>
    <t>Laufhofabzug</t>
  </si>
  <si>
    <t>Déd. Parcour</t>
  </si>
  <si>
    <t>100 animaux</t>
  </si>
  <si>
    <t>Ersatzinvestitionen</t>
  </si>
  <si>
    <t>Betrag zur Verteilung nach Arbeit</t>
  </si>
  <si>
    <t>Arbeit</t>
  </si>
  <si>
    <t>Surface/
unité</t>
  </si>
  <si>
    <t>Surface 
totale</t>
  </si>
  <si>
    <t>Besoins:</t>
  </si>
  <si>
    <t>Bovin à l'engrais intensif, 65 à 520 kg</t>
  </si>
  <si>
    <t>Rindviehmast, intensiv,  65 bis 520 kg</t>
  </si>
  <si>
    <t>Rindviehmast, intensive Ausmast, ab ca. 300 kg LG</t>
  </si>
  <si>
    <t>Cheval &gt; 180 jours, &gt; 148 cm</t>
  </si>
  <si>
    <t>Cheval &lt;= 180 jours, &gt; 148 cm</t>
  </si>
  <si>
    <t>Ponys, Kleinpferde, Esel, jeden Alters, bis 148 cm</t>
  </si>
  <si>
    <t>Maultiere, Maulesel, bis 180-tägig, unabh. von Widerristhöhe</t>
  </si>
  <si>
    <t>Maultiere, Maulesel, über 180-tägig, unabh. von Widerristhöhe</t>
  </si>
  <si>
    <t>Pferde &gt; 148 cm, über 180-tägig</t>
  </si>
  <si>
    <t>Pferde &gt; 148 cm, bis 180-tägig</t>
  </si>
  <si>
    <t>Rindviehmast, Weidemast, über 4 Monate</t>
  </si>
  <si>
    <t>Lamas bis 2-jährig</t>
  </si>
  <si>
    <t>Alpakas bis 2-jährig</t>
  </si>
  <si>
    <t>Kaninchen, Jungtiere ab ca. 35 Tagen</t>
  </si>
  <si>
    <t>Zuchtsauen über 6 Monate, nicht säugend</t>
  </si>
  <si>
    <t>Bisons bis 900-tägig, Zucht und Mast</t>
  </si>
  <si>
    <t>Superficie (ha)</t>
  </si>
  <si>
    <t>Acquisto di foraggio grezzo</t>
  </si>
  <si>
    <t>Concime</t>
  </si>
  <si>
    <t>Conservazione</t>
  </si>
  <si>
    <t>Indietro</t>
  </si>
  <si>
    <t>Correzione</t>
  </si>
  <si>
    <t>Beiträge für Sömmerungs-, Hirten- und Gemeinschaftsweidebetriebe</t>
  </si>
  <si>
    <t>E1: Produits liquides issus de la méthanisation</t>
  </si>
  <si>
    <t>Vente taureaux d'élevage</t>
  </si>
  <si>
    <t>16] Umrechnung Nges zu Nverf mit Faktor 0.2</t>
  </si>
  <si>
    <t>16] Calcul de Nstock vers Ndisp à l'aide du facteur 0.2.</t>
  </si>
  <si>
    <t xml:space="preserve">   x    16]</t>
  </si>
  <si>
    <t>Rectangle 57</t>
  </si>
  <si>
    <t>Uscita regolare all'aperto (URA)</t>
  </si>
  <si>
    <t xml:space="preserve">      les aliments de base et complémentaires affouragés durant l’estivage.</t>
  </si>
  <si>
    <t>3. Partie B: Production de fourrages</t>
  </si>
  <si>
    <t>Standplätze im Melkstand</t>
  </si>
  <si>
    <t>Anzahl Plätze</t>
  </si>
  <si>
    <t>Total GVE</t>
  </si>
  <si>
    <t>Eau</t>
  </si>
  <si>
    <t>Disponibilité N</t>
  </si>
  <si>
    <t>EF</t>
  </si>
  <si>
    <t>Besoins totaux MOh</t>
  </si>
  <si>
    <t xml:space="preserve">   MJ VES</t>
  </si>
  <si>
    <t>Ø Milch-</t>
  </si>
  <si>
    <t>Korr.</t>
  </si>
  <si>
    <t>Weideabzug</t>
  </si>
  <si>
    <t>leistung</t>
  </si>
  <si>
    <t>ê</t>
  </si>
  <si>
    <t>± Einh.</t>
  </si>
  <si>
    <t>Valori limite</t>
  </si>
  <si>
    <t>pianura</t>
  </si>
  <si>
    <t>che corrisponde a</t>
  </si>
  <si>
    <t>Dauer der Winterfütterungsperiode bzw. notwendige Güllenlagerungsdauer in Monaten:</t>
  </si>
  <si>
    <t>Abschreibung zugekaufte Vertragsmengen</t>
  </si>
  <si>
    <t>Miete Zusatzmenge Milch</t>
  </si>
  <si>
    <t>Miete Zusatz-menge Milch</t>
  </si>
  <si>
    <t>Abschreibungen Produktionsrechte, Reben, Obst u. Beeren</t>
  </si>
  <si>
    <t xml:space="preserve">      rouge = condition non remplie</t>
  </si>
  <si>
    <t xml:space="preserve">  g RP</t>
  </si>
  <si>
    <t xml:space="preserve">   g P</t>
  </si>
  <si>
    <t xml:space="preserve">   MJ EDP</t>
  </si>
  <si>
    <t xml:space="preserve">  g PB</t>
  </si>
  <si>
    <t>Gehalt je kg Futter</t>
  </si>
  <si>
    <t>Idx</t>
  </si>
  <si>
    <t>Koeff. N</t>
  </si>
  <si>
    <t>Koeff. P</t>
  </si>
  <si>
    <t>Faktor N</t>
  </si>
  <si>
    <t>Faktor P</t>
  </si>
  <si>
    <t>g RP</t>
  </si>
  <si>
    <t>g P</t>
  </si>
  <si>
    <t>Dauergrünland</t>
  </si>
  <si>
    <t>Part d'éléments "extensifs" des surfaces herbagères et à litière</t>
  </si>
  <si>
    <t>Beiträge für Tierhaltung unter erschwerten Bedingungen in HZ und BG</t>
  </si>
  <si>
    <t>Fermages, main-d'œuvre salariée</t>
  </si>
  <si>
    <t xml:space="preserve"> = Excédent brut d'exploitation (EBE)</t>
  </si>
  <si>
    <t>Trésorerie nette globale (TNG)</t>
  </si>
  <si>
    <t>Variation de la trésorerie nette globale (VTNG)</t>
  </si>
  <si>
    <t>d'étables</t>
  </si>
  <si>
    <t>Gemüsekulturen auswählen</t>
  </si>
  <si>
    <t>Möglicher Strohverkauf</t>
  </si>
  <si>
    <t xml:space="preserve"> GVE; Tiefstreulaufstall, Boxenstall</t>
  </si>
  <si>
    <t xml:space="preserve">    - Sömmerung: bei den Tierzahlen müssen die Anzahl gesömmerter Tiere (positiv) </t>
  </si>
  <si>
    <t xml:space="preserve">   - Les rendements des cultures dérobées sont limités à 25 dt MS.</t>
  </si>
  <si>
    <t xml:space="preserve">    - Saisir les surfaces et les rendements (feuille Surface).</t>
  </si>
  <si>
    <t>Autres animaux consommant du fourrage grossier</t>
  </si>
  <si>
    <t>Porcs à l'engrais</t>
  </si>
  <si>
    <t>SuiBi: Gemüse Gewächshaus/Hochtunnel</t>
  </si>
  <si>
    <t>CCM, Feuchtkörnermais</t>
  </si>
  <si>
    <t>Schnittblumen</t>
  </si>
  <si>
    <t>Couverture de la charge supplém. en intérêts et remboursements</t>
  </si>
  <si>
    <t>Netto-Nährstoffbedarf gemäss Wegleitung Suisse-Bilanz</t>
  </si>
  <si>
    <t>Faktor</t>
  </si>
  <si>
    <t>trags-</t>
  </si>
  <si>
    <t>Zuschlag</t>
  </si>
  <si>
    <t>korri-</t>
  </si>
  <si>
    <t>à la ration d'hiver</t>
  </si>
  <si>
    <t>Ökonomiegebäude</t>
  </si>
  <si>
    <t>Gewächshaus mit festen Fundamenten</t>
  </si>
  <si>
    <t>Hochtunnel oder Treibbeet</t>
  </si>
  <si>
    <t>Veaux de vaches allaitantes</t>
  </si>
  <si>
    <t>Nbre</t>
  </si>
  <si>
    <t>corri-</t>
  </si>
  <si>
    <t>gé</t>
  </si>
  <si>
    <t>gées</t>
  </si>
  <si>
    <t xml:space="preserve">Sortie </t>
  </si>
  <si>
    <t>sur cour</t>
  </si>
  <si>
    <t>Ausbildungszulagen Bund</t>
  </si>
  <si>
    <t>Die Herstellerin der Software oder die Beratung übernehmen keine Verantwortung, für Schäden, die aus der Nutzung der Software entstehen.</t>
  </si>
  <si>
    <t>Charge minimale en bétail non remplie</t>
  </si>
  <si>
    <t>Pferdemist frisch</t>
  </si>
  <si>
    <t>Pferdemist</t>
  </si>
  <si>
    <t>Eingebrachtes Vermögen und Zinsanspruch Eigenkapital nach Partner</t>
  </si>
  <si>
    <t>Eingebrachtes Vermögen (=Eigenkapital)</t>
  </si>
  <si>
    <t>Finanzvermögen</t>
  </si>
  <si>
    <t>Feldinventar</t>
  </si>
  <si>
    <t>* Schleppschlauch, Schleppschuh, Gülledrill, tiefe Gülleinjektion;</t>
  </si>
  <si>
    <t>Abricots, rendement élevé</t>
  </si>
  <si>
    <t>Pêches</t>
  </si>
  <si>
    <t>Pêches, rendement élevé</t>
  </si>
  <si>
    <t>Datenbank Tierhaltung</t>
  </si>
  <si>
    <t>Anfall je Einheit u. Jahr</t>
  </si>
  <si>
    <t>Tage je</t>
  </si>
  <si>
    <t>Nges-</t>
  </si>
  <si>
    <t>Std. je</t>
  </si>
  <si>
    <t>Nges.</t>
  </si>
  <si>
    <t>Tag</t>
  </si>
  <si>
    <t>Kraftfutter</t>
  </si>
  <si>
    <t>Milchleistung</t>
  </si>
  <si>
    <t>TS-Grundverz.</t>
  </si>
  <si>
    <t>Vous avez saisi trop d'espèces d'animaux pour ce tableau! Vérifiez les données saisies à la page 3</t>
  </si>
  <si>
    <t>SAU sans cultures spéciales</t>
  </si>
  <si>
    <t>die Futterbilanz in ihre Instrumente einzubauen.</t>
  </si>
  <si>
    <t>Stallreinigung und Tierpflege Rindvieh</t>
  </si>
  <si>
    <t>Betreiben Schwemmentmistung Rindvieh</t>
  </si>
  <si>
    <t>reprendre l'effectif bovins du bilan jeunes bovins</t>
  </si>
  <si>
    <t>A. Indication sur la production d’engrais de ferme </t>
  </si>
  <si>
    <t>Estivazione</t>
  </si>
  <si>
    <t>Consulente</t>
  </si>
  <si>
    <t>Famiglia</t>
  </si>
  <si>
    <t>Anno di nascita</t>
  </si>
  <si>
    <t>Altre indicazioni</t>
  </si>
  <si>
    <t>Dipendenti</t>
  </si>
  <si>
    <t xml:space="preserve">in proprietà </t>
  </si>
  <si>
    <t>in affitto</t>
  </si>
  <si>
    <t>B. Eaux usées  / Eaux de dilution dans le purin</t>
  </si>
  <si>
    <t>Extensiv und wenig intensiv genutzte Wiesen, Streue</t>
  </si>
  <si>
    <t xml:space="preserve">Die gültige Version finden Sie unter: www.focus-ap-pa.ch </t>
  </si>
  <si>
    <t>Partie C: Besoins totaux de l'exploitation</t>
  </si>
  <si>
    <t>umgewandelt werden in die Zahl</t>
  </si>
  <si>
    <t>Fehler: Zellinhalt ist keine Zahl</t>
  </si>
  <si>
    <t>Soll die negative Zahl</t>
  </si>
  <si>
    <t>Fehler: Zellinhalt ist keine positive Zahl</t>
  </si>
  <si>
    <t>Codice</t>
  </si>
  <si>
    <t>q SF</t>
  </si>
  <si>
    <t>al di fuori SF</t>
  </si>
  <si>
    <t>q SS)</t>
  </si>
  <si>
    <t>Polpa di barbabietola da zucchero, fresca</t>
  </si>
  <si>
    <t>60 capi</t>
  </si>
  <si>
    <t>100 capi</t>
  </si>
  <si>
    <t>400 capi</t>
  </si>
  <si>
    <t>600 capi</t>
  </si>
  <si>
    <t>500 animali</t>
  </si>
  <si>
    <t>Rebflächen mit natürlicher Artenvielfalt (Typ 15)</t>
  </si>
  <si>
    <t>Surfaces viticoles à biodiversité naturelle (type 15)</t>
  </si>
  <si>
    <t>Surf. viticoles présent. biodiversité naturelle</t>
  </si>
  <si>
    <t>Jachère florale ZP et ZC</t>
  </si>
  <si>
    <t>Eine eingebene Anzahl übersteigt die im Blatt "Kennz" deklarierte Anzahl Bäume!</t>
  </si>
  <si>
    <t>35-50%, moyen</t>
  </si>
  <si>
    <t>Superficie aziendale</t>
  </si>
  <si>
    <t>Bilanci tecnici</t>
  </si>
  <si>
    <t>Unità</t>
  </si>
  <si>
    <t>Obiettivo</t>
  </si>
  <si>
    <t>Effettivo</t>
  </si>
  <si>
    <t>da stabilire</t>
  </si>
  <si>
    <t>Superficie per il promovimento della biodiversità</t>
  </si>
  <si>
    <t>% della SAU</t>
  </si>
  <si>
    <t>Korrekturzeile nach Bedarf</t>
  </si>
  <si>
    <t xml:space="preserve">   - S'il y a de la surface dans l'étranger, mettre cela dan la ligne en bas et corriger dans la ligne en haute.</t>
  </si>
  <si>
    <t xml:space="preserve"> * Für OHB beitragsberechtigte LN: LN ohne Hecken, Feld- und Ufergehölze</t>
  </si>
  <si>
    <t>Tatsächlich gesömmerte raufutterverzehrende Nutztiere</t>
  </si>
  <si>
    <t>Feuilles de betterave</t>
  </si>
  <si>
    <t xml:space="preserve">      données sur le nombre d’animaux estivés (en positif) et le nombre de jours d’estivage.</t>
  </si>
  <si>
    <t>Données de base du troupeau allaitant</t>
  </si>
  <si>
    <t>Ø Mutterkuhbestand</t>
  </si>
  <si>
    <t>Nbre Ø de mères</t>
  </si>
  <si>
    <t>kg latte</t>
  </si>
  <si>
    <t>Pulvérisateur à jets projetés avec flux d’air horizontal orientable</t>
  </si>
  <si>
    <t xml:space="preserve">et détecteur de végétation, ou pulvérisateur sous tunnel: </t>
  </si>
  <si>
    <t>converti dès 2009</t>
  </si>
  <si>
    <t>Facteur dépendant de l'année</t>
  </si>
  <si>
    <t>*) WBW = Wiederbeschaffungswert, **) AE/J. = Arbeitseinheiten pro Jahr</t>
  </si>
  <si>
    <t>Steuerbares Einkommen (dir. Bundessteuer)</t>
  </si>
  <si>
    <t>GF-Verzehr zu hoch!</t>
  </si>
  <si>
    <t>Nachweis nötig!</t>
  </si>
  <si>
    <t>Liquiditätswirksame Mittel</t>
  </si>
  <si>
    <t xml:space="preserve">Contributions pour l'achat de machines (CER), uniques </t>
  </si>
  <si>
    <t>jährlich</t>
  </si>
  <si>
    <t>annuel</t>
  </si>
  <si>
    <t>Selon l'ordonnance du service de l'agriculture cantonal en été 2014</t>
  </si>
  <si>
    <t>MSP/LHP</t>
  </si>
  <si>
    <t>Nicht bezogene (+) / zusätzlich bezogene (-)  Mittel der Partner</t>
  </si>
  <si>
    <t xml:space="preserve">    - Pro Tierkategorie Kraftfutter erfassen (pro Einheit in kg FS) (Tabellenblatt GMF)</t>
  </si>
  <si>
    <t xml:space="preserve">    - Erfassen der Angaben für die Berechnung des Minimaltierbesatzes:</t>
  </si>
  <si>
    <t>AutoShape 17</t>
  </si>
  <si>
    <t>AutoShape 18</t>
  </si>
  <si>
    <t>pro Spritzgebläse mit horizontaler Luftstromlenkung</t>
  </si>
  <si>
    <t>pro Spritzgebläse mit horizontaler Luftstromlenkung und Vegetationsdetektor oder</t>
  </si>
  <si>
    <t xml:space="preserve">% der </t>
  </si>
  <si>
    <t>in ha</t>
  </si>
  <si>
    <t>Spez.kulturen</t>
  </si>
  <si>
    <t>übrigen LN</t>
  </si>
  <si>
    <t>Veau à l'engrais, 50-200 kg</t>
  </si>
  <si>
    <t>Consom. fourr. grossiers</t>
  </si>
  <si>
    <t>Mastschweine 1)</t>
  </si>
  <si>
    <t>Zuchteber 1)</t>
  </si>
  <si>
    <t>Säugende Sauen 1)</t>
  </si>
  <si>
    <t>Galtsauen 1)</t>
  </si>
  <si>
    <t>Naturwiese extensiv</t>
  </si>
  <si>
    <t>&lt; 18%, 2 Kons.-schnitte, tief</t>
  </si>
  <si>
    <t>&lt; 18%, 2 Kons.-schnitte, mittel</t>
  </si>
  <si>
    <t>Modification annuelle</t>
  </si>
  <si>
    <t>Jungvieh zur Zucht  0 bis 1-jährig</t>
  </si>
  <si>
    <t>andere Kühe</t>
  </si>
  <si>
    <t>Aufzuchtkälber für Grossviehmast</t>
  </si>
  <si>
    <t>Kälber für Milchviehremontierung</t>
  </si>
  <si>
    <t>Trésorerie selon du travail</t>
  </si>
  <si>
    <t>zone de berges</t>
  </si>
  <si>
    <t>. L'avez-vous déjà fait?</t>
  </si>
  <si>
    <t>Indications pour le bilan de la main-d'oeuvre</t>
  </si>
  <si>
    <t>31 Zone de plaine</t>
  </si>
  <si>
    <t>Données de l'exploitation</t>
  </si>
  <si>
    <t>Surfaces</t>
  </si>
  <si>
    <t>Zukauf Mastremonten</t>
  </si>
  <si>
    <t>je ha LN</t>
  </si>
  <si>
    <t>41 Hügelzone</t>
  </si>
  <si>
    <t>Feldobstbäume</t>
  </si>
  <si>
    <t>Ansatz</t>
  </si>
  <si>
    <t>aucune</t>
  </si>
  <si>
    <t>avec 2 exploitations</t>
  </si>
  <si>
    <t>Grandeur de la parcelle des cultures fourragères</t>
  </si>
  <si>
    <t>Communauté / une exploitation</t>
  </si>
  <si>
    <t>Serre avec fondation en dur</t>
  </si>
  <si>
    <t>Pouletmist</t>
  </si>
  <si>
    <t>Trutenmist</t>
  </si>
  <si>
    <t xml:space="preserve">Datenbank Arbeitskraftbilanz </t>
  </si>
  <si>
    <t>a) AKh-Bedarf/Reserve</t>
  </si>
  <si>
    <t>Consumo privato</t>
  </si>
  <si>
    <t>Contributo per la superficie coltiva aperta e le colture perenni</t>
  </si>
  <si>
    <t>Schnittblumen 2-jährig, Schnittstauden</t>
  </si>
  <si>
    <t>Schwarzwurzeln</t>
  </si>
  <si>
    <t>Topinambur</t>
  </si>
  <si>
    <t>Gesamtbetriebliche Produktionsformen</t>
  </si>
  <si>
    <t>Nebenprodukt</t>
  </si>
  <si>
    <t xml:space="preserve">Der Tierbestand muss auf Seite 3 </t>
  </si>
  <si>
    <t>Pois et féverole d'automne</t>
  </si>
  <si>
    <t>D_Klick</t>
  </si>
  <si>
    <t>TabMat</t>
  </si>
  <si>
    <t>Teil A: Grund- und Kraftfutterverzehr (Bedarf)</t>
  </si>
  <si>
    <t>Conseiller(ère)</t>
  </si>
  <si>
    <t>ares</t>
  </si>
  <si>
    <t>C3: Besoins pour les cultures spéciales</t>
  </si>
  <si>
    <t>1. Saisir les indications d'exploitation, en particulier la zone de production (feuille Génér).</t>
  </si>
  <si>
    <t>Nährstoffbilanz</t>
  </si>
  <si>
    <t>N</t>
  </si>
  <si>
    <t>%</t>
  </si>
  <si>
    <t>P2O5</t>
  </si>
  <si>
    <t>Indications</t>
  </si>
  <si>
    <t xml:space="preserve">Prestation </t>
  </si>
  <si>
    <t xml:space="preserve">Coûts </t>
  </si>
  <si>
    <t>Sprache</t>
  </si>
  <si>
    <t>Deutsch</t>
  </si>
  <si>
    <t>Français</t>
  </si>
  <si>
    <t>Italiano</t>
  </si>
  <si>
    <t>Texte</t>
  </si>
  <si>
    <t>&lt; 18%, 3 coupes de conserv., bas</t>
  </si>
  <si>
    <t>&lt; 18%, 3 coupes de conserv., moyen</t>
  </si>
  <si>
    <t>Sarclées commercialisées</t>
  </si>
  <si>
    <t>haies, bosquets et berges boisées</t>
  </si>
  <si>
    <t>SB1</t>
  </si>
  <si>
    <t>SB2</t>
  </si>
  <si>
    <t xml:space="preserve">      die Definitionen gemäss Anhang 5 DZV.</t>
  </si>
  <si>
    <t>3. Teil B: Grundfutterproduktion</t>
  </si>
  <si>
    <t xml:space="preserve">    - Für Wiesen und Weiden gelten Maximalwerte</t>
  </si>
  <si>
    <t>Hinweis!</t>
  </si>
  <si>
    <t>Korrigieren Sie bitte die tierbezogenen Werte im Regsiter "SAK", sowie BTS- und Rausbeiträge im Register "PSB", wenn Sie Tiere auf einen anderen Betrieb mit LN verstellt haben. Verwenden Sie die Korrekturzeile.</t>
  </si>
  <si>
    <t>Öko-</t>
  </si>
  <si>
    <t>Tier-</t>
  </si>
  <si>
    <t>Anzahl Tage während</t>
  </si>
  <si>
    <t>Prod. élément nutritifs / année</t>
  </si>
  <si>
    <t>Prod.</t>
  </si>
  <si>
    <t>Nstock</t>
  </si>
  <si>
    <t>sorties au</t>
  </si>
  <si>
    <t>Abgeschlägelter Spinat</t>
  </si>
  <si>
    <t>100 St.</t>
  </si>
  <si>
    <t>100 B.</t>
  </si>
  <si>
    <t>Masttruten, 2.8 Umtriebe</t>
  </si>
  <si>
    <t>Galtkühe</t>
  </si>
  <si>
    <t>Ausmastkühe</t>
  </si>
  <si>
    <t>Galt- oder Ausmastkühe</t>
  </si>
  <si>
    <t>Barriers</t>
  </si>
  <si>
    <r>
      <t>K</t>
    </r>
    <r>
      <rPr>
        <vertAlign val="subscript"/>
        <sz val="10"/>
        <rFont val="Arial"/>
        <family val="2"/>
      </rPr>
      <t>2</t>
    </r>
    <r>
      <rPr>
        <sz val="10"/>
        <rFont val="Arial"/>
        <family val="2"/>
      </rPr>
      <t>O</t>
    </r>
  </si>
  <si>
    <t>Surface ha</t>
  </si>
  <si>
    <t>Nombre d'unités</t>
  </si>
  <si>
    <t>Herbages</t>
  </si>
  <si>
    <t>Sarclées fourragères</t>
  </si>
  <si>
    <t>Céréales</t>
  </si>
  <si>
    <t>ihre ursprüngliche Grösse und Position zurück.</t>
  </si>
  <si>
    <t>Carottes précoces, en botte</t>
  </si>
  <si>
    <t>Darlehen</t>
  </si>
  <si>
    <t>Hypotheken</t>
  </si>
  <si>
    <t>Schätzung des Grundfutterverbrauches bei Milchkühen</t>
  </si>
  <si>
    <t>Zuteilung der Tagesrationen</t>
  </si>
  <si>
    <t>Superficie in ha</t>
  </si>
  <si>
    <t>% superficie inerbita</t>
  </si>
  <si>
    <t>Grundfutter-</t>
  </si>
  <si>
    <t>Normes animaux</t>
  </si>
  <si>
    <t>Tiernormen</t>
  </si>
  <si>
    <t>1) Bei diesen Kategorien dürfen nur Werte eingesetzt werden, wenn für das Ergebnis der I/E-Bilanz keine anderen Schweinekategorien berücksichtigt worden sind!</t>
  </si>
  <si>
    <t xml:space="preserve">Blatt aktualisieren </t>
  </si>
  <si>
    <t>Hangbeiträge des Referenzjahres*</t>
  </si>
  <si>
    <t>Contributions pour des terrains en pente année de référence*</t>
  </si>
  <si>
    <t>Difference de surface de:</t>
  </si>
  <si>
    <t>Vache nourrice, 2 veaux par an, sans veau</t>
  </si>
  <si>
    <t>vacche</t>
  </si>
  <si>
    <t>tori</t>
  </si>
  <si>
    <t>anni</t>
  </si>
  <si>
    <t>Contributions à l'efficience des ressources (nationales)</t>
  </si>
  <si>
    <t>Contributi per l’efficienza delle risorse (nazionali)</t>
  </si>
  <si>
    <t>Butt Beeren</t>
  </si>
  <si>
    <t xml:space="preserve">  - fourrages prairies et pâturages</t>
  </si>
  <si>
    <t>Konventioneller Betrieb, viel Handarbeit</t>
  </si>
  <si>
    <t>Anbaufläche (Hektaren):</t>
  </si>
  <si>
    <t>Surf. viticoles présent. une biodiversité naturelle</t>
  </si>
  <si>
    <t>lisier</t>
  </si>
  <si>
    <t>Sélectionner ici le system de stabulation correspondant!</t>
  </si>
  <si>
    <t>Revenu accessoire indépendant</t>
  </si>
  <si>
    <t>Cerfs rouges de tout âge</t>
  </si>
  <si>
    <t>Porcs</t>
  </si>
  <si>
    <t>Truies d'élevage y compris porcelets</t>
  </si>
  <si>
    <t xml:space="preserve">Nges - </t>
  </si>
  <si>
    <t>Foin, regain "pauvre"</t>
  </si>
  <si>
    <t xml:space="preserve"> GVE; extensiver Weidestall</t>
  </si>
  <si>
    <t xml:space="preserve"> UGB; stabulation libre sur litière profonde ou box</t>
  </si>
  <si>
    <t>Zukauf Grundfutter, Produktion ausserhalb Futterfläche</t>
  </si>
  <si>
    <t>Autres prairies avec interdiction de fumure</t>
  </si>
  <si>
    <t>Feuilles de betteraves de l'exploitation affouragées 8]</t>
  </si>
  <si>
    <t>di 4 aziende</t>
  </si>
  <si>
    <t>Junghennenmist (Bodenhaltung, Kotgrube)</t>
  </si>
  <si>
    <t>Junghennenmist (Kotband)</t>
  </si>
  <si>
    <t>Junghennenmist (Bodenhaltung) in Gülle</t>
  </si>
  <si>
    <t>Junghennenmist (Kotband) in Gülle</t>
  </si>
  <si>
    <t>Kategorien bis 2018</t>
  </si>
  <si>
    <t>Catégories jusqu' au 2018</t>
  </si>
  <si>
    <t>Mastschweine, Remonten, 3.32 Umtriebe pro Jahr</t>
  </si>
  <si>
    <t>Fumier de poulettes (tapis)</t>
  </si>
  <si>
    <t>Junghennenmist (Kotgrube, Bodenhaltung)</t>
  </si>
  <si>
    <t>Fumier de poulettes (fosse à crottes, élevage au sol)</t>
  </si>
  <si>
    <t>Trutenvormast, 6 Umtriebe</t>
  </si>
  <si>
    <t>Trutenausmast, 2.9 Umtriebe</t>
  </si>
  <si>
    <t>Betriebliche Nebenerfolge</t>
  </si>
  <si>
    <t>steuerbares Vermögen</t>
  </si>
  <si>
    <t>Pomme de terre</t>
  </si>
  <si>
    <t>unità</t>
  </si>
  <si>
    <t>Deduzione/</t>
  </si>
  <si>
    <t>supplemento</t>
  </si>
  <si>
    <t>cor-</t>
  </si>
  <si>
    <t>retto</t>
  </si>
  <si>
    <t>d'uscita</t>
  </si>
  <si>
    <t>URA</t>
  </si>
  <si>
    <t>sì/no</t>
  </si>
  <si>
    <t>Prairies riveraines d'un cours d'eau</t>
  </si>
  <si>
    <t>Erfolg aus Nebenbetrieben</t>
  </si>
  <si>
    <t>Bezeichnung</t>
  </si>
  <si>
    <t>(A) Total machines/équipements</t>
  </si>
  <si>
    <t>ab 2014</t>
  </si>
  <si>
    <t>issus de la propre production agricole</t>
  </si>
  <si>
    <t>Entwicklung von Cashflow vor Zinsen, Nettoinvestitionen, Nettofinanzierung und nettomonetärem Umlaufvermögen</t>
  </si>
  <si>
    <t>Nettoinvestitionen</t>
  </si>
  <si>
    <t>Bestand nettomonetäres Umlaufvermögen</t>
  </si>
  <si>
    <t>Teneurs du fumier</t>
  </si>
  <si>
    <t>en kg par t</t>
  </si>
  <si>
    <t>Quantité de fumier y compris les restes fourragères en t</t>
  </si>
  <si>
    <t>Restes des fourrages en t</t>
  </si>
  <si>
    <t>Semina maggese fiorito</t>
  </si>
  <si>
    <t>Mais da granella e CCM</t>
  </si>
  <si>
    <t>Les UGBF ne seront indiquées qu’après le calcul du Suisse-Bilan !</t>
  </si>
  <si>
    <t>Donnée production lisier manquante !</t>
  </si>
  <si>
    <t>Total opérations financières</t>
  </si>
  <si>
    <t>Opérations financières</t>
  </si>
  <si>
    <t>Opérations d'investissement</t>
  </si>
  <si>
    <t xml:space="preserve">Beitragsberechtigte Fläche: Beitragsberechtigte LN (+angestammte Fläche im Ausland), ohne nachwachsende Rohstoffe (Kenaf, Chinaschilf), </t>
  </si>
  <si>
    <t>5 - 10%</t>
  </si>
  <si>
    <t>marge brute / unité</t>
  </si>
  <si>
    <t>Deckungsbeitrag Mutterkühe pro GVE</t>
  </si>
  <si>
    <t>A3: Zu- und Wegfuhren von Hofdüngern</t>
  </si>
  <si>
    <t>Avena</t>
  </si>
  <si>
    <t>Tabacco</t>
  </si>
  <si>
    <t>Terre aperte (TA)</t>
  </si>
  <si>
    <t>Total Ressourceneffizienzbeiträge nationale (einmalig)</t>
  </si>
  <si>
    <t>Fläche ha</t>
  </si>
  <si>
    <t>Mineralsalz, Viehsalz</t>
  </si>
  <si>
    <t>Extensiv genutzte Wiesen*</t>
  </si>
  <si>
    <t>Streueflächen*</t>
  </si>
  <si>
    <t>Rhabarber</t>
  </si>
  <si>
    <t>Rosenkohl, Strünke abgeführt</t>
  </si>
  <si>
    <t xml:space="preserve">A1: Consommation de fourrage par tous les animaux </t>
  </si>
  <si>
    <t>A1: Grundfutterverzehr aller Tiere</t>
  </si>
  <si>
    <t>Mouton / chèvre</t>
  </si>
  <si>
    <t>Fumier de mouton/chèvre</t>
  </si>
  <si>
    <t>Véhicules à moteur: marque, kW</t>
  </si>
  <si>
    <t>Voitures</t>
  </si>
  <si>
    <t>1. Betriebsangaben ausfüllen, insbesondere die Produktionszone (Tabellenblatt Allg)</t>
  </si>
  <si>
    <t>concent.</t>
  </si>
  <si>
    <t>Récolte manuelle et transport</t>
  </si>
  <si>
    <t>Faktor für Mindesttierbesatz</t>
  </si>
  <si>
    <t xml:space="preserve">Jährlich verfügbares nettomonetäres Umlaufvermögen gemäss Finanzplan vor Projekt </t>
  </si>
  <si>
    <t xml:space="preserve">Durchschnitt der Jahre </t>
  </si>
  <si>
    <t>Les secteurs qui doivent être transférés ne correspondent pas</t>
  </si>
  <si>
    <t>Indications pour le bilan des éléments nutritifs</t>
  </si>
  <si>
    <t xml:space="preserve">Über 160 Tage alte Tiere der Rindergattung und Wasserbüffel, Tiere der Pferdegattung, </t>
  </si>
  <si>
    <t>Endivie, hoher Ertrag</t>
  </si>
  <si>
    <t>Erbsen, Verarbeitung-</t>
  </si>
  <si>
    <t>Private Kapitaleinlagen</t>
  </si>
  <si>
    <t>Nstock x 12]</t>
  </si>
  <si>
    <t>Rinder 365 bis 730 Tage alt</t>
  </si>
  <si>
    <t>Unterkategorien für Suisse-Bilanz</t>
  </si>
  <si>
    <t xml:space="preserve">Bundesrates vor der Wintersession. Die Berechnung erfolgt für das im Blatt "Allg" eingestellte Jahr. </t>
  </si>
  <si>
    <t>conseil federal avant la session d'hiver. Le calcul se fait selon l’année définie dans la page „Génér“.</t>
  </si>
  <si>
    <t>Saatgut von Kartoffeln und Mais</t>
  </si>
  <si>
    <t>Plants de pommes de terre et semences de maïs</t>
  </si>
  <si>
    <t>Courge à huile, pavot et carthame</t>
  </si>
  <si>
    <t>6 ans, CHF</t>
  </si>
  <si>
    <t>CHF / Einheit</t>
  </si>
  <si>
    <t>CHF / unité</t>
  </si>
  <si>
    <t>CHF / GVE</t>
  </si>
  <si>
    <t>CHF / UGB</t>
  </si>
  <si>
    <t>Montant (CHF)</t>
  </si>
  <si>
    <t>Total (CHF)</t>
  </si>
  <si>
    <t>Betrag (CHF/ha)</t>
  </si>
  <si>
    <t>Montant (CHF/ha)</t>
  </si>
  <si>
    <t>Zwischentotal (CHF)</t>
  </si>
  <si>
    <t>Sous-total (CHF)</t>
  </si>
  <si>
    <t>Totale (CHF)</t>
  </si>
  <si>
    <t>CHF/Einh.</t>
  </si>
  <si>
    <t>CHF/Unité</t>
  </si>
  <si>
    <t>CHF/Unità</t>
  </si>
  <si>
    <t>Total/CHF</t>
  </si>
  <si>
    <t>Données</t>
  </si>
  <si>
    <t>Génér</t>
  </si>
  <si>
    <t>Surface</t>
  </si>
  <si>
    <t>Animaux</t>
  </si>
  <si>
    <t>SCE</t>
  </si>
  <si>
    <t>Réfbio</t>
  </si>
  <si>
    <t>Achatfourr</t>
  </si>
  <si>
    <t>Ass</t>
  </si>
  <si>
    <t>Mûres</t>
  </si>
  <si>
    <t>Mûres, rendement élevé</t>
  </si>
  <si>
    <t>Groseilles rouges</t>
  </si>
  <si>
    <t>Groseilles rouges, rendement élevé</t>
  </si>
  <si>
    <t>Lin fibre</t>
  </si>
  <si>
    <t>und anschliessend den Fehlersuch-Knopf nochmals drücken!</t>
  </si>
  <si>
    <t>Reinigung:</t>
  </si>
  <si>
    <r>
      <t>P</t>
    </r>
    <r>
      <rPr>
        <vertAlign val="subscript"/>
        <sz val="9"/>
        <rFont val="Arial"/>
        <family val="2"/>
      </rPr>
      <t>2</t>
    </r>
    <r>
      <rPr>
        <sz val="9"/>
        <rFont val="Arial"/>
        <family val="2"/>
      </rPr>
      <t>O</t>
    </r>
    <r>
      <rPr>
        <vertAlign val="subscript"/>
        <sz val="9"/>
        <rFont val="Arial"/>
        <family val="2"/>
      </rPr>
      <t>5</t>
    </r>
  </si>
  <si>
    <r>
      <t>K</t>
    </r>
    <r>
      <rPr>
        <vertAlign val="subscript"/>
        <sz val="9"/>
        <rFont val="Arial"/>
        <family val="2"/>
      </rPr>
      <t>2</t>
    </r>
    <r>
      <rPr>
        <sz val="9"/>
        <rFont val="Arial"/>
        <family val="2"/>
      </rPr>
      <t>O</t>
    </r>
  </si>
  <si>
    <t>Droit aux autres contributions</t>
  </si>
  <si>
    <t>Suppl. UMOS</t>
  </si>
  <si>
    <t>Porc</t>
  </si>
  <si>
    <t>Solde</t>
  </si>
  <si>
    <t>Truies non allaitantes</t>
  </si>
  <si>
    <t>dont management</t>
  </si>
  <si>
    <t>et travaux</t>
  </si>
  <si>
    <t>Tableau des consommations d'eau</t>
  </si>
  <si>
    <t>Projets: investissements et financements</t>
  </si>
  <si>
    <t>Descriptions</t>
  </si>
  <si>
    <t>jusqu'à présent</t>
  </si>
  <si>
    <t>Capo</t>
  </si>
  <si>
    <t>Posta</t>
  </si>
  <si>
    <t>Planungsjahr 5</t>
  </si>
  <si>
    <t>Flächen auf verschiedene Zonen aufteilen</t>
  </si>
  <si>
    <t>A créer:</t>
  </si>
  <si>
    <t>Volume de stockage pour la  paille</t>
  </si>
  <si>
    <t>Besoins en paille</t>
  </si>
  <si>
    <t>dt x besoins en volume</t>
  </si>
  <si>
    <t>Ensilage d'herbe hiver</t>
  </si>
  <si>
    <t>Ensilage d'herbe été</t>
  </si>
  <si>
    <t>M'kühe &lt; 600kg</t>
  </si>
  <si>
    <t>V. mères &lt; 600kg</t>
  </si>
  <si>
    <t>M'kühe 600-700kg</t>
  </si>
  <si>
    <t>V. mères 600-700kg</t>
  </si>
  <si>
    <t>Tabellarische Koeffizienten</t>
  </si>
  <si>
    <t>Anbaumethode</t>
  </si>
  <si>
    <t>Gemüsebau Gewächshaus/Hochtunnel</t>
  </si>
  <si>
    <t>Cultures maraîchères en serre ou tunnel</t>
  </si>
  <si>
    <t>sì</t>
  </si>
  <si>
    <t>Tasso di rimonta</t>
  </si>
  <si>
    <t>Schafe, ausgenommen Milchschafe:</t>
  </si>
  <si>
    <t>no</t>
  </si>
  <si>
    <t>Agriculture biologique</t>
  </si>
  <si>
    <t>Agricoltura biologica</t>
  </si>
  <si>
    <t>Übrige Schweine ohne Saugferkel</t>
  </si>
  <si>
    <t>Anzahl ME</t>
  </si>
  <si>
    <t>Nombre PT</t>
  </si>
  <si>
    <t>2) Melkeinheiten</t>
  </si>
  <si>
    <t>2) Poste de traite</t>
  </si>
  <si>
    <t>Gülleanf.</t>
  </si>
  <si>
    <t>Gülleanfall</t>
  </si>
  <si>
    <t>Wasserbedarf pro GVE</t>
  </si>
  <si>
    <t>30 Kühe,  Milchtransport fahrbarer Tank</t>
  </si>
  <si>
    <t>40 Kühe,  Milchabfuhr ab Hof</t>
  </si>
  <si>
    <t>60 Kühe,  Milchabfuhr ab Hof</t>
  </si>
  <si>
    <t>6 Teilflächen</t>
  </si>
  <si>
    <t>Cette action supprime définitivement toutes les feuilles qui ne sont pas nécessaire aux 'formulaires PER'. C'est pourquoi le classeur ne doit pas contenir de données!</t>
  </si>
  <si>
    <t>8 surface partielle</t>
  </si>
  <si>
    <t>9 surface partielle</t>
  </si>
  <si>
    <t>SE/SL</t>
  </si>
  <si>
    <t>Achat</t>
  </si>
  <si>
    <t>Vente</t>
  </si>
  <si>
    <t>Nstock parcours</t>
  </si>
  <si>
    <t>AS/LS</t>
  </si>
  <si>
    <t>Privatverbrauch</t>
  </si>
  <si>
    <t>Nummer</t>
  </si>
  <si>
    <t>Mechanisierungsstufe</t>
  </si>
  <si>
    <t>Mutterkühe, Stiere, über 2-jährig</t>
  </si>
  <si>
    <t>Bovin à l'engrais finition intensive</t>
  </si>
  <si>
    <t>Ponys, Kleinpferde, Esel, bis 148 cm</t>
  </si>
  <si>
    <t>Répartition des surfaces sur les zones de production</t>
  </si>
  <si>
    <t xml:space="preserve">    - Des valeurs maximales sont fixées pour les rendements des prairies et des pâturages.</t>
  </si>
  <si>
    <t xml:space="preserve">    - Si les rendements dépassent ces valeurs, une expertise par un spécialiste est nécessaire.</t>
  </si>
  <si>
    <t xml:space="preserve">    - Choisir le code: Vente, Achat ou Hors SF.</t>
  </si>
  <si>
    <t xml:space="preserve">    - Alle Tierarten mit Grundfutterverzehr erfassen (Tabellenblatt Tierb)</t>
  </si>
  <si>
    <t>Correction pour surfaces à l'étranger</t>
  </si>
  <si>
    <t>Diese Aktion löscht alle im 'BetVor light' nicht benötigten Tabellenblätter endgültig. Dabei darf die Arbeitsmappe noch keine Eingaben enthalten!</t>
  </si>
  <si>
    <t>Weitere rauhfutterverzehrende Nutztiere</t>
  </si>
  <si>
    <t>Bohnen Busch-, Handpflück-</t>
  </si>
  <si>
    <t>Diese Aktion löscht alle im 'Nachweis' nicht benötigten Tabellenblätter endgültig. Dabei darf die Arbeitsmappe noch keine Eingaben enthalten!</t>
  </si>
  <si>
    <t>Butt DBMuKu</t>
  </si>
  <si>
    <t>Colza oléagineux commestible</t>
  </si>
  <si>
    <t>Pommes de terre</t>
  </si>
  <si>
    <t>Betterave sucrière</t>
  </si>
  <si>
    <t>PSI</t>
  </si>
  <si>
    <t>Superficie fertilizzabile (SF)</t>
  </si>
  <si>
    <t>Superficie con diritto ai contributi</t>
  </si>
  <si>
    <t>meno:</t>
  </si>
  <si>
    <t>Pascolo  estensivo</t>
  </si>
  <si>
    <t>Colza primaverile</t>
  </si>
  <si>
    <t>Often Used</t>
  </si>
  <si>
    <t>Répartition du revenu pour la 1ère année</t>
  </si>
  <si>
    <t>Revenu du travail par partenaire</t>
  </si>
  <si>
    <t>Revenu par partenaire</t>
  </si>
  <si>
    <t>Poney, petit cheval, âne de tout âge</t>
  </si>
  <si>
    <t>Ferien auf dem Bauernhof 4)</t>
  </si>
  <si>
    <t>Gastronomie, salles pour réceptions, fêtes 3)</t>
  </si>
  <si>
    <t>Vacances à la ferme 4)</t>
  </si>
  <si>
    <t>3) Die hinterlegte Norm gilt für ganzjährigen Betrieb. Saisonalem Betrieb kann durch Wahl der Auslastung Rechnung getragen werden.</t>
  </si>
  <si>
    <t>10. Jahr</t>
  </si>
  <si>
    <t>I</t>
  </si>
  <si>
    <t>II</t>
  </si>
  <si>
    <t>Mastkälber</t>
  </si>
  <si>
    <t>Vormastkälber</t>
  </si>
  <si>
    <t>Tränkekälber</t>
  </si>
  <si>
    <t>Milch an andere Haustiere</t>
  </si>
  <si>
    <t>GVE der Rinder und Wasserbüffel nach neuen Kategorien anzeigen</t>
  </si>
  <si>
    <t>Légumes plein champs, 2ième culture</t>
  </si>
  <si>
    <t>Strukturausgaben 1</t>
  </si>
  <si>
    <t>Dépenses de structure 1</t>
  </si>
  <si>
    <t>Viticoltura con vinificazione propria</t>
  </si>
  <si>
    <t>Kaninchen: Zibben inkl. Jungtiere bis 35-t.</t>
  </si>
  <si>
    <t>18 - 35 % Neigung</t>
  </si>
  <si>
    <t>Geflügelmist (Bodenhaltung, Kotgrube)</t>
  </si>
  <si>
    <t>Geflügelkot (Kotband)</t>
  </si>
  <si>
    <t>Winterfütterung</t>
  </si>
  <si>
    <t>Ökonachweis: erfüllt</t>
  </si>
  <si>
    <t>Zoneneinteilung</t>
  </si>
  <si>
    <t>Silofütterung</t>
  </si>
  <si>
    <t>Veuillez choisir d'abord un fichier!</t>
  </si>
  <si>
    <t>Pauschalanfall an Nährstoffen aus Import-Export Bilanzen</t>
  </si>
  <si>
    <t>Superficie</t>
  </si>
  <si>
    <t>% di</t>
  </si>
  <si>
    <t>della SAU</t>
  </si>
  <si>
    <t>Hecken u. Feldgehölze</t>
  </si>
  <si>
    <t>Pflege</t>
  </si>
  <si>
    <t>Intensive Nutzung</t>
  </si>
  <si>
    <t>Mittlere Nutzung</t>
  </si>
  <si>
    <t>Mulet et bardot, de tout âge</t>
  </si>
  <si>
    <t>Légumes en serre</t>
  </si>
  <si>
    <t>Fruits</t>
  </si>
  <si>
    <t>Variantes</t>
  </si>
  <si>
    <t xml:space="preserve">      Milchschafe und Ziegen. Effektive Menge eingeben.</t>
  </si>
  <si>
    <t xml:space="preserve">    - Für Grund- und Kraftfutter während der Sömmerung gelten ebenfalls </t>
  </si>
  <si>
    <t>Autre cheval de plus de 3 ans, PV 550 kg</t>
  </si>
  <si>
    <t>Exploitation individuelle</t>
  </si>
  <si>
    <t>Communauté à 2 expl.</t>
  </si>
  <si>
    <t>Communauté à 3 expl.</t>
  </si>
  <si>
    <t>Communauté à 4 expl.</t>
  </si>
  <si>
    <t>T: Transfert interne d'éléments nutritifs par le fourrage des prairies sans fumure</t>
  </si>
  <si>
    <t>dt TS GFT</t>
  </si>
  <si>
    <t>dt MS "Transfert"</t>
  </si>
  <si>
    <t>Koeffizienten- &amp; Klick-Tabellen</t>
  </si>
  <si>
    <t>Förderlimiten</t>
  </si>
  <si>
    <t xml:space="preserve">Sie haben für diese Tabelle zu viele Tierarten eingegeben! Überprüfen Sie die Eingaben auf Seite 3 </t>
  </si>
  <si>
    <t>Warnung!</t>
  </si>
  <si>
    <t xml:space="preserve"> eingegeben werden. Haben Sie den Tierbestand Ihres Betriebes dort schon eingetragen?</t>
  </si>
  <si>
    <t>Hinweis zum Hofdüngeranfall</t>
  </si>
  <si>
    <t>Anzahl Kälber pro Kuh</t>
  </si>
  <si>
    <t>Nbre de veaux par vache</t>
  </si>
  <si>
    <t>Ø Anzahl Stiere</t>
  </si>
  <si>
    <t>Nbre Ø de taureaux</t>
  </si>
  <si>
    <t>Âge Ø au 1er vêlage</t>
  </si>
  <si>
    <t>Eigenremontierung</t>
  </si>
  <si>
    <t>Propre remonte d'élevage</t>
  </si>
  <si>
    <t>Remontierungsrate</t>
  </si>
  <si>
    <t>Taux de remonte</t>
  </si>
  <si>
    <t>Total variable Grundfutterkosten</t>
  </si>
  <si>
    <t>Direktzahlungen 1</t>
  </si>
  <si>
    <t>C2: Sous-total grandes cultures, haies et surfaces à litière</t>
  </si>
  <si>
    <t xml:space="preserve"> (sans 2ème culture)</t>
  </si>
  <si>
    <t>Facteur de correction pour</t>
  </si>
  <si>
    <t>20 vacche</t>
  </si>
  <si>
    <t>kg / ha</t>
  </si>
  <si>
    <t>K2O</t>
  </si>
  <si>
    <t>Ganzpflanzenmais, Silomais</t>
  </si>
  <si>
    <t>0</t>
  </si>
  <si>
    <t xml:space="preserve"> UGB;couche longue avec litière</t>
  </si>
  <si>
    <t xml:space="preserve"> UGB; stabulation sur litière profonde (fumier </t>
  </si>
  <si>
    <t>SAK für Strukturverbesserungen</t>
  </si>
  <si>
    <t>Allgemeine Betriebsdaten</t>
  </si>
  <si>
    <t>Höhe über Meer</t>
  </si>
  <si>
    <t>Produktionskatasterzone</t>
  </si>
  <si>
    <t>Milchkontingent</t>
  </si>
  <si>
    <t>Féverole, pois protéagineux et lupins pour affouragement</t>
  </si>
  <si>
    <t>Indications pour les coûts des fourrages grossiers</t>
  </si>
  <si>
    <t>Ourlets sur terres assolées</t>
  </si>
  <si>
    <t>Samenproduktion: Leguminosen Reinbestand</t>
  </si>
  <si>
    <t>Revenu imposable IFD</t>
  </si>
  <si>
    <t>Betriebsgemeinschaft</t>
  </si>
  <si>
    <t>Die Tierzahl im Aufstallungssystem 2 übersteigt die im Blatt 'Tierbestand' eingegebene Anzahl!</t>
  </si>
  <si>
    <t>Gastronomie, Partyraum 3)</t>
  </si>
  <si>
    <t>Effectif bétail</t>
  </si>
  <si>
    <t>Total par partenaire</t>
  </si>
  <si>
    <t>Ces animaux sont détenus dans les systèmes de</t>
  </si>
  <si>
    <t>stabulation suivants:</t>
  </si>
  <si>
    <t>Stabulation entravée:</t>
  </si>
  <si>
    <t xml:space="preserve"> UGB; sur grille (lisier)</t>
  </si>
  <si>
    <t>C2: Total ventes d'autres fourrages</t>
  </si>
  <si>
    <t>C2: Total Wegfuhr übrige Grundfutter</t>
  </si>
  <si>
    <t>âgés &gt; 730 jours</t>
  </si>
  <si>
    <t>âgés &gt; 365 - 730 jours</t>
  </si>
  <si>
    <t>Übergangsbeitrag (ÜGB, Art. 84 bis 96 DZV)</t>
  </si>
  <si>
    <t>Contribution de transition (CT, Art. 84 à 96 OPD)</t>
  </si>
  <si>
    <t>500 animaux</t>
  </si>
  <si>
    <t>2000 animaux</t>
  </si>
  <si>
    <t>&lt; 18%, 4 coupes de conserv., moyen</t>
  </si>
  <si>
    <t>Vente bovins d'engraiss.</t>
  </si>
  <si>
    <t>Coûts variables</t>
  </si>
  <si>
    <t>Achat vaches</t>
  </si>
  <si>
    <t>Achat génisses, 1 à 2 ans</t>
  </si>
  <si>
    <t>Précédent</t>
  </si>
  <si>
    <t>Données vont être supprimer. Voulez vous continuer quand même?</t>
  </si>
  <si>
    <t>Qualitätsstufe I</t>
  </si>
  <si>
    <t>Fattore di correzione ponderato per sup.</t>
  </si>
  <si>
    <t>Legumi serra (tunnel)</t>
  </si>
  <si>
    <t>Lama e alpaca</t>
  </si>
  <si>
    <t>Note Importante: Toutes les données de cette feuille ne s'afficheront correctement dans le Suisse bilan, uniquement si pour chaque catégorie d'animaux le nombre exact d'unités est saisi dans la feuille "troupeau" !</t>
  </si>
  <si>
    <t>Contrôler les ventes de fourrages !</t>
  </si>
  <si>
    <t>Sélectionner ici une fosse à lisier !</t>
  </si>
  <si>
    <t>Sélectionné ici une place à fumier !</t>
  </si>
  <si>
    <t>Voir les autres messages d'erreur?</t>
  </si>
  <si>
    <t>NST</t>
  </si>
  <si>
    <t>PN</t>
  </si>
  <si>
    <t>CN</t>
  </si>
  <si>
    <t>Suini</t>
  </si>
  <si>
    <t>CCM, maïs-grain humide</t>
  </si>
  <si>
    <t>Lin oléagineux</t>
  </si>
  <si>
    <t>Dérobées et engrais vert</t>
  </si>
  <si>
    <t>Rotations</t>
  </si>
  <si>
    <t>Datenbank Ackerkulturen und Grünland</t>
  </si>
  <si>
    <t>Milchkühe auf selbstbewirtschaftetem Sömmerungsbetrieb</t>
  </si>
  <si>
    <t>Einheiten</t>
  </si>
  <si>
    <t>Côtes de bettes</t>
  </si>
  <si>
    <t>prestation tot. (produit/unité)</t>
  </si>
  <si>
    <t>Surfaces à l'étranger</t>
  </si>
  <si>
    <t>* VR = Valeur de remplacement</t>
  </si>
  <si>
    <t>* WBW = Wiederbeschaffungswert</t>
  </si>
  <si>
    <t>coûts (charges) var. / unité</t>
  </si>
  <si>
    <t>Pastinaken</t>
  </si>
  <si>
    <t>Peterli</t>
  </si>
  <si>
    <t>Rosenkohl</t>
  </si>
  <si>
    <t>Pâturage</t>
  </si>
  <si>
    <t xml:space="preserve">Heures </t>
  </si>
  <si>
    <t>Réduction/</t>
  </si>
  <si>
    <t>supplément</t>
  </si>
  <si>
    <t>2. Teil A: Grund- und Kraftfutterverzehr</t>
  </si>
  <si>
    <t>Wirz schwer</t>
  </si>
  <si>
    <t>Zucchetti, Patisson, Kürbis</t>
  </si>
  <si>
    <t>Vorkultur vor Zwischenkultur</t>
  </si>
  <si>
    <t>Umbruch</t>
  </si>
  <si>
    <t>Gemüse</t>
  </si>
  <si>
    <t>Ackerkultur</t>
  </si>
  <si>
    <t>zwischen 15.11 u. 15.2</t>
  </si>
  <si>
    <t>nach 15.2</t>
  </si>
  <si>
    <t xml:space="preserve"> Fläche</t>
  </si>
  <si>
    <t>x   Index</t>
  </si>
  <si>
    <t xml:space="preserve"> = Total</t>
  </si>
  <si>
    <t>Winterkulturen</t>
  </si>
  <si>
    <t>davon ha pfluglos1)</t>
  </si>
  <si>
    <t>Gewählte Jahre</t>
  </si>
  <si>
    <t>Pois, transformation</t>
  </si>
  <si>
    <t>Pois, pois mange-tout</t>
  </si>
  <si>
    <t>Truies gestantes 2)</t>
  </si>
  <si>
    <t>Contribution pour terres ouvertes et c. pérennes</t>
  </si>
  <si>
    <t>0 - 60 ha</t>
  </si>
  <si>
    <t>60 - 80 ha</t>
  </si>
  <si>
    <t>Dérobées, engrais verts, semis entre le 1.9 et le 30.9</t>
  </si>
  <si>
    <t xml:space="preserve"> = A2 – C + A3 + D + E – T</t>
  </si>
  <si>
    <t>Pferde für Suisse-Bilanz</t>
  </si>
  <si>
    <t>Pferde für SuiBi</t>
  </si>
  <si>
    <t>Fohlen für SuiBi</t>
  </si>
  <si>
    <t>Trutenvormast, bis 1.5 kg LG, 6 Umtriebe</t>
  </si>
  <si>
    <t>Trutenausmast, 1.5 bis 13 kg LG, 2.9 Umtriebe</t>
  </si>
  <si>
    <t>30 poste</t>
  </si>
  <si>
    <t>50 poste</t>
  </si>
  <si>
    <t>100 poste</t>
  </si>
  <si>
    <t>Gastronomie, salles pour réceptions, fêtes</t>
  </si>
  <si>
    <t>Vacances à la ferme</t>
  </si>
  <si>
    <t>Aventure sur la paille</t>
  </si>
  <si>
    <t>Postes de traite</t>
  </si>
  <si>
    <t>Milchziegen (inkl.Jungtiere)</t>
  </si>
  <si>
    <t>Eine der eingebenen Flächen übersteigt die im Blatt "Kennz" deklarierte Fläche dieses Typs!</t>
  </si>
  <si>
    <t>Déduction de la quantié disponible par année de fourrage pauvre en substances nutritives</t>
  </si>
  <si>
    <t>Stall- oder Igluhaltung, Tränken am Automat</t>
  </si>
  <si>
    <t>10 Mutterkühe</t>
  </si>
  <si>
    <t>20 Mutterkühe</t>
  </si>
  <si>
    <t>40 Mutterkühe</t>
  </si>
  <si>
    <t>AGRIDEA lehnt jede Haftung und Gewährleistung ab, die aus Berechnungen mit diesem Instrument abgeleitet werden.</t>
  </si>
  <si>
    <t>Hektaren</t>
  </si>
  <si>
    <t>SuiBi: Freilandgemüse</t>
  </si>
  <si>
    <t>Cumul des</t>
  </si>
  <si>
    <t>Total der Kumulation</t>
  </si>
  <si>
    <t>Erforderlicher Mindesttierbesatz (RGVE/ha Grünfläche) für 100 % der GMF-Beiträge</t>
  </si>
  <si>
    <t>Contributions à la surface année de référence*</t>
  </si>
  <si>
    <t>Kinderzulage ab 2009</t>
  </si>
  <si>
    <t>Paiements directs soumis à la limitation par UMOS:</t>
  </si>
  <si>
    <t>Biodiversitätsbeiträge (ohne Vernetzungsbeitrag)</t>
  </si>
  <si>
    <t>Contributions à la biodiversité (sauf contribution mise en réseau)</t>
  </si>
  <si>
    <t>Pâturage boisé</t>
  </si>
  <si>
    <t xml:space="preserve">Pâturage </t>
  </si>
  <si>
    <t>Beispiel: Hopfen</t>
  </si>
  <si>
    <t>Exemple: houblon</t>
  </si>
  <si>
    <t>RH</t>
  </si>
  <si>
    <t>Polpa di barbabietola</t>
  </si>
  <si>
    <t>&lt; 18%, 2 coupes de conserv., moyen</t>
  </si>
  <si>
    <t>&gt; 140 ha</t>
  </si>
  <si>
    <t>0%</t>
  </si>
  <si>
    <t>Fläche zwischen</t>
  </si>
  <si>
    <t xml:space="preserve">% à partir de </t>
  </si>
  <si>
    <t xml:space="preserve">% ab </t>
  </si>
  <si>
    <t xml:space="preserve">% dal </t>
  </si>
  <si>
    <t>Purin uniquement</t>
  </si>
  <si>
    <t>Fumier en tas et purin</t>
  </si>
  <si>
    <t>/ Abzug</t>
  </si>
  <si>
    <t>100 Kühe,  Milchabfuhr ab Hof</t>
  </si>
  <si>
    <t>Betteraves sucrières destinées la production de sucre</t>
  </si>
  <si>
    <t>Melonen, Ölkürbisse, Zucchetti</t>
  </si>
  <si>
    <t>Abgeerntete Gemüse u. Schnittblumen mit intaktem Wurzelwerk</t>
  </si>
  <si>
    <t>Preis</t>
  </si>
  <si>
    <t>Betrag</t>
  </si>
  <si>
    <t>pâturages tournants</t>
  </si>
  <si>
    <t>autres pâturages</t>
  </si>
  <si>
    <t>Liste d'année 1</t>
  </si>
  <si>
    <t>Liste d'année 2</t>
  </si>
  <si>
    <t>Variation de la trésorerie nette globale (valeur)</t>
  </si>
  <si>
    <t>Valeurs dans l'intervalle choisi</t>
  </si>
  <si>
    <t>Année de plan. 1</t>
  </si>
  <si>
    <t>Année de plan. 2</t>
  </si>
  <si>
    <t>Zuchtstute inkl. Fohlen</t>
  </si>
  <si>
    <t xml:space="preserve">genutzte Wiesen, Streue </t>
  </si>
  <si>
    <t>mit Krautsaum</t>
  </si>
  <si>
    <t>Cession de feuilles de betteraves</t>
  </si>
  <si>
    <t>Anteil Nges-Vollmist x 0.12</t>
  </si>
  <si>
    <t>Coûts généraux</t>
  </si>
  <si>
    <t>Autres vaches</t>
  </si>
  <si>
    <t>Fumier de stabulation libre et purin (40-60% paillés)</t>
  </si>
  <si>
    <t>Anteil "extensiver" Elemente an der Grünland- und Streuefläche</t>
  </si>
  <si>
    <t>Grünland- und Streuefläche (ha)</t>
  </si>
  <si>
    <t>% d. Grünland-</t>
  </si>
  <si>
    <t>Calcul des réductions des paiements directs dues au revenu et à la fortune</t>
  </si>
  <si>
    <t xml:space="preserve">Die Kulturflächen müssen auf Seiten 2 </t>
  </si>
  <si>
    <t>Cultures maraîchères, divers</t>
  </si>
  <si>
    <t>Mittelintensive Wiesen und Weiden, 1-5 Nutzungen</t>
  </si>
  <si>
    <t>Total contributions à l'efficience des ressources régionales</t>
  </si>
  <si>
    <t>Prati da sfalcio in zona d'estivazione</t>
  </si>
  <si>
    <t>Pascolo</t>
  </si>
  <si>
    <t>Mais da silo</t>
  </si>
  <si>
    <t>abzügl.</t>
  </si>
  <si>
    <t>Frühjahrsschnitt vor Wiesenumbruch</t>
  </si>
  <si>
    <t>Buntbrache</t>
  </si>
  <si>
    <t>Valeurs standard</t>
  </si>
  <si>
    <t>Orge d'automne</t>
  </si>
  <si>
    <t>Orge de printemps</t>
  </si>
  <si>
    <t>Avoine</t>
  </si>
  <si>
    <t>utilistion d'aliments bio</t>
  </si>
  <si>
    <t>Einsatz nährstoffarmes Futter</t>
  </si>
  <si>
    <t>chkFuKo</t>
  </si>
  <si>
    <t>chkVerm</t>
  </si>
  <si>
    <t>chkPacht</t>
  </si>
  <si>
    <t>chkPersonal</t>
  </si>
  <si>
    <t>chkPrivat</t>
  </si>
  <si>
    <t xml:space="preserve"> *SAU donnant droit aux contributions: SAU sans haies, bosquets et berges boisées</t>
  </si>
  <si>
    <t>Zone de plaine (sans contribution)</t>
  </si>
  <si>
    <t xml:space="preserve"> eingegeben werden. Haben Sie die Flächen und Erträge Ihres Betriebes dort schon eingetragen?</t>
  </si>
  <si>
    <t>Hinweis zum Nährstoffhaushalt</t>
  </si>
  <si>
    <t>Communauté: Couverture de la charge supplém. en intérêts et remboursements</t>
  </si>
  <si>
    <t>Partenaire D</t>
  </si>
  <si>
    <t>Total Produktionssystembeiträge</t>
  </si>
  <si>
    <t>Italienisches Raigras, Saat zwischen 1.10 und 31.10</t>
  </si>
  <si>
    <t>Zwischenfutter, Gründüngung, Saat bis spätestens 31.8</t>
  </si>
  <si>
    <t>Zwischenfutter, Gründüngung, Saat nach 30.9</t>
  </si>
  <si>
    <t>Wintererbsen, -ackerbohnen</t>
  </si>
  <si>
    <t>Nussbäume***</t>
  </si>
  <si>
    <t>Nur Laufstallmist</t>
  </si>
  <si>
    <t>Freiland</t>
  </si>
  <si>
    <t>Placements financiers exploitation</t>
  </si>
  <si>
    <t>Remboursements des dettes</t>
  </si>
  <si>
    <t>retraits du privé</t>
  </si>
  <si>
    <t>Cerises, rendement élevé</t>
  </si>
  <si>
    <t>Prunes</t>
  </si>
  <si>
    <t>Pouletmist in Gülle</t>
  </si>
  <si>
    <t>Zusammenfassung DZ und Beiträge</t>
  </si>
  <si>
    <t>Jachère tournante (type 7B)</t>
  </si>
  <si>
    <t>LS</t>
  </si>
  <si>
    <t>behornt/unbehornt</t>
  </si>
  <si>
    <t>behornt</t>
  </si>
  <si>
    <t>unbehornt</t>
  </si>
  <si>
    <t>Standard-Arbeitskräfte</t>
  </si>
  <si>
    <t>Kunstwiesenansaat im folgenden Frühjahr nach Brache</t>
  </si>
  <si>
    <t>Salaire différé</t>
  </si>
  <si>
    <t>Travail propre</t>
  </si>
  <si>
    <t>Matériel propre</t>
  </si>
  <si>
    <t>Moyens monétaires</t>
  </si>
  <si>
    <t>4. Jahr</t>
  </si>
  <si>
    <t>5. Jahr</t>
  </si>
  <si>
    <t>6. Jahr</t>
  </si>
  <si>
    <t xml:space="preserve"> Bio-Mindestfläche</t>
  </si>
  <si>
    <t>RGVE total</t>
  </si>
  <si>
    <t>RGVE/ha Grünl.</t>
  </si>
  <si>
    <t>GVE total</t>
  </si>
  <si>
    <t>9. Jahr</t>
  </si>
  <si>
    <t>Streueflächen</t>
  </si>
  <si>
    <t>enregistrer les mouvements externes</t>
  </si>
  <si>
    <t>et la valeur locative</t>
  </si>
  <si>
    <t>Entwicklung der Bezüge über 5 Jahre</t>
  </si>
  <si>
    <t>Par ha fertilisable</t>
  </si>
  <si>
    <t>Ndisp =</t>
  </si>
  <si>
    <t>Nicht überdacht, mit Entwässerung über Silosaftrinne in die Güllengrube</t>
  </si>
  <si>
    <t>Nombre S</t>
  </si>
  <si>
    <t>Conbributions du niveau</t>
  </si>
  <si>
    <t>Liste à choix</t>
  </si>
  <si>
    <t>Cultures sélectionnées</t>
  </si>
  <si>
    <t>Supprimer toutes les cultures</t>
  </si>
  <si>
    <t>Supprimer une culture</t>
  </si>
  <si>
    <t>Total opérations d'investissements</t>
  </si>
  <si>
    <t xml:space="preserve"> = Cash Flow total</t>
  </si>
  <si>
    <t>Evolution du Cash Flow, des investissements nets, du financement net et de la trésorerie</t>
  </si>
  <si>
    <t>Colza, soja, tournesol, chanvre et lin</t>
  </si>
  <si>
    <r>
      <t>P</t>
    </r>
    <r>
      <rPr>
        <vertAlign val="subscript"/>
        <sz val="10"/>
        <rFont val="Arial"/>
        <family val="2"/>
      </rPr>
      <t>2</t>
    </r>
    <r>
      <rPr>
        <sz val="10"/>
        <rFont val="Arial"/>
        <family val="2"/>
      </rPr>
      <t>O</t>
    </r>
    <r>
      <rPr>
        <vertAlign val="subscript"/>
        <sz val="10"/>
        <rFont val="Arial"/>
        <family val="2"/>
      </rPr>
      <t>5</t>
    </r>
  </si>
  <si>
    <r>
      <t>K</t>
    </r>
    <r>
      <rPr>
        <vertAlign val="subscript"/>
        <sz val="10"/>
        <rFont val="Arial"/>
        <family val="2"/>
      </rPr>
      <t>2</t>
    </r>
    <r>
      <rPr>
        <sz val="10"/>
        <rFont val="Arial"/>
        <family val="2"/>
      </rPr>
      <t>O</t>
    </r>
  </si>
  <si>
    <t>Cerfs</t>
  </si>
  <si>
    <t>Besoins totaux de l'explot. C</t>
  </si>
  <si>
    <t>MittelIntensiv</t>
  </si>
  <si>
    <t>KF_Sö in kg / d</t>
  </si>
  <si>
    <t>Consommation Estivage</t>
  </si>
  <si>
    <t>Jungvieh, 0 bis 1-jährig</t>
  </si>
  <si>
    <t>Mastschweine, Remonten und abges. Ferkel</t>
  </si>
  <si>
    <t>1) Die hinterlegte Norm gilt für ganzjährigen Betrieb. Saisonalem Betrieb kann durch Wahl der Auslastungen Rechnung getragen werden.</t>
  </si>
  <si>
    <t>1)</t>
  </si>
  <si>
    <t>(</t>
  </si>
  <si>
    <t>) =</t>
  </si>
  <si>
    <t/>
  </si>
  <si>
    <t>a)</t>
  </si>
  <si>
    <t>) x</t>
  </si>
  <si>
    <t xml:space="preserve">= </t>
  </si>
  <si>
    <t>b)</t>
  </si>
  <si>
    <t>c)</t>
  </si>
  <si>
    <t>d)</t>
  </si>
  <si>
    <t>b) - d)</t>
  </si>
  <si>
    <t xml:space="preserve">  Zuschlag für Biolandbau</t>
  </si>
  <si>
    <t>retour au bilan</t>
  </si>
  <si>
    <t>Bilan MS fourrage grossier</t>
  </si>
  <si>
    <t>Zufuhr von Futterresten in t</t>
  </si>
  <si>
    <t>Gehalt des gemischten Mistes</t>
  </si>
  <si>
    <t>in kg je t</t>
  </si>
  <si>
    <t>Mistmenge total inkl. Futterresten in t</t>
  </si>
  <si>
    <t>Mistplatz 2</t>
  </si>
  <si>
    <t>Sorties régulières en plein air</t>
  </si>
  <si>
    <t>Total achats (dont "pauvres"</t>
  </si>
  <si>
    <t>Endivie Herbst-</t>
  </si>
  <si>
    <t>Gurken; 30 Stk./m2, Erdkultur</t>
  </si>
  <si>
    <t>Gurken; 50 Stk./m2, Erdkultur</t>
  </si>
  <si>
    <t>Après l'entrée en vigeur de PA 2014-17, les fournisseurs de logiciels seront libres d'introduire</t>
  </si>
  <si>
    <t>Nach dem Inkrafttreten der AP 14/17 steht es den Softwareanbietern frei,</t>
  </si>
  <si>
    <t>Exemple: kiwis</t>
  </si>
  <si>
    <t>Beitrag für Maschinenanschaffungen bei REB, einmalig</t>
  </si>
  <si>
    <t>für die GMF-Beiträge verwendet werden.</t>
  </si>
  <si>
    <t>Diese Futterbilanz ist vom Bundesamt für Landwirtschaft noch nicht zertifiziert.</t>
  </si>
  <si>
    <t>Les parts de la surfarce sont classées dans les zones de production. Pour modifier activez la case.</t>
  </si>
  <si>
    <t>jachère tournante</t>
  </si>
  <si>
    <t>Contribution pour la protection de l'eau art. 62a LEaux</t>
  </si>
  <si>
    <t>Contributo per la protezione delle acque (art. 62 LPAc)</t>
  </si>
  <si>
    <t>Sömmerungsbeitrag</t>
  </si>
  <si>
    <t>Fortune imposable</t>
  </si>
  <si>
    <t>Sostanza imponibile</t>
  </si>
  <si>
    <t>Total Bezüge und Entschädigungen</t>
  </si>
  <si>
    <t xml:space="preserve">Corrigez s’il vous plaît les valeurs relatives aux animaux dans l’onglet « UMOS », ainsi que les contributions SST et SRPA dans l’onglet « CPC », si vous avez déplacé des animaux sur une autre exploitation avec SAU. Utilisez la ligne de correction.
</t>
  </si>
  <si>
    <t>Grundfutterverkauf</t>
  </si>
  <si>
    <t>DB</t>
  </si>
  <si>
    <t>DBMilch</t>
  </si>
  <si>
    <t>GfK</t>
  </si>
  <si>
    <t>SAK</t>
  </si>
  <si>
    <t>SK_A</t>
  </si>
  <si>
    <t>SK_B</t>
  </si>
  <si>
    <t>Quantité de base</t>
  </si>
  <si>
    <t>Quantité complémentaire 1</t>
  </si>
  <si>
    <t>Quantité complémentaire 2</t>
  </si>
  <si>
    <t>Total améliorations foncières</t>
  </si>
  <si>
    <t>Grünmais</t>
  </si>
  <si>
    <t>Tabak Burley</t>
  </si>
  <si>
    <t>Zwischenfutter</t>
  </si>
  <si>
    <t>Tabak Virgine</t>
  </si>
  <si>
    <t>Äugstlen</t>
  </si>
  <si>
    <t>Lingua:</t>
  </si>
  <si>
    <t>im&amp;primer</t>
  </si>
  <si>
    <t>PartnerB</t>
  </si>
  <si>
    <t>PartnerC</t>
  </si>
  <si>
    <t xml:space="preserve"> (Stück)</t>
  </si>
  <si>
    <t>Ersatz</t>
  </si>
  <si>
    <t>Aus-</t>
  </si>
  <si>
    <t xml:space="preserve">Kosten </t>
  </si>
  <si>
    <t>jahr</t>
  </si>
  <si>
    <t>Herbe séchée</t>
  </si>
  <si>
    <t>Revenu de placements de l'entreprise</t>
  </si>
  <si>
    <t>&lt; 18%, 4 coupes de conserv., haut</t>
  </si>
  <si>
    <t>Choux frisé lourd</t>
  </si>
  <si>
    <t xml:space="preserve"> + Prestations</t>
  </si>
  <si>
    <t xml:space="preserve"> + Caisse de pension: prime</t>
  </si>
  <si>
    <t>Déduction de coordination</t>
  </si>
  <si>
    <t xml:space="preserve">1 arbre = 0.01 ha; °surfaces viticoles présentant une riche biodiversité </t>
  </si>
  <si>
    <t>sans les herbages et surfaces à litière riches en espèces de la région d'estivage</t>
  </si>
  <si>
    <t>Jument avec poulain</t>
  </si>
  <si>
    <t xml:space="preserve"> = Surface agricole utile (SAU)</t>
  </si>
  <si>
    <t>N+korr.</t>
  </si>
  <si>
    <t>LHP/MPP</t>
  </si>
  <si>
    <t>Druckfass</t>
  </si>
  <si>
    <t>Mähwerk</t>
  </si>
  <si>
    <t>Kreiselheuer</t>
  </si>
  <si>
    <t>Ist</t>
  </si>
  <si>
    <t>Zu erstellen</t>
  </si>
  <si>
    <t>Ökologische Ausgleichsfläche</t>
  </si>
  <si>
    <t>% der LN</t>
  </si>
  <si>
    <t>BlattRef:</t>
  </si>
  <si>
    <t>in BetVor light</t>
  </si>
  <si>
    <t>in Dirzahl</t>
  </si>
  <si>
    <t>Zelle</t>
  </si>
  <si>
    <t>Nachweis</t>
  </si>
  <si>
    <t>Bezug</t>
  </si>
  <si>
    <t>Wert/Formel</t>
  </si>
  <si>
    <t>Dépenses pour investiss. selon Projets</t>
  </si>
  <si>
    <t>Rural, habitation</t>
  </si>
  <si>
    <t>Bei der Übernahme von Daten aus Ernte-Mappen von Feldbuch,</t>
  </si>
  <si>
    <t>dt TS pro GVE</t>
  </si>
  <si>
    <t>Superficie agricola utile (SAU)</t>
  </si>
  <si>
    <t>Bovini</t>
  </si>
  <si>
    <t>Equini</t>
  </si>
  <si>
    <t>Piccoli ruminanti</t>
  </si>
  <si>
    <t>Altri animali che consumano foraggio grezzo</t>
  </si>
  <si>
    <t>Mise en réseau**</t>
  </si>
  <si>
    <t>Combustible</t>
  </si>
  <si>
    <t>Tapis</t>
  </si>
  <si>
    <t>Planungsjahr 3</t>
  </si>
  <si>
    <t>Übrige Weiden</t>
  </si>
  <si>
    <t>Planungsjahr 4</t>
  </si>
  <si>
    <t>Typ 0</t>
  </si>
  <si>
    <t>Telefono</t>
  </si>
  <si>
    <t>Cantone</t>
  </si>
  <si>
    <t>Veau</t>
  </si>
  <si>
    <t>Fumier de veau</t>
  </si>
  <si>
    <t>Cheval</t>
  </si>
  <si>
    <t>Fumier de cheval, frais</t>
  </si>
  <si>
    <t>Fumier de cheval, mûr</t>
  </si>
  <si>
    <t>Moyen, pas triées</t>
  </si>
  <si>
    <t>Haut, pas triées</t>
  </si>
  <si>
    <t>Weidemast</t>
  </si>
  <si>
    <t>Production de champignons</t>
  </si>
  <si>
    <t>Production chicorée Witloof</t>
  </si>
  <si>
    <t>Production de pousses de légumes</t>
  </si>
  <si>
    <t>Sprossenproduktion</t>
  </si>
  <si>
    <t>Contributi per i sistemi di produzione</t>
  </si>
  <si>
    <t>Beitrag für den Gewässerschutz Art. 62a GSchG</t>
  </si>
  <si>
    <t>Exploitation avec label, beaucoup de travail manuel</t>
  </si>
  <si>
    <t>Kernobst, hoher Ertrag</t>
  </si>
  <si>
    <t>pro Einh.</t>
  </si>
  <si>
    <t>de concentrés</t>
  </si>
  <si>
    <t>Kraftfutter-</t>
  </si>
  <si>
    <t>Die Anzahl der Milchkühe wird automatisch auch auf den Blättern "Jungviehbilanz" und "Tierbestand" angepasst. Die Jungviehbilanz wird dabei aber nicht optimiert!</t>
  </si>
  <si>
    <t>2) Si les teneurs indiquées sont les résultats de la correction linéaire, les mêmes valeurs doivent être indiquées pour les deux catégories de truies d'élevage et les verrats d'élevage !</t>
  </si>
  <si>
    <t>Variable Kosten / Einheit</t>
  </si>
  <si>
    <t>Deckungsbeitrag / Einheit</t>
  </si>
  <si>
    <t>Faserpflanzen ohne Lein und Hanf</t>
  </si>
  <si>
    <t>SuiBi: Formular E Vergärungsprodukte</t>
  </si>
  <si>
    <t>Moyens non monétaires</t>
  </si>
  <si>
    <t>Chicorée rouge</t>
  </si>
  <si>
    <t>Chicorée, rendement moyen</t>
  </si>
  <si>
    <t>** BFF Grünland = extensiv und wenig intensiv genutzte Wiesen, extensive Weiden und Waldweiden, Uferwiesen entlang von Fliessgewässern</t>
  </si>
  <si>
    <t>Erstkalbealter</t>
  </si>
  <si>
    <t>pfeilSömmerung</t>
  </si>
  <si>
    <t>chk_MehrZonen</t>
  </si>
  <si>
    <t>Kategorien ab 2009</t>
  </si>
  <si>
    <t xml:space="preserve">Total GVE </t>
  </si>
  <si>
    <t>Düngbare Fläche (DF)</t>
  </si>
  <si>
    <t>Terminer le dialogue</t>
  </si>
  <si>
    <t>Porcs d'engraissement</t>
  </si>
  <si>
    <t>Poules pondeuses</t>
  </si>
  <si>
    <t>Vendita</t>
  </si>
  <si>
    <t>Tenore in elementi nutritivi</t>
  </si>
  <si>
    <t>Quantità</t>
  </si>
  <si>
    <t>Sorties régulières en plein air (SRPA)</t>
  </si>
  <si>
    <t>Letame</t>
  </si>
  <si>
    <t>Volume de stockage du purin pour une durée de</t>
  </si>
  <si>
    <t>a Surface fourr. princ. par UGBFG</t>
  </si>
  <si>
    <t>UGBF animaux en propriété</t>
  </si>
  <si>
    <t>Kunstwiesen und Rotationsbrache</t>
  </si>
  <si>
    <t>übrige Kulturen</t>
  </si>
  <si>
    <t>Schweine</t>
  </si>
  <si>
    <t>Geflügel</t>
  </si>
  <si>
    <t>besoins</t>
  </si>
  <si>
    <t>Vorhandener Tierbesatz (RGVE/ha Grünfläche)</t>
  </si>
  <si>
    <t>UBGF in proprietà</t>
  </si>
  <si>
    <t>MBbov</t>
  </si>
  <si>
    <t>MBVM</t>
  </si>
  <si>
    <t xml:space="preserve">   - Saisir les indications pour le calcul de la charge en bétail minimale.</t>
  </si>
  <si>
    <t>Impianto di mungitura</t>
  </si>
  <si>
    <t>La partie nommée [RaufutterVerzehrer] dans le tableau 'D_anim' doit correspondre à la même partie de 'Animaux' !</t>
  </si>
  <si>
    <t>Contributo per l'interconnessione</t>
  </si>
  <si>
    <t>Interconnessione**</t>
  </si>
  <si>
    <t>SPB specifica della regione</t>
  </si>
  <si>
    <t>Misura</t>
  </si>
  <si>
    <t>Leggenda</t>
  </si>
  <si>
    <t>&lt; 18%, 1 coupe de conserv., moyen</t>
  </si>
  <si>
    <t>Type d'eaux usées</t>
  </si>
  <si>
    <t>Constante</t>
  </si>
  <si>
    <t>G ü l l e -   &amp;   M i s t a n f a l l   a u s f ü l l e n</t>
  </si>
  <si>
    <t>Ngesamt</t>
  </si>
  <si>
    <t>Nverf (Ack.b.)</t>
  </si>
  <si>
    <t>Total Anzahl Kulturen</t>
  </si>
  <si>
    <t>Anzahl Kulturen erfüllt?</t>
  </si>
  <si>
    <t>1) Mais:</t>
  </si>
  <si>
    <t>Bovin à l'engrais, intensif, 65-520 kg</t>
  </si>
  <si>
    <t>Rindviehmast intensiv, 65-520 kg</t>
  </si>
  <si>
    <t>Blé d'automne (panifiable et biscuitier)</t>
  </si>
  <si>
    <t>Blé d'automne (fourrager)</t>
  </si>
  <si>
    <t>Toleranz der Bilanz in %</t>
  </si>
  <si>
    <t>Grenze</t>
  </si>
  <si>
    <t>Milchkühe auf Sömmerungsbetrieb</t>
  </si>
  <si>
    <t>Nutztiere auf Sömmerungsbetrieb</t>
  </si>
  <si>
    <t xml:space="preserve">    Places pour finition</t>
  </si>
  <si>
    <t>Mise en valeur du lait</t>
  </si>
  <si>
    <t>Lait au ménage</t>
  </si>
  <si>
    <t>veaux d'élevage</t>
  </si>
  <si>
    <t>Rendements régulièrement inférieurs aux rendements standards ¹</t>
  </si>
  <si>
    <t xml:space="preserve">    - Saisir tous les animaux consommant des fourrages (feuille Animaux).</t>
  </si>
  <si>
    <t>Colza</t>
  </si>
  <si>
    <t xml:space="preserve">Erdbeeren </t>
  </si>
  <si>
    <t>Handernte</t>
  </si>
  <si>
    <t>A6: Grundfutterverzehr Raufutterverzehr</t>
  </si>
  <si>
    <t>A7: Kraftfutterverzehr berechtigte Kategorien</t>
  </si>
  <si>
    <t>übrige RGVE</t>
  </si>
  <si>
    <t>Alpungsbeitrag (an den Ganzjahresbetrieb)</t>
  </si>
  <si>
    <t>Contribution d'alpage (pour l'exploitation à l'année)</t>
  </si>
  <si>
    <t>veaux blancs</t>
  </si>
  <si>
    <t>Châtaigneraies/noiseraies entret.</t>
  </si>
  <si>
    <t>Autres cultures pérennes</t>
  </si>
  <si>
    <t>extensive</t>
  </si>
  <si>
    <t>Ressourceneffizienzbeiträge (regionale, Art. 77 a/b LwG und Art. 62a GSchG)</t>
  </si>
  <si>
    <t>Korr. TS-Verz.</t>
  </si>
  <si>
    <t>Betrieb:</t>
  </si>
  <si>
    <t>Maïs affourragé en vert</t>
  </si>
  <si>
    <t>per unità</t>
  </si>
  <si>
    <t>Giorni d'estivazione</t>
  </si>
  <si>
    <t>di 2 aziende</t>
  </si>
  <si>
    <t>di 3 aziende</t>
  </si>
  <si>
    <t>Autres animaux cons. de fourr. grossier</t>
  </si>
  <si>
    <t>Kinderzulagen Bund</t>
  </si>
  <si>
    <t>Allocation de formation professionnelle</t>
  </si>
  <si>
    <t>Hennenmist (Kotgrube, Bodenhaltung)</t>
  </si>
  <si>
    <t>Pufferstreifen entlang Gewässern, Wäldern, Hecken, Feld- u. Ufergehölzen</t>
  </si>
  <si>
    <t>Übrige</t>
  </si>
  <si>
    <t>Hecken, Feldgehölz, Streueflächen</t>
  </si>
  <si>
    <t>Vom Betrieb weggeführtes Stroh</t>
  </si>
  <si>
    <t>bête</t>
  </si>
  <si>
    <t>Pâture</t>
  </si>
  <si>
    <t>Betriebliche Finanzanlagen</t>
  </si>
  <si>
    <t>Flüssige Mittel</t>
  </si>
  <si>
    <t>Investitionskredite</t>
  </si>
  <si>
    <t>Milchkühe</t>
  </si>
  <si>
    <t>Ø Milchmenge:</t>
  </si>
  <si>
    <t>valeur limite</t>
  </si>
  <si>
    <t>Grenzwerte:</t>
  </si>
  <si>
    <t>1 place</t>
  </si>
  <si>
    <t>1 Platz</t>
  </si>
  <si>
    <t>1 bête</t>
  </si>
  <si>
    <t>1 Stück</t>
  </si>
  <si>
    <t>100 pl.</t>
  </si>
  <si>
    <t>Faktoren</t>
  </si>
  <si>
    <t>MS/an</t>
  </si>
  <si>
    <t>TS/Jahr</t>
  </si>
  <si>
    <t>MS/jour</t>
  </si>
  <si>
    <t>TS/Tag</t>
  </si>
  <si>
    <t>de fourrage</t>
  </si>
  <si>
    <t>verzehr</t>
  </si>
  <si>
    <t>&gt; 50%, 1 Kons.-schnitt, hoch</t>
  </si>
  <si>
    <t>GVE für Rinder und Wasserbüffel nach Altersklassen 1)</t>
  </si>
  <si>
    <t>GVE-Faktor</t>
  </si>
  <si>
    <t>GVE Betrieb</t>
  </si>
  <si>
    <t>Wintertriticale</t>
  </si>
  <si>
    <t xml:space="preserve">Weide, Mähw. </t>
  </si>
  <si>
    <t>hectares</t>
  </si>
  <si>
    <t>prairies temporaires</t>
  </si>
  <si>
    <t>dès 2014</t>
  </si>
  <si>
    <t>&gt; 50%, 2 coupes de conserv., bas</t>
  </si>
  <si>
    <t>&gt; 50%, 2 coupes de conserv., moyen</t>
  </si>
  <si>
    <t>&gt; 50%, 2 coupes de conserv., haut</t>
  </si>
  <si>
    <t>Lama plus de 2 ans</t>
  </si>
  <si>
    <t>Wapiti, y c. petits, 1u.=2 animaux</t>
  </si>
  <si>
    <t>Wapiti inkl. Jungtiere, 1 Einheit=2 Tiere</t>
  </si>
  <si>
    <t>prairies extensives</t>
  </si>
  <si>
    <t>Contributi per l’efficienza delle risorse (nazionali: CER, art. 76)</t>
  </si>
  <si>
    <t>Unselbständiges Nebeneinkommen</t>
  </si>
  <si>
    <t>Art der Nebenbeschäftigung</t>
  </si>
  <si>
    <t>Zulagen, Renten, Versicherungen</t>
  </si>
  <si>
    <t>Anzahl Kinder</t>
  </si>
  <si>
    <t>Maschinen, Geräte, Einrichtungen</t>
  </si>
  <si>
    <t>Ersatzinvestitionen gem. Mechanisierungsplan</t>
  </si>
  <si>
    <t>Ausgaben für Investitionen gem. Blatt "Projekte"</t>
  </si>
  <si>
    <t>Lege-, Jung- u. Zuchthennen</t>
  </si>
  <si>
    <t>Kiwis, rendement élevé</t>
  </si>
  <si>
    <t>Petits vergers avec diverses variétés</t>
  </si>
  <si>
    <t>Fraises, annuelles</t>
  </si>
  <si>
    <t>Fraises annuelles, rendement élevé</t>
  </si>
  <si>
    <t>C5: Fourrages produits sur l'exploitation hors surface fourragère</t>
  </si>
  <si>
    <t>Kunstwiese       mittelintensiv</t>
  </si>
  <si>
    <t xml:space="preserve">                             intensiv</t>
  </si>
  <si>
    <t>Weide für Schweine</t>
  </si>
  <si>
    <t>Aufstallungssystem 1</t>
  </si>
  <si>
    <t>D_engrf</t>
  </si>
  <si>
    <t>D_MO</t>
  </si>
  <si>
    <t>D_clic</t>
  </si>
  <si>
    <t>Utilizzazione differenziata della superficie inerbita</t>
  </si>
  <si>
    <t>Winterration</t>
  </si>
  <si>
    <t>verbrauch</t>
  </si>
  <si>
    <t>belüftet</t>
  </si>
  <si>
    <t>unbelüftet</t>
  </si>
  <si>
    <t>silage</t>
  </si>
  <si>
    <t>würfel</t>
  </si>
  <si>
    <t>gras</t>
  </si>
  <si>
    <t>schnitzel</t>
  </si>
  <si>
    <t>Bergzone III</t>
  </si>
  <si>
    <t>Bergzone IV</t>
  </si>
  <si>
    <t>Anbaufläche stimmt nicht mit dem Blatt Fläche überein!</t>
  </si>
  <si>
    <r>
      <t>P</t>
    </r>
    <r>
      <rPr>
        <vertAlign val="subscript"/>
        <sz val="8"/>
        <rFont val="Arial"/>
        <family val="2"/>
      </rPr>
      <t>2</t>
    </r>
    <r>
      <rPr>
        <sz val="8"/>
        <rFont val="Arial"/>
        <family val="2"/>
      </rPr>
      <t>O</t>
    </r>
    <r>
      <rPr>
        <vertAlign val="subscript"/>
        <sz val="8"/>
        <rFont val="Arial"/>
        <family val="2"/>
      </rPr>
      <t>2</t>
    </r>
  </si>
  <si>
    <r>
      <t>P</t>
    </r>
    <r>
      <rPr>
        <vertAlign val="subscript"/>
        <sz val="10"/>
        <rFont val="Arial"/>
        <family val="2"/>
      </rPr>
      <t>2</t>
    </r>
    <r>
      <rPr>
        <sz val="10"/>
        <rFont val="Arial"/>
        <family val="2"/>
      </rPr>
      <t>O</t>
    </r>
    <r>
      <rPr>
        <vertAlign val="subscript"/>
        <sz val="10"/>
        <rFont val="Arial"/>
        <family val="2"/>
      </rPr>
      <t>5</t>
    </r>
  </si>
  <si>
    <t>di cui ha senza aratura1)</t>
  </si>
  <si>
    <t>Farro autunnale</t>
  </si>
  <si>
    <t>Beitrag für oAF und Dauerkulturen</t>
  </si>
  <si>
    <t>Ausgaben Arbeiten durch Dritte, Maschinenmiete</t>
  </si>
  <si>
    <t>Dépenses pour travaux de tiers et location de machines</t>
  </si>
  <si>
    <t>Allgemeine Betriebsausgaben</t>
  </si>
  <si>
    <t>Dépenses générales</t>
  </si>
  <si>
    <t>PLANETE</t>
  </si>
  <si>
    <t>Contribution à la biodiversité (qualité 1)</t>
  </si>
  <si>
    <t xml:space="preserve">                           wenig intensiv</t>
  </si>
  <si>
    <t>b</t>
  </si>
  <si>
    <t>Contribution supplémentaire pour surfaces &gt; 35 %</t>
  </si>
  <si>
    <t>Mähdrusch, 2 Futterkonservierungen</t>
  </si>
  <si>
    <t xml:space="preserve"> GVE; Boxenlaufstall (Kühe) oder Spaltenboden-</t>
  </si>
  <si>
    <t>Animaux engraissés par an</t>
  </si>
  <si>
    <t>Durée du cycle</t>
  </si>
  <si>
    <t>Stagione invernale</t>
  </si>
  <si>
    <t>Stagione estiva</t>
  </si>
  <si>
    <t>Aratura</t>
  </si>
  <si>
    <t>VM &gt; 700 kg</t>
  </si>
  <si>
    <t>VM 600 -700 kg</t>
  </si>
  <si>
    <t>VM &lt; 600 kg</t>
  </si>
  <si>
    <t>Automobili</t>
  </si>
  <si>
    <t>Specie e categoria di animali</t>
  </si>
  <si>
    <t>Verkauf Tränkkälber</t>
  </si>
  <si>
    <t>Verkauf Grossviehmast</t>
  </si>
  <si>
    <t>Tiere an Fütterung</t>
  </si>
  <si>
    <t>Korrekturfaktoren</t>
  </si>
  <si>
    <t>Aren</t>
  </si>
  <si>
    <t>Anbaufläche (Aren):</t>
  </si>
  <si>
    <t>installation sanitaires simples</t>
  </si>
  <si>
    <t>Habitant</t>
  </si>
  <si>
    <t>Contribution supplémentaire pour travail ménageant le sol sans herbicide</t>
  </si>
  <si>
    <t xml:space="preserve"> GVE; Einzelraumlaufstall, Tiefstreue ganzflächig</t>
  </si>
  <si>
    <t xml:space="preserve"> GVE; Zweiraumlaufstall  (Tiefstreue und</t>
  </si>
  <si>
    <t>Vendita di paglia</t>
  </si>
  <si>
    <t>Marge brute vaches mères par UGB</t>
  </si>
  <si>
    <t>Vente veaux maigres</t>
  </si>
  <si>
    <t>Vente veaux blancs</t>
  </si>
  <si>
    <t>Evolution des prélèvements dans les 5 ans</t>
  </si>
  <si>
    <t>RGVE</t>
  </si>
  <si>
    <t>Blätter für detaillierte Hofdüngerberechnung (Volumen u. Gehalt) einblenden</t>
  </si>
  <si>
    <t>AGRIDEA décline toute responsabilité quant aux conséquences faisant suite à l’utilisation de cet outil.</t>
  </si>
  <si>
    <t>Plans des volumes 1</t>
  </si>
  <si>
    <t>Lisier de porc, engrais</t>
  </si>
  <si>
    <t>Lisier de porc, élevage</t>
  </si>
  <si>
    <t>Vaches allaitantes</t>
  </si>
  <si>
    <t>Cultures spéciales</t>
  </si>
  <si>
    <t>Autres terres ouvertes</t>
  </si>
  <si>
    <t>Surfaces à litière, tourbières (type 5)</t>
  </si>
  <si>
    <t>Durchschnitt der 6 Jahre</t>
  </si>
  <si>
    <t>Moyenne des 6 ans</t>
  </si>
  <si>
    <t>Evol</t>
  </si>
  <si>
    <t>Entw</t>
  </si>
  <si>
    <t>Bodenhaltung im Mobilstall</t>
  </si>
  <si>
    <t>Elevage au sol, travail manuel élevé</t>
  </si>
  <si>
    <t>Elevage au sol, peu de travail manuel</t>
  </si>
  <si>
    <t>Elevage au sol</t>
  </si>
  <si>
    <t>Les contributions peuvent différer, parce que le canton fixe le niveau.</t>
  </si>
  <si>
    <t>UGB pour bovins et buffles selon classe d'âge 1)</t>
  </si>
  <si>
    <t>Facteur UGB</t>
  </si>
  <si>
    <t>UGB exploitation</t>
  </si>
  <si>
    <t>= massgebendes Einkommen</t>
  </si>
  <si>
    <t>Indications pour le bilan MS des fourrages grossiers</t>
  </si>
  <si>
    <t>Registerliste</t>
  </si>
  <si>
    <t>Menüs</t>
  </si>
  <si>
    <t>Tabe&amp;llenblätter</t>
  </si>
  <si>
    <t>Fe&amp;uilles</t>
  </si>
  <si>
    <t>aus&amp;wählen</t>
  </si>
  <si>
    <t>Ch&amp;oisir</t>
  </si>
  <si>
    <t>&amp;drucken</t>
  </si>
  <si>
    <t>Pagina</t>
  </si>
  <si>
    <t>Budget d'exploitation</t>
  </si>
  <si>
    <t>Entête</t>
  </si>
  <si>
    <t>Fumier de poule (élevage au sol, fosse à excréments)</t>
  </si>
  <si>
    <t>Vous avez saisi, à la page 3, trop de catégories d'animaux avec pâture pour ce tableau! Vérifiez les données à la page 3 Animaux!</t>
  </si>
  <si>
    <t>Contribution d’estivage</t>
  </si>
  <si>
    <t>Hangbeitrag für Rebflächen</t>
  </si>
  <si>
    <t>Contribution pour les surfaces viticoles en pente</t>
  </si>
  <si>
    <t>Ausgaben Gebäude</t>
  </si>
  <si>
    <t>Trockengras</t>
  </si>
  <si>
    <t>Maiswürfel</t>
  </si>
  <si>
    <t>Grassilage</t>
  </si>
  <si>
    <t>Maissilage</t>
  </si>
  <si>
    <t>Maissilage, grün verfüttert</t>
  </si>
  <si>
    <t>et, finalement, pressez encore une fois le bouton recherche d'erreurs!</t>
  </si>
  <si>
    <t>Déduct.</t>
  </si>
  <si>
    <t>BDB</t>
  </si>
  <si>
    <t>CBD</t>
  </si>
  <si>
    <t>Poulains, 0.5 à 3 ans</t>
  </si>
  <si>
    <t>chk_ZvStand</t>
  </si>
  <si>
    <t>lbl_ZvStand</t>
  </si>
  <si>
    <t>cboSprache</t>
  </si>
  <si>
    <t xml:space="preserve">Pensions </t>
  </si>
  <si>
    <t xml:space="preserve"> - alle übrigen Anbauformen</t>
  </si>
  <si>
    <t>Plan de mécanisation 2</t>
  </si>
  <si>
    <t>nicht mechanisiert</t>
  </si>
  <si>
    <t>Daims de tout âge</t>
  </si>
  <si>
    <t>Werte übernehmen</t>
  </si>
  <si>
    <t>Dialog_Blatt</t>
  </si>
  <si>
    <t>SuiBi: Anfall und Grundfutter</t>
  </si>
  <si>
    <t>Tiefstwerte FS</t>
  </si>
  <si>
    <t xml:space="preserve">  plantes ornementales, serres avec fondations permanentes</t>
  </si>
  <si>
    <t>tank de refroidissement</t>
  </si>
  <si>
    <t>Ménage:</t>
  </si>
  <si>
    <t>Nährstoffanfall</t>
  </si>
  <si>
    <t xml:space="preserve"> in kg je Einheit</t>
  </si>
  <si>
    <t>Rend. Cible</t>
  </si>
  <si>
    <t>korr.de N</t>
  </si>
  <si>
    <t>dt TS Feldertrag pro RDGVE</t>
  </si>
  <si>
    <t>modifier valeurs pour porcs et volaille, quand fourrages pauvres en él. nutr.</t>
  </si>
  <si>
    <t>Décompte par partenaire</t>
  </si>
  <si>
    <t>Montant selon du travail</t>
  </si>
  <si>
    <t xml:space="preserve">Consommation de fourrages (selon total ci-dessus) </t>
  </si>
  <si>
    <t xml:space="preserve">Stunden </t>
  </si>
  <si>
    <t>Hectares</t>
  </si>
  <si>
    <t>Ares</t>
  </si>
  <si>
    <t>Kaninchen, Zibben inkl. Jungtiere bis ca. 35-tägig</t>
  </si>
  <si>
    <t>26 abgesetzte Ferkel pro Sau und Jahr</t>
  </si>
  <si>
    <t>Zuchtschweine inkl. Ferkel bis 26 kg LG</t>
  </si>
  <si>
    <t>Truies d'élevage y compris porcelets à 26 kg PV</t>
  </si>
  <si>
    <t>Ferkel, abgesetzt, 8 bis 26 kg LG, 9.61 Umtriebe</t>
  </si>
  <si>
    <t>Junghennen, 2.25 Umtriebe</t>
  </si>
  <si>
    <t>Dindes avancement</t>
  </si>
  <si>
    <t>Dindes finition</t>
  </si>
  <si>
    <t>- Umtriebsweide</t>
  </si>
  <si>
    <t>- pâturages tournants</t>
  </si>
  <si>
    <t>Formulaire suppl. pour facteurs de correction analyse du sol pour cultures maraîchères</t>
  </si>
  <si>
    <t>Parcelles</t>
  </si>
  <si>
    <t>Bandes culturales extensives</t>
  </si>
  <si>
    <t>Arbres fruitiers haute-tige</t>
  </si>
  <si>
    <t>Stufen-Quotient Fläche</t>
  </si>
  <si>
    <t>Tierstufen</t>
  </si>
  <si>
    <t>35 - 50 % déclivité</t>
  </si>
  <si>
    <t xml:space="preserve">Total des fourrages à produire sur l'exploitation  </t>
  </si>
  <si>
    <t>Trocken-</t>
  </si>
  <si>
    <t>Rüben-</t>
  </si>
  <si>
    <t>Gras,</t>
  </si>
  <si>
    <t xml:space="preserve">Gras, </t>
  </si>
  <si>
    <t>Grün-</t>
  </si>
  <si>
    <t>Grundfutter-TS-Bilanz</t>
  </si>
  <si>
    <t>Mist / Jahr</t>
  </si>
  <si>
    <t>Gülle / Jahr</t>
  </si>
  <si>
    <t>Purin / année</t>
  </si>
  <si>
    <t>Fumier / année</t>
  </si>
  <si>
    <t>Mist / Mt.</t>
  </si>
  <si>
    <t xml:space="preserve">Contributions actuelles y-compris contributions </t>
  </si>
  <si>
    <t xml:space="preserve">à la culture des champs (OCCCh), contributions selon l'OQE, contributions d'estivage, contributions selon </t>
  </si>
  <si>
    <t>art. 77a/b Lagr, contributions selon art. 62a Leaux.</t>
  </si>
  <si>
    <t>und Beträge nach Art. 62a GSchG.</t>
  </si>
  <si>
    <t>Kürzung aufgrund der Begrenzung pro SAK (siehe Register "SAK und Begrenzung")</t>
  </si>
  <si>
    <t>35-50%,  tief</t>
  </si>
  <si>
    <t>35-50%, mittel</t>
  </si>
  <si>
    <t>35-50%, hoch</t>
  </si>
  <si>
    <t>Tief</t>
  </si>
  <si>
    <t>Mittel</t>
  </si>
  <si>
    <t>Hoch</t>
  </si>
  <si>
    <t xml:space="preserve">Prestation totale </t>
  </si>
  <si>
    <t xml:space="preserve">Beschreibung </t>
  </si>
  <si>
    <t xml:space="preserve">la pianif. del territorio, i migl. strutturali e le misure sociali d'accompagnamento </t>
  </si>
  <si>
    <t>Exploitation avec label, peu de travail manuel</t>
  </si>
  <si>
    <t>Année de récolte</t>
  </si>
  <si>
    <t>Nbre de places d'engraissement</t>
  </si>
  <si>
    <t>Kommentar</t>
  </si>
  <si>
    <t xml:space="preserve">Total des besoins nets en fourrages  </t>
  </si>
  <si>
    <t>Fumière 1</t>
  </si>
  <si>
    <t>Production de fumier</t>
  </si>
  <si>
    <t>Maschinenraum</t>
  </si>
  <si>
    <t>Stufen-Quotient Tiere</t>
  </si>
  <si>
    <t>Vente vaches</t>
  </si>
  <si>
    <t>Vente vaches (élimination)</t>
  </si>
  <si>
    <t>Rindvieh</t>
  </si>
  <si>
    <t>Pferde</t>
  </si>
  <si>
    <t>Kleinwiederkäuer</t>
  </si>
  <si>
    <t>Contributions à l'efficience des ressources (nationales: CER, Art. 77 à 83 et Annexe 7 OPD)</t>
  </si>
  <si>
    <t>Total Ressourceneffizienzbeiträge (jährlich)</t>
  </si>
  <si>
    <t>Andere Dauerkulturen</t>
  </si>
  <si>
    <t>*****)</t>
  </si>
  <si>
    <t>proprietà</t>
  </si>
  <si>
    <t xml:space="preserve">Costi </t>
  </si>
  <si>
    <t>Carro</t>
  </si>
  <si>
    <t>Aratro</t>
  </si>
  <si>
    <t>Erpice</t>
  </si>
  <si>
    <t>Rullo</t>
  </si>
  <si>
    <t>Seminatrice</t>
  </si>
  <si>
    <t>Sarchiatrice</t>
  </si>
  <si>
    <t>Spandiconcime</t>
  </si>
  <si>
    <t>Spandiletame</t>
  </si>
  <si>
    <t>Falciatrice</t>
  </si>
  <si>
    <t>Spandifieno</t>
  </si>
  <si>
    <t>Andanatore</t>
  </si>
  <si>
    <t>Autocaricatore</t>
  </si>
  <si>
    <t>Motosega</t>
  </si>
  <si>
    <t>(A) Totale macchine/attrezzi</t>
  </si>
  <si>
    <t>Prairie en région de d'estivage</t>
  </si>
  <si>
    <t>Betriebseigener Wald</t>
  </si>
  <si>
    <t>GVE Sömmerung</t>
  </si>
  <si>
    <t>modifier le nombre de vaches laitières</t>
  </si>
  <si>
    <t>nombre de vaches laitières</t>
  </si>
  <si>
    <t xml:space="preserve"> et 3 </t>
  </si>
  <si>
    <t>Berechnung der erfolgswirksamen Kosten</t>
  </si>
  <si>
    <t xml:space="preserve"> + Uebrige Ausgaben</t>
  </si>
  <si>
    <t xml:space="preserve"> + Mietwert Wohnräume</t>
  </si>
  <si>
    <t>animaux 1 à 2 ans</t>
  </si>
  <si>
    <t>animaux &gt; 2 an</t>
  </si>
  <si>
    <t>Cultures maraîchères plein champ</t>
  </si>
  <si>
    <t>Nges-Abzug bei Laufhof- und Weidehaltung:</t>
  </si>
  <si>
    <t xml:space="preserve">Bilan des fourrages pour la production </t>
  </si>
  <si>
    <t>Futterbilanz für die graslandbasierte</t>
  </si>
  <si>
    <t>ce bilan des fourrages dans leurs propres instruments.</t>
  </si>
  <si>
    <t>SL</t>
  </si>
  <si>
    <t>Cornes/écornés</t>
  </si>
  <si>
    <t>Cornes</t>
  </si>
  <si>
    <t>Zurück zum Blatt Tierbestand</t>
  </si>
  <si>
    <t>retour à la feuille "animaux "</t>
  </si>
  <si>
    <t>Ökonomiegebäude, Wohnhaus</t>
  </si>
  <si>
    <t>Nebenaktivitäten, Privat</t>
  </si>
  <si>
    <t>Total Investitionen</t>
  </si>
  <si>
    <t>Desinvestitionen</t>
  </si>
  <si>
    <t>Standard - AK</t>
  </si>
  <si>
    <t>LN ohne Spezialkulturen</t>
  </si>
  <si>
    <t xml:space="preserve"> + Valeur locative du logement</t>
  </si>
  <si>
    <t>dt TS</t>
  </si>
  <si>
    <t>Milchbilanz</t>
  </si>
  <si>
    <t>kg Milch</t>
  </si>
  <si>
    <t>Hofdünger</t>
  </si>
  <si>
    <t>Installation de traite</t>
  </si>
  <si>
    <t>Informations supplémentaires</t>
  </si>
  <si>
    <t>animaux</t>
  </si>
  <si>
    <t>gesamte Fläche</t>
  </si>
  <si>
    <t>Total surface</t>
  </si>
  <si>
    <t>50 places</t>
  </si>
  <si>
    <t>Ø valorisation annuelle de lait par l'exploitation</t>
  </si>
  <si>
    <t>Année de plan. 5</t>
  </si>
  <si>
    <t>Année de plan. 6</t>
  </si>
  <si>
    <t>Année choisie</t>
  </si>
  <si>
    <t>eingegeben werden. Haben Sie das schon gemacht?</t>
  </si>
  <si>
    <t>Tierhaltung (Daten aus Tierbestand A2)</t>
  </si>
  <si>
    <t>Reddito imponibile IFD</t>
  </si>
  <si>
    <t>SAU senza colture speciali</t>
  </si>
  <si>
    <t>Summe der Beiträge</t>
  </si>
  <si>
    <t>Somme contributions</t>
  </si>
  <si>
    <t>Somma dei contributi</t>
  </si>
  <si>
    <t>Surfaces herbagères</t>
  </si>
  <si>
    <t>A3</t>
  </si>
  <si>
    <t>V2</t>
  </si>
  <si>
    <t>A1 + A3</t>
  </si>
  <si>
    <t>V1 + V2</t>
  </si>
  <si>
    <t>Erfüllung des Mindesttierbesatzes für</t>
  </si>
  <si>
    <t>7 Teilflächen</t>
  </si>
  <si>
    <t>8 Teilflächen</t>
  </si>
  <si>
    <t>9 Teilflächen</t>
  </si>
  <si>
    <t>Production de lisier dilué en m³</t>
  </si>
  <si>
    <t>in kg je m³</t>
  </si>
  <si>
    <t>en kg par m³</t>
  </si>
  <si>
    <t>[FehlerBedingung] und [FehlerMeldung] unterscheiden sich in der Zellstruktur</t>
  </si>
  <si>
    <t>Sur cette feuille, il manque [FehlerMeldung]</t>
  </si>
  <si>
    <t>Vorräte</t>
  </si>
  <si>
    <t>Vieh</t>
  </si>
  <si>
    <t>Maschinen u. Geräte</t>
  </si>
  <si>
    <t>Zinssatz</t>
  </si>
  <si>
    <t>Zinsanspruch Eigenkapital je Partner</t>
  </si>
  <si>
    <t>peu intensive</t>
  </si>
  <si>
    <t>intensive</t>
  </si>
  <si>
    <t>mi-intensive</t>
  </si>
  <si>
    <t>extensif</t>
  </si>
  <si>
    <t xml:space="preserve">Prairie naturelle </t>
  </si>
  <si>
    <t>Autres prairies sans fumure</t>
  </si>
  <si>
    <t>Prairie de fauche dans région d'estivage</t>
  </si>
  <si>
    <t>Travail suppl. bilan MOh</t>
  </si>
  <si>
    <t>für beitragsberechtigte Grünfläche</t>
  </si>
  <si>
    <t>Textes</t>
  </si>
  <si>
    <t>Chanvre à fibres</t>
  </si>
  <si>
    <t>Entschädigung Landgut u. Produktionsrechte</t>
  </si>
  <si>
    <t>Total je Partner</t>
  </si>
  <si>
    <t>Reine Leguminosen-Zwischenkulturen</t>
  </si>
  <si>
    <t>Selbstbegrünung</t>
  </si>
  <si>
    <t>Sonnenblumenstoppeln</t>
  </si>
  <si>
    <t>Sojastoppeln</t>
  </si>
  <si>
    <t xml:space="preserve">Les surfaces des cultures et l'effectif des animaux doivent être saisis à la page 2 </t>
  </si>
  <si>
    <t>Biologischer Landbau</t>
  </si>
  <si>
    <t>mit 3 Betrieben</t>
  </si>
  <si>
    <t>mit 4 Betrieben</t>
  </si>
  <si>
    <t>Projets</t>
  </si>
  <si>
    <t>Privé</t>
  </si>
  <si>
    <t>Invest</t>
  </si>
  <si>
    <t>Rentes et assurances</t>
  </si>
  <si>
    <t>Total UC</t>
  </si>
  <si>
    <t>UGB max. par ha  herbage</t>
  </si>
  <si>
    <t xml:space="preserve">Arbres fruitiers </t>
  </si>
  <si>
    <t>haute-tige</t>
  </si>
  <si>
    <t>peu extensives</t>
  </si>
  <si>
    <t>Bitte die Datei, von der die Daten übernommen werden sollen, zuerst wählen!</t>
  </si>
  <si>
    <t xml:space="preserve">e 3 </t>
  </si>
  <si>
    <t>Produits liquides</t>
  </si>
  <si>
    <t>mit den Angaben in der Suisse-Bilanz überein!</t>
  </si>
  <si>
    <t>Pertes et marge d'erreur ne correspondes</t>
  </si>
  <si>
    <t>Abrechnung der Gemeinschaft</t>
  </si>
  <si>
    <t>Total Zufuhr    (davon</t>
  </si>
  <si>
    <t>Mastkälber (50-200 kg) pro Jahr</t>
  </si>
  <si>
    <t>de fourrages</t>
  </si>
  <si>
    <t>Plantes à fibres, sans chanvre et lin</t>
  </si>
  <si>
    <t xml:space="preserve">Plantes à fibres, sans lin et chanvre </t>
  </si>
  <si>
    <t>Bovins, équidés, bisons, chèvres laitières et brebis laitières</t>
  </si>
  <si>
    <t>Milchmenge in kg</t>
  </si>
  <si>
    <t>Colza, soja, tournesol et lin</t>
  </si>
  <si>
    <t>Faserpflanzen ohne Hanf und Lein</t>
  </si>
  <si>
    <t>Zur Erinnerung: Eintretenskriterien und zu Beiträgen berechtigende Fläche</t>
  </si>
  <si>
    <t>(B3+C4-C2+C5-A1+A2+A3)</t>
  </si>
  <si>
    <t>Fläche/
Einheit</t>
  </si>
  <si>
    <t>14]</t>
  </si>
  <si>
    <t>Vaches mères/Taureaux &gt; 2 ans</t>
  </si>
  <si>
    <t>Anteil Eigenremontierung</t>
  </si>
  <si>
    <t>Part propre remonte</t>
  </si>
  <si>
    <t>Achat fourrages conv. %</t>
  </si>
  <si>
    <t>Achat fourrages bio %</t>
  </si>
  <si>
    <t>Achat fourrages total %</t>
  </si>
  <si>
    <t>Contributions pour des cultures particulières (selon Ord. sur les contrib. à des cultures particulières)</t>
  </si>
  <si>
    <t xml:space="preserve"> 10 Kühe, Kannentransport</t>
  </si>
  <si>
    <t>&lt; 18%, 5 coupes de conserv., moyen</t>
  </si>
  <si>
    <t>&lt; 18%, 5 coupes de conserv., haut</t>
  </si>
  <si>
    <t>Dialog_Obst</t>
  </si>
  <si>
    <t>Dialog_Beeren</t>
  </si>
  <si>
    <t>Dialog_baies</t>
  </si>
  <si>
    <t>Stallreinigung Sommer</t>
  </si>
  <si>
    <t>Contrib. à la culture des champs</t>
  </si>
  <si>
    <t>Contrib. pour la garde d'animaux consommant des fourrages grossiers</t>
  </si>
  <si>
    <t xml:space="preserve">Contr. pour la </t>
  </si>
  <si>
    <t>garde d'animaux dans les conditions difficiles</t>
  </si>
  <si>
    <t>terrasses</t>
  </si>
  <si>
    <t>Surface fertilisable (Sfert)</t>
  </si>
  <si>
    <t>choisir les cultures fruitières</t>
  </si>
  <si>
    <t>kg par unité</t>
  </si>
  <si>
    <t>Osservazioni</t>
  </si>
  <si>
    <t>Data</t>
  </si>
  <si>
    <t>Firma</t>
  </si>
  <si>
    <t>Coltura principale</t>
  </si>
  <si>
    <t>Prod. principale</t>
  </si>
  <si>
    <t>Prod. secondario</t>
  </si>
  <si>
    <t>SS</t>
  </si>
  <si>
    <t>Sup.</t>
  </si>
  <si>
    <t>mittelintensiv</t>
  </si>
  <si>
    <t>Evolution</t>
  </si>
  <si>
    <t>Deckungs- beitrag/ Ausgaben</t>
  </si>
  <si>
    <t>Marge brute/ Dépenses</t>
  </si>
  <si>
    <t>Saisie de la consommation privée soit en détail ou par UC !</t>
  </si>
  <si>
    <t xml:space="preserve">TS-Verbrauch in dt </t>
  </si>
  <si>
    <t>Zusatzformular "Obst und Beeren"</t>
  </si>
  <si>
    <t>Netto-Nährstoffbedarf Obst gemäss Wegleitung Suisse-Bilanz</t>
  </si>
  <si>
    <t>Beispiel: Kiwi</t>
  </si>
  <si>
    <t>Grassilage Sommer</t>
  </si>
  <si>
    <t>Maissilage Winter</t>
  </si>
  <si>
    <t>Maissilage Sommer</t>
  </si>
  <si>
    <t>Stiere, 1 bis 2-jährig</t>
  </si>
  <si>
    <t>Stiere, über 2-jährig</t>
  </si>
  <si>
    <t xml:space="preserve">Diese Funktion setzt Zeichnungsobjekte auf </t>
  </si>
  <si>
    <t>Deckungsbeiträge je Einheit</t>
  </si>
  <si>
    <t>Einheit / Betriebszweig</t>
  </si>
  <si>
    <t>1. Utilizzo</t>
  </si>
  <si>
    <t>foraggiamento</t>
  </si>
  <si>
    <t>Consumo</t>
  </si>
  <si>
    <t>Inverno</t>
  </si>
  <si>
    <t>Estate</t>
  </si>
  <si>
    <t>Base de données détention d'animaux</t>
  </si>
  <si>
    <t>Base de données indice de protection du sol (A5)</t>
  </si>
  <si>
    <t>Ø Grundfutterverzehr pro Jahrestag</t>
  </si>
  <si>
    <t>Ø consommation de fourrage grossier par jour de l'année</t>
  </si>
  <si>
    <t>chk_RW_108</t>
  </si>
  <si>
    <t>Info: In NST umgerechnete Abwesenheiten der RGVE aus Blatt "Tierb"</t>
  </si>
  <si>
    <t>[FehlerBedingung] et [FehlerMarkieren] se différencient dans leur structure de cellule</t>
  </si>
  <si>
    <t>S'il vous plaît, corriger les erreurs annoncées dans les cellules marquées</t>
  </si>
  <si>
    <t>faktoren</t>
  </si>
  <si>
    <t>correction</t>
  </si>
  <si>
    <t>Coefficient</t>
  </si>
  <si>
    <t>Korrektur-</t>
  </si>
  <si>
    <t>Maïs grain</t>
  </si>
  <si>
    <t>Gesamtanfall im Winter unverdünnt</t>
  </si>
  <si>
    <t>Anfall pro Einheit</t>
  </si>
  <si>
    <t>Art des Abwassers</t>
  </si>
  <si>
    <t>Stachelbeeren, hoher Ertrag</t>
  </si>
  <si>
    <t>Bodenhaltung mit Kaltscharrraum, viel Handarbeit</t>
  </si>
  <si>
    <t>Beitrag für die nachhaltige Nutzung der Ressourcen Art. 77a und 77b LwG</t>
  </si>
  <si>
    <t>Contribution pour l'utilisation durable des ressources art. 77a et 77b Lagr</t>
  </si>
  <si>
    <t>35-50%, 3 coupes de conserv., bas</t>
  </si>
  <si>
    <t>35-50%, 3 coupes de conserv., moyen</t>
  </si>
  <si>
    <t>35-50%, 3 coupes de conserv., haut</t>
  </si>
  <si>
    <t>Signature:</t>
  </si>
  <si>
    <t>Rothirsche inkl. Jungtiere, 1 Einheit=2 Tiere</t>
  </si>
  <si>
    <t>Porcs à l'engrais/renouvellement, porcelets sevrés</t>
  </si>
  <si>
    <t>Foin, regain</t>
  </si>
  <si>
    <t>Veaux blancs (50 - 200 kg)</t>
  </si>
  <si>
    <t>Rebfläche in Steil- und Terrassenlagen</t>
  </si>
  <si>
    <t>Salades pommées / Eisberg / Lollo</t>
  </si>
  <si>
    <t>Ciboulette (culture)</t>
  </si>
  <si>
    <t>Céleri à soupe 40 pl/m2</t>
  </si>
  <si>
    <t>Epinards</t>
  </si>
  <si>
    <t>Tomates 1200 kg de rendement</t>
  </si>
  <si>
    <t>Tomates 1800 kg de rendement</t>
  </si>
  <si>
    <t>Zunahme Vorräte, Tiervermögen</t>
  </si>
  <si>
    <t>Uferwiesen entlang von Fliessgewässern</t>
  </si>
  <si>
    <t>Intérêts dès:</t>
  </si>
  <si>
    <t>Bodenhaltung mit Kaltscharrraum, wenig Handarbeit</t>
  </si>
  <si>
    <t>Volierenhaltung mit Kaltscharrraum, wenig Handarbeit</t>
  </si>
  <si>
    <t>Strohbed.</t>
  </si>
  <si>
    <t>Gülleanteil an Nährstoffen</t>
  </si>
  <si>
    <t>Production en éléments nutritifs</t>
  </si>
  <si>
    <t>Deckung der zusätzlichen Zins- und Tilgungsbelastung</t>
  </si>
  <si>
    <t>Zwetschgen, hoher Ertrag</t>
  </si>
  <si>
    <t>Aprikosen</t>
  </si>
  <si>
    <t>Aprikosen, hoher Ertrag</t>
  </si>
  <si>
    <t>Pfirsich</t>
  </si>
  <si>
    <t>2. Driftreduzierende Spritzgeräte in Dauerkulturen:</t>
  </si>
  <si>
    <t>2. Pulvérisateurs anti-dérive en cultures pérennes:</t>
  </si>
  <si>
    <t xml:space="preserve">pro Tunnelrecycling-Sprühgerät  </t>
  </si>
  <si>
    <t>andere Kühe (z.B. Mutterkühe)</t>
  </si>
  <si>
    <t>Autres vaches (par exemple vaches allaitantes)</t>
  </si>
  <si>
    <t>35-50%, 2 coupes de conserv., bas</t>
  </si>
  <si>
    <t>Surfaces improductives</t>
  </si>
  <si>
    <t>Stroh</t>
  </si>
  <si>
    <t>Effectif</t>
  </si>
  <si>
    <t>Surface de compensation écologique</t>
  </si>
  <si>
    <t>% de la SAU</t>
  </si>
  <si>
    <t>Bilan de fumure</t>
  </si>
  <si>
    <t>18-35%, 2 Kons.-schnitte, mittel</t>
  </si>
  <si>
    <t>18-35%, 2 Kons.-schnitte, hoch</t>
  </si>
  <si>
    <t>18-35%, 1 Kons.-schnitt, tief</t>
  </si>
  <si>
    <t>18-35%, 1 Kons.-schnitt, mittel</t>
  </si>
  <si>
    <t>Coefficient d'ajustement (moyens disponibles totaux/ besoins totaux)</t>
  </si>
  <si>
    <t>Daten in Erfolgs- und Mittelflussrechnung übertragen</t>
  </si>
  <si>
    <t>RAUS</t>
  </si>
  <si>
    <t>D_baies</t>
  </si>
  <si>
    <t>D_IPS</t>
  </si>
  <si>
    <t>Futter- und Strohbilanz</t>
  </si>
  <si>
    <t>Strohüberschuss (+),-bedarf(-)</t>
  </si>
  <si>
    <t>Futterzukauf %</t>
  </si>
  <si>
    <t>konv.</t>
  </si>
  <si>
    <t>bio</t>
  </si>
  <si>
    <t>Raufutterverzehrer</t>
  </si>
  <si>
    <t>Milchkühe und Aufzucht</t>
  </si>
  <si>
    <t>Mutterkühe und Mastvieh</t>
  </si>
  <si>
    <t>Brüsselerproduktion in Gebäuden</t>
  </si>
  <si>
    <t>Rohleistung</t>
  </si>
  <si>
    <t>Biodiversitätsbeitrag (Qualitätstufe 1)</t>
  </si>
  <si>
    <t>N-Verfügbarkeit</t>
  </si>
  <si>
    <t>Diminution</t>
  </si>
  <si>
    <t>Faktor (Total verfügbare Mittel/ Total Bedarf)</t>
  </si>
  <si>
    <t>100 PGO</t>
  </si>
  <si>
    <t>Volume in l</t>
  </si>
  <si>
    <t>Abitanti</t>
  </si>
  <si>
    <t>Posti a sedere</t>
  </si>
  <si>
    <t>Letti</t>
  </si>
  <si>
    <t>inkl. 0.01 ha pro Baum der entsprechenden Qualitätsstufe; °Rebflächen mit natürlicher Artenvielfalt.</t>
  </si>
  <si>
    <t>ohne Artenreiche Grün- und Streuflächen im Sömmerungsgebiet</t>
  </si>
  <si>
    <t>Eingegebene Flächen überprüfen!</t>
  </si>
  <si>
    <t>Den vorgeschlagenen Wert (Basisfläche **** berechnet mit Angaben aus dem Register Fläche) überprüfen und ggf. anpassen.</t>
  </si>
  <si>
    <t xml:space="preserve">kg par année </t>
  </si>
  <si>
    <t>Contributi per il benessere degli animali</t>
  </si>
  <si>
    <t>Text 82</t>
  </si>
  <si>
    <t>Text 83</t>
  </si>
  <si>
    <t>Text 84</t>
  </si>
  <si>
    <t>Text 85</t>
  </si>
  <si>
    <t>Text 86</t>
  </si>
  <si>
    <t>Text 87</t>
  </si>
  <si>
    <t>Text 89</t>
  </si>
  <si>
    <t>Pachtzins pro ha</t>
  </si>
  <si>
    <t>Dritte</t>
  </si>
  <si>
    <t>Exploitation différenciée des surfaces herbagères</t>
  </si>
  <si>
    <t>Amortissement</t>
  </si>
  <si>
    <t>Tiergrenze</t>
  </si>
  <si>
    <t>avec 3 exploitations</t>
  </si>
  <si>
    <t>saisir l'effectif bovins ici, pas de bilan jeunes bovins</t>
  </si>
  <si>
    <t>Latte in polvere</t>
  </si>
  <si>
    <t>keine Reduktion</t>
  </si>
  <si>
    <t>Flächenbeiträge des Referenzjahres*</t>
  </si>
  <si>
    <t>Laufstall, Fütterung mit Futtermischwagen</t>
  </si>
  <si>
    <t>Milchziegen</t>
  </si>
  <si>
    <t>Milchschafe</t>
  </si>
  <si>
    <t>Brebis laitières</t>
  </si>
  <si>
    <t>Chèvres laitières</t>
  </si>
  <si>
    <t>35-50%, 1 Kons.-schnitt, hoch</t>
  </si>
  <si>
    <t>Sch-</t>
  </si>
  <si>
    <t>Gülle-</t>
  </si>
  <si>
    <t>Mist-</t>
  </si>
  <si>
    <t>Animaux de l'espèce bovine sauf veaux, chèvres et lapins</t>
  </si>
  <si>
    <t>Porcs sauf porcelets</t>
  </si>
  <si>
    <t>Grandeur de la parcelle des grandes cultures</t>
  </si>
  <si>
    <t>Achats privés</t>
  </si>
  <si>
    <t>Achats d'entretien</t>
  </si>
  <si>
    <t>Concentré autres animaux</t>
  </si>
  <si>
    <t>Vétérinaire, médicaments</t>
  </si>
  <si>
    <t>Total des Ausnutzungsgrad darf 10% nicht unterschreiten</t>
  </si>
  <si>
    <r>
      <t>K</t>
    </r>
    <r>
      <rPr>
        <sz val="6"/>
        <rFont val="Arial"/>
        <family val="2"/>
      </rPr>
      <t>2</t>
    </r>
    <r>
      <rPr>
        <sz val="9"/>
        <rFont val="Arial"/>
        <family val="2"/>
      </rPr>
      <t>O</t>
    </r>
  </si>
  <si>
    <r>
      <t>P</t>
    </r>
    <r>
      <rPr>
        <sz val="6"/>
        <rFont val="Arial"/>
        <family val="2"/>
      </rPr>
      <t>2</t>
    </r>
    <r>
      <rPr>
        <sz val="9"/>
        <rFont val="Arial"/>
        <family val="2"/>
      </rPr>
      <t>O</t>
    </r>
    <r>
      <rPr>
        <sz val="6"/>
        <rFont val="Arial"/>
        <family val="2"/>
      </rPr>
      <t>5</t>
    </r>
  </si>
  <si>
    <t>Zu- und Wegfuhr von Grundfutter und Grundfutterproduktion ausserhalb der Futterfläche (FF)</t>
  </si>
  <si>
    <t>Legende</t>
  </si>
  <si>
    <t>Wegfuhr</t>
  </si>
  <si>
    <t>Zufuhr</t>
  </si>
  <si>
    <t>Vous avez saisi trop d'espèces d'animaux pour la fumière no</t>
  </si>
  <si>
    <t xml:space="preserve">                               Paidir</t>
  </si>
  <si>
    <t>Flächengrenze</t>
  </si>
  <si>
    <t>Ndisp (Gr.c)</t>
  </si>
  <si>
    <t>Fosse à purin 1</t>
  </si>
  <si>
    <t>Places</t>
  </si>
  <si>
    <t>Total des paiements directs généraux de l'année de référence*</t>
  </si>
  <si>
    <t>* Jahr mit den höchsten Direktzahlungen im Zeitraum 2011 bis 2013</t>
  </si>
  <si>
    <t>Légumes plein champs, fleurs à couper, herbes</t>
  </si>
  <si>
    <t>Concetti ripetuti</t>
  </si>
  <si>
    <t>Preventivo aziendale</t>
  </si>
  <si>
    <t>Intestazione</t>
  </si>
  <si>
    <t>Riassunto dei dati aziendali</t>
  </si>
  <si>
    <t>Altitudine</t>
  </si>
  <si>
    <t>Zona di produzione</t>
  </si>
  <si>
    <t>Surface cultivée (ares):</t>
  </si>
  <si>
    <t>Besoins net  des cultures maraîchères en éléments fertilisants selon le manuel</t>
  </si>
  <si>
    <t>Achat nécessaire de paille</t>
  </si>
  <si>
    <t>Mistanfall (t)</t>
  </si>
  <si>
    <t>Production de fumier (t)</t>
  </si>
  <si>
    <t>Razione invernale</t>
  </si>
  <si>
    <t>C1: Total Wegfuhr Wiesen und Weidefutter</t>
  </si>
  <si>
    <t xml:space="preserve">Achat de paille pour l'affouragement </t>
  </si>
  <si>
    <t>Autos</t>
  </si>
  <si>
    <t>Total Ressourceneffizienzbeiträge regional</t>
  </si>
  <si>
    <t>(120*0.1+245*0.3)/365</t>
  </si>
  <si>
    <t>Voraussetzung: überbetriebliches Projekt. Nur jährlich wiederkehrende Beiträge aufführen!</t>
  </si>
  <si>
    <t>Condition: projet collectif. Seulement mentionner les contribution annuel !</t>
  </si>
  <si>
    <t>Total Landschaftsqualitätsbeitrag, jährlich</t>
  </si>
  <si>
    <t>Total contribution à la qualité du paysage, annuel</t>
  </si>
  <si>
    <t>Zurück</t>
  </si>
  <si>
    <t>retour</t>
  </si>
  <si>
    <t>Butt Ausfüllen</t>
  </si>
  <si>
    <t>Butt Ak</t>
  </si>
  <si>
    <t>Butt GfK</t>
  </si>
  <si>
    <t>Gemüsekulturen (inkl. 1-jährige Erdbeeren &amp; Schnittblumen)</t>
  </si>
  <si>
    <t>Verlangter Bodenschutzindex für Ihren Betrieb</t>
  </si>
  <si>
    <t>Diese Tiere werden auf folgenden Aufstallungssystemen</t>
  </si>
  <si>
    <t>Basisbeitrag total</t>
  </si>
  <si>
    <t>Beitrag total</t>
  </si>
  <si>
    <t>keine Korrektur</t>
  </si>
  <si>
    <t>MJ / kg</t>
  </si>
  <si>
    <t>g / kg</t>
  </si>
  <si>
    <t>PartnerD</t>
  </si>
  <si>
    <t>D_Fläche</t>
  </si>
  <si>
    <t>D_Tierb</t>
  </si>
  <si>
    <t>D_Gemüse1</t>
  </si>
  <si>
    <t>D_Gemüse2</t>
  </si>
  <si>
    <t>D_ObstBeeren</t>
  </si>
  <si>
    <t>D_Bsi</t>
  </si>
  <si>
    <t>D_Hd</t>
  </si>
  <si>
    <t>D_Akraft</t>
  </si>
  <si>
    <t>Line 24</t>
  </si>
  <si>
    <t>Line 25</t>
  </si>
  <si>
    <t>Line 27</t>
  </si>
  <si>
    <t>Line 28</t>
  </si>
  <si>
    <t>Line 29</t>
  </si>
  <si>
    <t>Line 30</t>
  </si>
  <si>
    <t>Butt Milchleistung</t>
  </si>
  <si>
    <t>terres assolées</t>
  </si>
  <si>
    <t xml:space="preserve">Bandes </t>
  </si>
  <si>
    <t>culturales extensives</t>
  </si>
  <si>
    <t>extensive de céréales et colza</t>
  </si>
  <si>
    <t>Abnahme Vorräte, Tiervermögen</t>
  </si>
  <si>
    <t>Rindviehmast, intensive Ausmast</t>
  </si>
  <si>
    <t>USM 2013</t>
  </si>
  <si>
    <t>Hier muss eine Güllegrube angegeben werden!</t>
  </si>
  <si>
    <t>Hier muss ein Mistplatz angegeben werden!</t>
  </si>
  <si>
    <t>Tiers</t>
  </si>
  <si>
    <t>Betteraves fourragères</t>
  </si>
  <si>
    <t xml:space="preserve">CCM, maïs grain humide  </t>
  </si>
  <si>
    <t>Méc2</t>
  </si>
  <si>
    <t>Volume1</t>
  </si>
  <si>
    <t>Volume2</t>
  </si>
  <si>
    <t>MB</t>
  </si>
  <si>
    <t>CFgr</t>
  </si>
  <si>
    <t xml:space="preserve">    - Estivage: Concernant le nombre d’animaux, il s’agit de saisir particulièrement les </t>
  </si>
  <si>
    <t>bandes culturales extensives</t>
  </si>
  <si>
    <t>Massnahme:</t>
  </si>
  <si>
    <t>Mesure:</t>
  </si>
  <si>
    <t>10 bêtes</t>
  </si>
  <si>
    <t>Volumen in Liter</t>
  </si>
  <si>
    <t>âgés jusqu'à 160 jours</t>
  </si>
  <si>
    <t>âgés &gt; 160 - 365 jours</t>
  </si>
  <si>
    <t>REB</t>
  </si>
  <si>
    <t>Le contingent laitier doit contenir un nombre (sans unité)</t>
  </si>
  <si>
    <t>Giorni</t>
  </si>
  <si>
    <t>al gg</t>
  </si>
  <si>
    <t xml:space="preserve">Ore </t>
  </si>
  <si>
    <t>RotColt</t>
  </si>
  <si>
    <t>Latte</t>
  </si>
  <si>
    <t>MdO</t>
  </si>
  <si>
    <t>Mec1</t>
  </si>
  <si>
    <t>Mec2</t>
  </si>
  <si>
    <t>UL</t>
  </si>
  <si>
    <t>ULVaMa</t>
  </si>
  <si>
    <t>RID</t>
  </si>
  <si>
    <t>Privato</t>
  </si>
  <si>
    <t>Base de données production d'engrais de ferme</t>
  </si>
  <si>
    <t>Surface (ha)</t>
  </si>
  <si>
    <t>Semences</t>
  </si>
  <si>
    <t>Engrais</t>
  </si>
  <si>
    <t xml:space="preserve"> pour la surface herbagère</t>
  </si>
  <si>
    <t>Brachen, Saum auf Ackerfläche, Maulbeerbäume, Streuefläche, Hecken, Feld- und Ufergehölze.</t>
  </si>
  <si>
    <t>Private Ausgaben</t>
  </si>
  <si>
    <t>Verpflegungsausgaben</t>
  </si>
  <si>
    <t>35-50%, 2 Kons.-schnitte, tief</t>
  </si>
  <si>
    <t>auf dem Ganzjahresbetrieb</t>
  </si>
  <si>
    <t>Sous-total contributions au paysage</t>
  </si>
  <si>
    <t>cultivé exploitation à l'année</t>
  </si>
  <si>
    <t>UC x</t>
  </si>
  <si>
    <t>Sapin de Noël</t>
  </si>
  <si>
    <t>Valeurs spécifiques</t>
  </si>
  <si>
    <t xml:space="preserve"> = Mittelfluss Landwirtschaft vor Zinsen</t>
  </si>
  <si>
    <t>Total Desinvestitionen</t>
  </si>
  <si>
    <t>Anhang 3: Schulden</t>
  </si>
  <si>
    <t>Kreditoren, TP</t>
  </si>
  <si>
    <t>Bestand per 1.1.</t>
  </si>
  <si>
    <t>Zunahme</t>
  </si>
  <si>
    <t>Abnahme</t>
  </si>
  <si>
    <t>Neuaufnahme oder Erhöhung:</t>
  </si>
  <si>
    <t>Tilgung ab:</t>
  </si>
  <si>
    <t>% / g RP</t>
  </si>
  <si>
    <t>% / g P</t>
  </si>
  <si>
    <t>séchée</t>
  </si>
  <si>
    <t xml:space="preserve">pulpe de </t>
  </si>
  <si>
    <t>betterave</t>
  </si>
  <si>
    <t>1, 2</t>
  </si>
  <si>
    <t>p.d.t.</t>
  </si>
  <si>
    <t>bett. four.</t>
  </si>
  <si>
    <t>différence</t>
  </si>
  <si>
    <t>davon Betriebs-</t>
  </si>
  <si>
    <t xml:space="preserve">          und Kotgang</t>
  </si>
  <si>
    <t xml:space="preserve">         de mise bas et aire de déjection</t>
  </si>
  <si>
    <t>Somme</t>
  </si>
  <si>
    <t>Öl-, Faserhanf</t>
  </si>
  <si>
    <t>Anzahl Familien</t>
  </si>
  <si>
    <t xml:space="preserve">      production) doivent être respectées</t>
  </si>
  <si>
    <t>seul le fichier, dont on veut reprendre les données doit être ouvert.</t>
  </si>
  <si>
    <t>Der Übertrag wird mit Ihrer Feldbuch-Version nicht mehr unterstützt! Aktualisieren Sie Feldbuch! Auskunft erhalten Sie bei der Agridea.</t>
  </si>
  <si>
    <t>La reprise des données n'est plus possible avec cette version de Feldbuch. Actualisez Feldbuch (renseignement chez Agridea)!</t>
  </si>
  <si>
    <t>Basismenge</t>
  </si>
  <si>
    <t>Zusatzmenge 1</t>
  </si>
  <si>
    <t>Zusatzmenge 2</t>
  </si>
  <si>
    <t xml:space="preserve">fertiggestellt am </t>
  </si>
  <si>
    <t>Objekte &amp;reparieren</t>
  </si>
  <si>
    <t>StF/StL *</t>
  </si>
  <si>
    <t>con/senza corna</t>
  </si>
  <si>
    <t>Fabbisogno</t>
  </si>
  <si>
    <t>*) StF = Stab. fissa; StL = Stab. libera</t>
  </si>
  <si>
    <t>Tiere</t>
  </si>
  <si>
    <t>Anzahl Einheiten</t>
  </si>
  <si>
    <t>Desinvestitionen gemäss Blatt "Projekte"</t>
  </si>
  <si>
    <t>Désinvestissements</t>
  </si>
  <si>
    <t>Déscription</t>
  </si>
  <si>
    <t>SuiBi: légumes de plein champ</t>
  </si>
  <si>
    <t>* indique par combien le dernière cash-flow devrait être multiplié pour qu'il n'y ait plus de dettes</t>
  </si>
  <si>
    <t>Commentaire:</t>
  </si>
  <si>
    <t>italiano</t>
  </si>
  <si>
    <t>Blattnamen</t>
  </si>
  <si>
    <t xml:space="preserve">Abrechnung für </t>
  </si>
  <si>
    <t>Obst und Beeren</t>
  </si>
  <si>
    <t>en propriété</t>
  </si>
  <si>
    <t xml:space="preserve"> Maximum 4 épand. par an donnent droit à la contr. équipés de socs; enfouisseur de lisier;</t>
  </si>
  <si>
    <t xml:space="preserve"> injection profonde de lisier.</t>
  </si>
  <si>
    <t>18-35%, mittel</t>
  </si>
  <si>
    <t>18-35%, hoch</t>
  </si>
  <si>
    <t>400 Tiere</t>
  </si>
  <si>
    <t>pro Mt.</t>
  </si>
  <si>
    <t>Tierpflege</t>
  </si>
  <si>
    <t>*****</t>
  </si>
  <si>
    <t>Die Beiträge für die Qualitätsstufe III treten 2016 aufgrund der administrativen Vereinfachung nicht in Kraft.</t>
  </si>
  <si>
    <t xml:space="preserve">Aufbereitung, Lagerung und Verkauf </t>
  </si>
  <si>
    <t>selbstprodroduzierter landwirtschaftlicher Erzeugnisse</t>
  </si>
  <si>
    <t>Concimare, pulire, erpice 1 x all'anno</t>
  </si>
  <si>
    <t xml:space="preserve"> Les contributions pour le niveau de qualité 3 n'entrent pas en vigueur en 2016 à cause de la simplification des tâches administratives.</t>
  </si>
  <si>
    <t xml:space="preserve">          uniquement)</t>
  </si>
  <si>
    <t>Pachtzinsen, Personalausgaben</t>
  </si>
  <si>
    <t>Schuldzinsen</t>
  </si>
  <si>
    <t xml:space="preserve">    - Flächen und Erträge erfassen (Tabellenblatt Fläche)</t>
  </si>
  <si>
    <t>Petersilie</t>
  </si>
  <si>
    <t>Radies 10 Bund/m2</t>
  </si>
  <si>
    <t>Randen</t>
  </si>
  <si>
    <t>ration d'hiver</t>
  </si>
  <si>
    <t>Zu Sommerration</t>
  </si>
  <si>
    <t>Gemeinschaften</t>
  </si>
  <si>
    <t>10 Plätze</t>
  </si>
  <si>
    <t>20 Plätze</t>
  </si>
  <si>
    <t>40 Plätze</t>
  </si>
  <si>
    <t>Stallhaltung, Eimertränke</t>
  </si>
  <si>
    <t>C4: Total Zufuhr übrige Grundfutter</t>
  </si>
  <si>
    <t xml:space="preserve">   - Les dates apparaissent automatiquement.</t>
  </si>
  <si>
    <t xml:space="preserve">Les cultures principales et secondaires, ainsi que leur rendement doivent être saisis à la page 2 </t>
  </si>
  <si>
    <t>. Y avez-vous déjà saisi ces données?</t>
  </si>
  <si>
    <t>Période de calcul:</t>
  </si>
  <si>
    <t>Four.</t>
  </si>
  <si>
    <t>pauvre</t>
  </si>
  <si>
    <t>anim.</t>
  </si>
  <si>
    <t>Vous avez saisi trop d'espèces d'animaux pour la fosse à purin no</t>
  </si>
  <si>
    <t>Kategorien ab 2014</t>
  </si>
  <si>
    <t>Catégories dès 2014</t>
  </si>
  <si>
    <t>Rinder 160 bis 365 Tage alt</t>
  </si>
  <si>
    <t>Bovins de plus de 160 à 365 jours</t>
  </si>
  <si>
    <t>Prairies peu intensives (type 4): dont SPB</t>
  </si>
  <si>
    <t>Steillagenbeitrag</t>
  </si>
  <si>
    <t xml:space="preserve">  [Für eine detaillierte Erfassung separates Agridea-Formular benützen!]</t>
  </si>
  <si>
    <t>Resultat Ihres Betriebes</t>
  </si>
  <si>
    <t>Blé de printemps</t>
  </si>
  <si>
    <t>Einzelbetrieblicher Basiswert</t>
  </si>
  <si>
    <t>hiver</t>
  </si>
  <si>
    <t>Zu Winterration</t>
  </si>
  <si>
    <t>foin</t>
  </si>
  <si>
    <t>Déduction du revenu pour les mariés</t>
  </si>
  <si>
    <t>Déduction de la fortune pour les mariés</t>
  </si>
  <si>
    <t>lastung</t>
  </si>
  <si>
    <t>Formulaire A: Consommation de fourrages et production d'éléments nutritifs</t>
  </si>
  <si>
    <t>Rüben Herbst-, Mai-</t>
  </si>
  <si>
    <t xml:space="preserve">auf Originalwerte zurücksetzen </t>
  </si>
  <si>
    <t>Nges x 12]</t>
  </si>
  <si>
    <t>Wegfuhr von Hofdüngern gemäss HODUFLU:</t>
  </si>
  <si>
    <t>Evacuation par fumier flottant</t>
  </si>
  <si>
    <t>heure</t>
  </si>
  <si>
    <t>à lisier</t>
  </si>
  <si>
    <t>Epinard non hivernant une coupe</t>
  </si>
  <si>
    <t>Epinard non hivernant deux coupes</t>
  </si>
  <si>
    <t>Obstanlagen</t>
  </si>
  <si>
    <t>Ackerschonstreifen</t>
  </si>
  <si>
    <t>Art</t>
  </si>
  <si>
    <t>Dialog_Imp</t>
  </si>
  <si>
    <t>Dialogue_Imp</t>
  </si>
  <si>
    <t xml:space="preserve">Kulturflächen und Tierbestand müssen auf Seite 2 </t>
  </si>
  <si>
    <t xml:space="preserve"> und 3 </t>
  </si>
  <si>
    <t>Hinweis zur Erfolgsrechnung</t>
  </si>
  <si>
    <t xml:space="preserve">Indications pour </t>
  </si>
  <si>
    <t>Texte im Code</t>
  </si>
  <si>
    <t>kg Nstock</t>
  </si>
  <si>
    <t>Paille de tabac</t>
  </si>
  <si>
    <t>Seigle fauché en vert</t>
  </si>
  <si>
    <t>Seigle fauché en vert, sans labour</t>
  </si>
  <si>
    <t>18-35%, 4 coupes de conserv., bas</t>
  </si>
  <si>
    <t>Objectif</t>
  </si>
  <si>
    <t>/ Zu-</t>
  </si>
  <si>
    <t>Reduktion des Beitrags für Grünland infolge Nichterreichen des Mindesttierbesatzes</t>
  </si>
  <si>
    <t>Motorfahrzeuge: Marke, kW</t>
  </si>
  <si>
    <t>Surfaces pour sorties régulières en plein air (SRPA)</t>
  </si>
  <si>
    <t>Nombre unités
en hiver</t>
  </si>
  <si>
    <t>SE/
SL*</t>
  </si>
  <si>
    <t>cornes/
écornés</t>
  </si>
  <si>
    <t>Espéces et catégories d'animaux</t>
  </si>
  <si>
    <t>Nom-</t>
  </si>
  <si>
    <t>Variation de la trésorie nette</t>
  </si>
  <si>
    <t>Charge en UGBB</t>
  </si>
  <si>
    <t>RGVE-Besatz</t>
  </si>
  <si>
    <t>Jachère florale, semis entre 1.9 et 30.9</t>
  </si>
  <si>
    <t xml:space="preserve"> GVE; Langstand mit Einstreue</t>
  </si>
  <si>
    <t xml:space="preserve"> GVE; Tiefstreulaufstall (nur Mist)</t>
  </si>
  <si>
    <t>ertrag</t>
  </si>
  <si>
    <t>N fix</t>
  </si>
  <si>
    <t>N korr.</t>
  </si>
  <si>
    <t>kg/ha</t>
  </si>
  <si>
    <t>zone de production manque</t>
  </si>
  <si>
    <t>Keine Produktionszone</t>
  </si>
  <si>
    <t>Text Anmerk_1a</t>
  </si>
  <si>
    <t>Allegato 2: Investimenti</t>
  </si>
  <si>
    <t>Futterbilanz für graslandbasierte Milch- u. Fleischproduktion</t>
  </si>
  <si>
    <t>Bilan des fourrages pour la production de lait et de viande basée sur les herbages</t>
  </si>
  <si>
    <t>Übrige Tierkategorien mit GF-Verzehr</t>
  </si>
  <si>
    <t>Raps, Soja, Sonnenblumen, Hanf und Lein</t>
  </si>
  <si>
    <t>Augmentation</t>
  </si>
  <si>
    <t>Import</t>
  </si>
  <si>
    <t>UGB</t>
  </si>
  <si>
    <t>Nährstoffbedarf Obst:</t>
  </si>
  <si>
    <t>Netto-Nährstoffbedarf Beeren gemäss "Handbuch Beeren"</t>
  </si>
  <si>
    <t>Beispiel: Stachelbeeren</t>
  </si>
  <si>
    <t>Jungviehbilanz</t>
  </si>
  <si>
    <t>Aufzucht</t>
  </si>
  <si>
    <t>Total des</t>
  </si>
  <si>
    <t>Part minimale dans la ration</t>
  </si>
  <si>
    <t>Mindestanteile an Ration</t>
  </si>
  <si>
    <t>Bilan</t>
  </si>
  <si>
    <t>pas mécanisé</t>
  </si>
  <si>
    <t>faiblement mécanisé</t>
  </si>
  <si>
    <t>bien mécanisé</t>
  </si>
  <si>
    <t>Rinder u. Wasserbüffel, Tiere der Pferdegattung, Schafe u. Ziegen &gt; 1 Jahr, Weidelämmer, Kaninchen</t>
  </si>
  <si>
    <t>Verteilung der Autokilometer</t>
  </si>
  <si>
    <t xml:space="preserve">      Rot = Nicht erfüllt</t>
  </si>
  <si>
    <t>10 places</t>
  </si>
  <si>
    <t>20 places</t>
  </si>
  <si>
    <t>30 Plätze</t>
  </si>
  <si>
    <t>30 places</t>
  </si>
  <si>
    <t>Description de l'objet du fermage</t>
  </si>
  <si>
    <t>=(100*0.33+90*0.4)/365</t>
  </si>
  <si>
    <t>- Tipo 100: Stabulazione libera a un settore (lettiera profonda)  per</t>
  </si>
  <si>
    <t>Extensive Nutzung</t>
  </si>
  <si>
    <t>doit être transformée en nombre</t>
  </si>
  <si>
    <t>&gt; 50%, 1 Kons.-schnitt, tief</t>
  </si>
  <si>
    <t>Stuten</t>
  </si>
  <si>
    <t>normal</t>
  </si>
  <si>
    <t>darf nicht grösser oder kleiner sein als :</t>
  </si>
  <si>
    <t>Rotationsbrache ansäen</t>
  </si>
  <si>
    <t>C3: Total achats issus de prairies et pâturages</t>
  </si>
  <si>
    <t>Contribution à la qualité du paysage (CQP, Art. 60 et 61 et Annexe 7 OPD)</t>
  </si>
  <si>
    <t xml:space="preserve">heutige Beiträge inkl. Anbaubeiträge nach </t>
  </si>
  <si>
    <t>ABBV, Beiträge nach ÖQV, Sömmerungsbeiträge und Beiträge nach 77a/b LwG (Ressourcenprogramme)</t>
  </si>
  <si>
    <t>Plätze</t>
  </si>
  <si>
    <t>Plafond des paiements directs soumis à la limite:</t>
  </si>
  <si>
    <t>Lapines mère (y c. petits jusqu'à env. 35 jours)</t>
  </si>
  <si>
    <t>Petits lapins dès environ 35 jours</t>
  </si>
  <si>
    <t>Mastpoulets, Truten und Kaninchen</t>
  </si>
  <si>
    <t>Lege-, Jung- u. Zuchthennen, Mastpoulets und Truten</t>
  </si>
  <si>
    <t>RGVE eff.</t>
  </si>
  <si>
    <t>UGBFG réels</t>
  </si>
  <si>
    <t>Surface de base</t>
  </si>
  <si>
    <t>Superficie di base</t>
  </si>
  <si>
    <t>dt TS)</t>
  </si>
  <si>
    <t>Siloraum</t>
  </si>
  <si>
    <t>Strohlager</t>
  </si>
  <si>
    <t>Finanzielle Kenngrössen</t>
  </si>
  <si>
    <t>Projekte</t>
  </si>
  <si>
    <t>Mittelbedarf</t>
  </si>
  <si>
    <t>Mittelbeschaffung</t>
  </si>
  <si>
    <t>doit pas être inférieur ou supérieur à:</t>
  </si>
  <si>
    <t>Kennziffern Biodiversitätsförderflächen</t>
  </si>
  <si>
    <t>Rendement</t>
  </si>
  <si>
    <t>Rend.</t>
  </si>
  <si>
    <t>Redditi privati</t>
  </si>
  <si>
    <t>Attività dipendenti</t>
  </si>
  <si>
    <t>Investimenti</t>
  </si>
  <si>
    <t>Vendita beni d'investimento</t>
  </si>
  <si>
    <t>Paiements directs soumis à la limite versés:</t>
  </si>
  <si>
    <t>Minimum von b) und c)</t>
  </si>
  <si>
    <t>Production de lisier (non dilué) en m³</t>
  </si>
  <si>
    <t>10  places</t>
  </si>
  <si>
    <t>10 vaches allaitantes</t>
  </si>
  <si>
    <t>20 vaches allaitantes</t>
  </si>
  <si>
    <t>40 vaches allaitantes</t>
  </si>
  <si>
    <t>Cash-flow avant privé et avant intérêts</t>
  </si>
  <si>
    <t>Cash-flow avant intérêts</t>
  </si>
  <si>
    <t>Grassilage Winter</t>
  </si>
  <si>
    <t>Schweine ohne Saugferkel</t>
  </si>
  <si>
    <t>Zuchtsauen über 6 Mte., nicht säugend</t>
  </si>
  <si>
    <t>Ferkelfutter</t>
  </si>
  <si>
    <t>Legehennenfutter</t>
  </si>
  <si>
    <t>Gemüsebau Freiland</t>
  </si>
  <si>
    <t>3 = ausserhalb FF</t>
  </si>
  <si>
    <t xml:space="preserve">  2 = achat</t>
  </si>
  <si>
    <t>2 = Zukauf</t>
  </si>
  <si>
    <t xml:space="preserve">  1 = vente</t>
  </si>
  <si>
    <t>1 = Verkauf</t>
  </si>
  <si>
    <t>Quant.</t>
  </si>
  <si>
    <t>dt MS/ha</t>
  </si>
  <si>
    <t>dt TS/ha</t>
  </si>
  <si>
    <t>stand.</t>
  </si>
  <si>
    <t>Stand.</t>
  </si>
  <si>
    <t>Grundfutterbilanz ist nicht ausgeglichen!</t>
  </si>
  <si>
    <t>Partie B: Production de fourrages</t>
  </si>
  <si>
    <t>TS-Erträge der Wiesen oder Zu- und Wegfuhr anpassen!</t>
  </si>
  <si>
    <t>Ajuster les rendements MS des prairies et pâturages ou vérifier les reprises et cessions !</t>
  </si>
  <si>
    <t>Der (Die) unterzeichnende(n) Betriebsleiter bestätigt (bestätigen) die Richtigkeit der in diesem Betriebsvoranschlag verwendeten Daten.</t>
  </si>
  <si>
    <t>Veränderungen</t>
  </si>
  <si>
    <t>nein</t>
  </si>
  <si>
    <t>Correction pour surfaces  à l'étranger</t>
  </si>
  <si>
    <t>Beeren</t>
  </si>
  <si>
    <t>champ MS</t>
  </si>
  <si>
    <t>Prestations particulières</t>
  </si>
  <si>
    <t>20 bêtes</t>
  </si>
  <si>
    <t>40 bêtes</t>
  </si>
  <si>
    <t>5  places</t>
  </si>
  <si>
    <t>Total verfütterte Milch</t>
  </si>
  <si>
    <t>été</t>
  </si>
  <si>
    <t>herbe,</t>
  </si>
  <si>
    <t>affouragée</t>
  </si>
  <si>
    <t>en vert</t>
  </si>
  <si>
    <t xml:space="preserve">herbe, </t>
  </si>
  <si>
    <t>pâture</t>
  </si>
  <si>
    <t>Maïs,</t>
  </si>
  <si>
    <t>Maïs</t>
  </si>
  <si>
    <t>affouragé</t>
  </si>
  <si>
    <t>cubes</t>
  </si>
  <si>
    <t>Zusätzliche kantonale Zulagen</t>
  </si>
  <si>
    <t xml:space="preserve">Allocation pour enfant </t>
  </si>
  <si>
    <t>Allocation complémentaire du canton</t>
  </si>
  <si>
    <t>611, 622</t>
  </si>
  <si>
    <t>612, 623</t>
  </si>
  <si>
    <t>702-704</t>
  </si>
  <si>
    <t>709, 710</t>
  </si>
  <si>
    <t>713-715</t>
  </si>
  <si>
    <t>Calcul de la part d'azote disponible dans les engrais de ferme de l'exploitation</t>
  </si>
  <si>
    <t>Actif financier</t>
  </si>
  <si>
    <t>Avances de cultures</t>
  </si>
  <si>
    <t>Stocks</t>
  </si>
  <si>
    <t>Milch an Haushalt</t>
  </si>
  <si>
    <t>à</t>
  </si>
  <si>
    <t>Fumier:</t>
  </si>
  <si>
    <t>Purin:</t>
  </si>
  <si>
    <t xml:space="preserve"> + Assurance perte de gain</t>
  </si>
  <si>
    <t xml:space="preserve"> + Soins médicaux</t>
  </si>
  <si>
    <t xml:space="preserve"> = Coûts totaux</t>
  </si>
  <si>
    <t>Culture principale</t>
  </si>
  <si>
    <t>Produit princ.</t>
  </si>
  <si>
    <t>Durée Ø d'utilisation des mères</t>
  </si>
  <si>
    <t>Ø Nutzungsdauer Stier</t>
  </si>
  <si>
    <t>Durée Ø d'utilisation du taureau</t>
  </si>
  <si>
    <t>Zwischenkalbezeit</t>
  </si>
  <si>
    <t>Jours</t>
  </si>
  <si>
    <t>Kälberverlust</t>
  </si>
  <si>
    <t>Perte de veaux</t>
  </si>
  <si>
    <t>Anzahl Ausmastplätze</t>
  </si>
  <si>
    <t>Nüsslisalat, Feldsalat</t>
  </si>
  <si>
    <t>Butt Datenübernahme</t>
  </si>
  <si>
    <t>Butt SucheFehler</t>
  </si>
  <si>
    <t>Butt BVlight</t>
  </si>
  <si>
    <t>Butt NachwErst</t>
  </si>
  <si>
    <t>Butt Aktualisieren</t>
  </si>
  <si>
    <t>Wenig intensiv genutzte Wiesen*</t>
  </si>
  <si>
    <t>Prairies peu intensives*</t>
  </si>
  <si>
    <t xml:space="preserve">Extensiv genutzte Weiden </t>
  </si>
  <si>
    <t>und Waldweiden</t>
  </si>
  <si>
    <t>et pâturages boisés</t>
  </si>
  <si>
    <t>Polpa di barbabietola da zucchero, insilata</t>
  </si>
  <si>
    <t>Total Grundfutterverzehr</t>
  </si>
  <si>
    <t>Naturwiese wenig intensiv</t>
  </si>
  <si>
    <t>Fläche 
total</t>
  </si>
  <si>
    <t>m²</t>
  </si>
  <si>
    <t>Bedarf:</t>
  </si>
  <si>
    <t>Arbeitsverdienst je Partner</t>
  </si>
  <si>
    <t>Einkommen je Partner</t>
  </si>
  <si>
    <t>Blé, épeautre</t>
  </si>
  <si>
    <t>Abricots</t>
  </si>
  <si>
    <t>1. Utilisation</t>
  </si>
  <si>
    <t>Les rendements du maïs ensilage doivent correspondre au minimum à 125 % des rendements des prairies intensives!</t>
  </si>
  <si>
    <t>Ackerschonstreifen, Bunt- u. Rotationsbrachen, Säume auf Ackerflächen</t>
  </si>
  <si>
    <t xml:space="preserve"> et vous devez répondre aux questions concernant la correction de consommation de fourrages grossiers des vaches laitières. Avez-vous déjà saisi l'effectif des animaux de votre exploitation et répondu aux questions?"</t>
  </si>
  <si>
    <t xml:space="preserve">Décompte pour </t>
  </si>
  <si>
    <t xml:space="preserve"> x 0.2</t>
  </si>
  <si>
    <t>Champignonproduktion in Gebäuden</t>
  </si>
  <si>
    <t>Autres:</t>
  </si>
  <si>
    <t>de lait et de viande basée sur les herbages</t>
  </si>
  <si>
    <t>Revenu du travail de la communauté</t>
  </si>
  <si>
    <t>Sie haben auf Seite 3 für diese Tabelle zu viele Tier-Kategorien mit Weidejahr eingegeben! Überprüfen Sie die Eingaben auf Seite 3 Tierbestand!</t>
  </si>
  <si>
    <t>Meliorationen</t>
  </si>
  <si>
    <t>Gülle-Typ</t>
  </si>
  <si>
    <t>Mist-Typ</t>
  </si>
  <si>
    <t>Stroh / Jahr</t>
  </si>
  <si>
    <t>per specie</t>
  </si>
  <si>
    <t>e anno</t>
  </si>
  <si>
    <t>di</t>
  </si>
  <si>
    <t>paglia</t>
  </si>
  <si>
    <t>Contributions au système de production (CSP, Art. 65 à 76 et Annexe 7 OPD)</t>
  </si>
  <si>
    <t>Bovins et buffles d'Asie &gt;160 jours, équidés &gt;30 mois, chèvres &gt; 1 an</t>
  </si>
  <si>
    <t>Chart 4</t>
  </si>
  <si>
    <t>Chart 1</t>
  </si>
  <si>
    <t>Button 3</t>
  </si>
  <si>
    <t>Propre à l'exploit. +</t>
  </si>
  <si>
    <t>UMOS/unité</t>
  </si>
  <si>
    <t>Fleurs de coupe, petites</t>
  </si>
  <si>
    <t>Zuschläge/Abzüge TS-Verzehr</t>
  </si>
  <si>
    <t xml:space="preserve">[ - ] Nährstofftransfer für Futter von ungedüngten Wiesen       </t>
  </si>
  <si>
    <t>T</t>
  </si>
  <si>
    <t xml:space="preserve">Gesamtbilanz: alle Nährstoffe </t>
  </si>
  <si>
    <t>Nettomonetäres Umlaufvermögen</t>
  </si>
  <si>
    <t>Kennziffern</t>
  </si>
  <si>
    <t>Achat taureaux d'élevage</t>
  </si>
  <si>
    <t>Achat taureux reproducteurs</t>
  </si>
  <si>
    <t xml:space="preserve"> PPE; caillebotis intégral ou partiel, case</t>
  </si>
  <si>
    <t>Bilan main-d'œuvre</t>
  </si>
  <si>
    <t xml:space="preserve">          stall mit befestigtem oder Spaltenboden-</t>
  </si>
  <si>
    <t xml:space="preserve">          Fressplatz</t>
  </si>
  <si>
    <t>Achat de veaux sevrés</t>
  </si>
  <si>
    <t>Weide               extensiv</t>
  </si>
  <si>
    <t>Betterave sucrière, betteraves fourragères</t>
  </si>
  <si>
    <t>Pois protéagineux, féverole et soja</t>
  </si>
  <si>
    <t>Contributi 2014 in % rispetto ai contributi attuali</t>
  </si>
  <si>
    <t>Emprunts</t>
  </si>
  <si>
    <t>Communauté</t>
  </si>
  <si>
    <t>SitA</t>
  </si>
  <si>
    <t>Text FussM</t>
  </si>
  <si>
    <t>Text FussE</t>
  </si>
  <si>
    <t>Text PlusM</t>
  </si>
  <si>
    <t xml:space="preserve"> 10-30</t>
  </si>
  <si>
    <t>Extensive Weiden, Waldweiden</t>
  </si>
  <si>
    <t xml:space="preserve"> 10-25</t>
  </si>
  <si>
    <t>di sup.</t>
  </si>
  <si>
    <t>N-Korrektur</t>
  </si>
  <si>
    <t>Label 83</t>
  </si>
  <si>
    <t>Butt übernehmen</t>
  </si>
  <si>
    <t>Text 1</t>
  </si>
  <si>
    <t>Butt NB2</t>
  </si>
  <si>
    <t>Mechanisierungsplan 2</t>
  </si>
  <si>
    <t>Feste Einrichtungen</t>
  </si>
  <si>
    <t>Heubelüftung</t>
  </si>
  <si>
    <t>Greifer</t>
  </si>
  <si>
    <t>Travaux pour tiers, mise en location de machines</t>
  </si>
  <si>
    <t>Zone de production</t>
  </si>
  <si>
    <t>Tabellenblätter</t>
  </si>
  <si>
    <t>Blatt wählen</t>
  </si>
  <si>
    <t>Charge en betail UGBFG/ha herbagère présent</t>
  </si>
  <si>
    <t>Normalstösse</t>
  </si>
  <si>
    <t>moins:</t>
  </si>
  <si>
    <t>Formular B: Berechnung der Grundfutterproduktion auf der Futterfläche</t>
  </si>
  <si>
    <t>Chiffres-clés compensation écologique</t>
  </si>
  <si>
    <t>Total consommation</t>
  </si>
  <si>
    <t>PPE</t>
  </si>
  <si>
    <t>PP</t>
  </si>
  <si>
    <t>Total, UGB contributions</t>
  </si>
  <si>
    <t>Total UGB</t>
  </si>
  <si>
    <t>18-35%, 4 Kons.-schnitte, tief</t>
  </si>
  <si>
    <t>18-35%, 4 Kons.-schnitte, mittel</t>
  </si>
  <si>
    <t>18-35%, 4 Kons.-schnitte, hoch</t>
  </si>
  <si>
    <t>Dauerweiden</t>
  </si>
  <si>
    <t>Anteil ext. Futter</t>
  </si>
  <si>
    <t>Faktor für Ansatz (= RGVE eff. / RGVE min.), falls Mindesttierbesatz erreicht, Faktor = 1</t>
  </si>
  <si>
    <t>Feld- und Gemüsekulturen</t>
  </si>
  <si>
    <t>nach dem</t>
  </si>
  <si>
    <t>kg par année</t>
  </si>
  <si>
    <t>Quantité</t>
  </si>
  <si>
    <t>Ressourceneffizienzbeiträge (REB, Art. 76, 77a u. 77b LwG, Art. 62a GSchG)</t>
  </si>
  <si>
    <t>Zusammenfassung der Direktzahlungen und Beiträge</t>
  </si>
  <si>
    <t>Ecornés</t>
  </si>
  <si>
    <t>Contributions pour la garde d’animaux consommant des fourrages grossiers année de référence*</t>
  </si>
  <si>
    <t>Mistplatz 1</t>
  </si>
  <si>
    <t>Mistanf.</t>
  </si>
  <si>
    <t>Betriebsnummer</t>
  </si>
  <si>
    <t>Erntejahr</t>
  </si>
  <si>
    <t>Kanton</t>
  </si>
  <si>
    <t>Telefon</t>
  </si>
  <si>
    <t>Übertrag Standard-Arbeitskräfte für Direktzahlungen</t>
  </si>
  <si>
    <t>(Die Milchleistung wird automatisch auch auf dem Blatt "Tierbestand" angepasst)</t>
  </si>
  <si>
    <t>Type</t>
  </si>
  <si>
    <t>Deckungsbeitrag Milchvieh und Aufzucht</t>
  </si>
  <si>
    <t>Leistung</t>
  </si>
  <si>
    <t>613, 616</t>
  </si>
  <si>
    <t xml:space="preserve">Veränderungen in </t>
  </si>
  <si>
    <t xml:space="preserve">Modifications en </t>
  </si>
  <si>
    <t>C5 entspricht nicht der Menge in der Suisse-Bilanz!</t>
  </si>
  <si>
    <t>paiements directs.</t>
  </si>
  <si>
    <t>Weitere raufutterverzehrende Nutztiere</t>
  </si>
  <si>
    <t>Spezifische Werte</t>
  </si>
  <si>
    <t>chk_Impex</t>
  </si>
  <si>
    <t>Dindes à l'engrais</t>
  </si>
  <si>
    <t xml:space="preserve">Norme de base de l'azote disponible </t>
  </si>
  <si>
    <t>moins</t>
  </si>
  <si>
    <t>Terres ouvertes x 0.15</t>
  </si>
  <si>
    <t>Nstock fumier sans purin x 0.12</t>
  </si>
  <si>
    <t>Pour l'exploitation</t>
  </si>
  <si>
    <t>T: Innerbetrieblicher Nährstofftransfer für Futter von ungedüngten Wiesen (GFT)</t>
  </si>
  <si>
    <t>Nährstoffgehalt je Einheit, kg</t>
  </si>
  <si>
    <r>
      <t>P</t>
    </r>
    <r>
      <rPr>
        <vertAlign val="subscript"/>
        <sz val="9"/>
        <rFont val="Arial"/>
        <family val="2"/>
      </rPr>
      <t>2</t>
    </r>
    <r>
      <rPr>
        <sz val="9"/>
        <rFont val="Arial"/>
        <family val="2"/>
      </rPr>
      <t>O</t>
    </r>
    <r>
      <rPr>
        <vertAlign val="subscript"/>
        <sz val="9"/>
        <rFont val="Arial"/>
        <family val="2"/>
      </rPr>
      <t>5</t>
    </r>
  </si>
  <si>
    <r>
      <t>K</t>
    </r>
    <r>
      <rPr>
        <vertAlign val="subscript"/>
        <sz val="9"/>
        <rFont val="Arial"/>
        <family val="2"/>
      </rPr>
      <t>2</t>
    </r>
    <r>
      <rPr>
        <sz val="9"/>
        <rFont val="Arial"/>
        <family val="2"/>
      </rPr>
      <t>O</t>
    </r>
  </si>
  <si>
    <t>Klärschlamm laut Lieferschein</t>
  </si>
  <si>
    <t>Kompost</t>
  </si>
  <si>
    <t>Die Tabelle ist voll, es können keine weiteren Kulturen mehr eingegeben werden.</t>
  </si>
  <si>
    <t>Hecken, Feld- und Ufergehölze, Rebfächen mit hoher Artenvielfalt, weitere BFF</t>
  </si>
  <si>
    <t>Wirz leicht</t>
  </si>
  <si>
    <t>Gemeinschaft / ein Betrieb</t>
  </si>
  <si>
    <t>Gemeinschaft: Deckung der zusätzlichen Zins- und Tilgungsbelastung</t>
  </si>
  <si>
    <t>Pois et féverole d'automne, sans labour</t>
  </si>
  <si>
    <t>Es sind bereits mehrere Betvor-Dateien geöffnet. Schliessen Sie zuerst alle anderen Dateien und führen Sie die Aktion nochmals durch!</t>
  </si>
  <si>
    <t>Chiffres-clés agriculture biologique</t>
  </si>
  <si>
    <t>Achat de fourrage</t>
  </si>
  <si>
    <t xml:space="preserve">Pommes de terre </t>
  </si>
  <si>
    <t xml:space="preserve">Feuilles de betteraves </t>
  </si>
  <si>
    <t>Rübenblätter</t>
  </si>
  <si>
    <t>Passwort ungültig</t>
  </si>
  <si>
    <t>Düngen, Mulchen, Abschleppen 1 x pro Jahr</t>
  </si>
  <si>
    <t>&lt; 18%, tief</t>
  </si>
  <si>
    <t>&lt; 18%, mittel</t>
  </si>
  <si>
    <t>&lt; 18%, hoch</t>
  </si>
  <si>
    <t>18-35%, tief</t>
  </si>
  <si>
    <t>Raygras italien, semailles entre 1.10 et 31.10</t>
  </si>
  <si>
    <t>ausserhalb</t>
  </si>
  <si>
    <t>dt FS</t>
  </si>
  <si>
    <t>der FF</t>
  </si>
  <si>
    <t>Iglu-Haltung, Eimertränke</t>
  </si>
  <si>
    <t>UGB estivage</t>
  </si>
  <si>
    <t>pièce</t>
  </si>
  <si>
    <t>Vaches</t>
  </si>
  <si>
    <t>DGVE-Werte werden nur angezeigt, wenn die Suisse-Bilanz zuvor berechnet worden ist!</t>
  </si>
  <si>
    <t>Wichtiger Hinweis: Alle Eingaben auf diesem Blatt werden in der Suisse-Bilanz nur dann richtig dargestellt, wenn zu jeder Tierkategorie auch die korrekte Anzahl Einheiten im Blatt "Tierbestand" erfasst ist!</t>
  </si>
  <si>
    <t>Erfolge betrieblicher Finanzanlagen</t>
  </si>
  <si>
    <t>L'(Les) exploitant(s) soussigné(s) confirme(nt) le bien-fondé des chiffres présentés dans ce budget.</t>
  </si>
  <si>
    <t>Gülle / Mt.</t>
  </si>
  <si>
    <t>Fumier / mois</t>
  </si>
  <si>
    <t>% vom Bruttolohn</t>
  </si>
  <si>
    <t xml:space="preserve"> + Staatl. Sozialleistungen</t>
  </si>
  <si>
    <t xml:space="preserve"> + Unfallversicherung</t>
  </si>
  <si>
    <t xml:space="preserve"> + Krankentaggeld</t>
  </si>
  <si>
    <t>Grossviehmast</t>
  </si>
  <si>
    <t>18 - 35 % déclivité</t>
  </si>
  <si>
    <t>Bilans techniques</t>
  </si>
  <si>
    <t>Total lait affourragé</t>
  </si>
  <si>
    <t>Zuckerrübenschnitzel</t>
  </si>
  <si>
    <t>Le plus petit des montants entre b) et c)</t>
  </si>
  <si>
    <t>Butt Zsfassung</t>
  </si>
  <si>
    <t>Butt Import1</t>
  </si>
  <si>
    <t>Butt Import2</t>
  </si>
  <si>
    <t>Butt Import3</t>
  </si>
  <si>
    <t>Butt Import4</t>
  </si>
  <si>
    <t>Variante 2</t>
  </si>
  <si>
    <t>Variante 3</t>
  </si>
  <si>
    <t>Variante 4</t>
  </si>
  <si>
    <t>Variantenbezeichnung</t>
  </si>
  <si>
    <t>Jahre</t>
  </si>
  <si>
    <t>Zwischenfutter, Aeugstlen, Frühjahrsschnitt vor Umbruch</t>
  </si>
  <si>
    <t>Feuilles de betteraves de l'exploitation affouragées</t>
  </si>
  <si>
    <t>Obergrenze der betroffenen Direktzahlungen:</t>
  </si>
  <si>
    <t>Prairies et pâturages extensifs (types 1A, 1B et 2): dont SPB</t>
  </si>
  <si>
    <t xml:space="preserve">les surfaces des cultures doivent saisies à la page 2 </t>
  </si>
  <si>
    <t>Selbständiges Nebeneinkommen</t>
  </si>
  <si>
    <t>Zwischenfutter, Gründüngung, Saat zwischen 1.9 und 30.9</t>
  </si>
  <si>
    <t>Aufwand</t>
  </si>
  <si>
    <t>54 Zone de montagne IV</t>
  </si>
  <si>
    <t>Freilandschweine</t>
  </si>
  <si>
    <t>GVE-Faktoren</t>
  </si>
  <si>
    <t>VSB</t>
  </si>
  <si>
    <t>CSA</t>
  </si>
  <si>
    <t>LQB</t>
  </si>
  <si>
    <t>CQP</t>
  </si>
  <si>
    <t>CSP</t>
  </si>
  <si>
    <t>CER</t>
  </si>
  <si>
    <t>CT</t>
  </si>
  <si>
    <t>RED</t>
  </si>
  <si>
    <t>PSB</t>
  </si>
  <si>
    <t>Aliment pour poules pondeuses</t>
  </si>
  <si>
    <t xml:space="preserve"> (ab 2016)</t>
  </si>
  <si>
    <t xml:space="preserve"> (dès 2016)</t>
  </si>
  <si>
    <t xml:space="preserve"> (dal 2016)</t>
  </si>
  <si>
    <t>Verkauf Mastremonten</t>
  </si>
  <si>
    <t>Media dei pagamenti diretti generali 2011 a 2013*</t>
  </si>
  <si>
    <t>offene Ackerfläche und Dauerkulturen (1)</t>
  </si>
  <si>
    <t>Laufstall:</t>
  </si>
  <si>
    <t>Zone montagne I</t>
  </si>
  <si>
    <t>Contribution au maintien d’un paysage ouvert*</t>
  </si>
  <si>
    <t>Anzahl geleisteter Arbeitstage</t>
  </si>
  <si>
    <t>Anteil je Partner in %</t>
  </si>
  <si>
    <t>Abrechnung je Partner</t>
  </si>
  <si>
    <t>Betrag nach Arbeit</t>
  </si>
  <si>
    <t>Total Bezüge</t>
  </si>
  <si>
    <t>Total Bezug für Arbeit und Kapital</t>
  </si>
  <si>
    <t>MB vaches laitières sans coûts pour quantité contractuelle</t>
  </si>
  <si>
    <t>SuiBi: Bedarf und Bilanz</t>
  </si>
  <si>
    <t>Haies et bosquets champêtres</t>
  </si>
  <si>
    <t>Bandes-tampon le long de cours d'eau, forêts, haies, bosquets</t>
  </si>
  <si>
    <t xml:space="preserve">Autres </t>
  </si>
  <si>
    <t>Vaches laitières, brebis laitières et chèvres laitières</t>
  </si>
  <si>
    <t>Porcs d'élevage</t>
  </si>
  <si>
    <t>Autres animaux de rente</t>
  </si>
  <si>
    <t>10 capi</t>
  </si>
  <si>
    <t>Jährliche Veränder- ungen</t>
  </si>
  <si>
    <t>Eine eingebene Anzahl übersteigt die im Blatt "Fläche" deklarierte Anzahl Bäume!</t>
  </si>
  <si>
    <t>Achats saisis &lt;&gt; achats saisis dans le Suisse-Bilanz !</t>
  </si>
  <si>
    <t>Promotion de la biodiversité</t>
  </si>
  <si>
    <t>Flächengewichtete Korrekturfaktoren</t>
  </si>
  <si>
    <t xml:space="preserve">vorhandener Güllelagerraum reicht für </t>
  </si>
  <si>
    <t>Capital étranger à long terme, hors exploitation</t>
  </si>
  <si>
    <t>Augmentation des stocks et des animaux</t>
  </si>
  <si>
    <t>4 surface partielle</t>
  </si>
  <si>
    <t>Stockage 1)</t>
  </si>
  <si>
    <t>Cult. fourragères</t>
  </si>
  <si>
    <t xml:space="preserve"> / d'engrais de ferme</t>
  </si>
  <si>
    <t>soins anim.</t>
  </si>
  <si>
    <t>All. form. prof. dès 2009</t>
  </si>
  <si>
    <t>Kräuter, Gewürz klein</t>
  </si>
  <si>
    <t>* ha, NST, Stück, Laufmeter, Betrieb</t>
  </si>
  <si>
    <t>* ha, PN, unités, mètres linéaires, exploitation</t>
  </si>
  <si>
    <t>oder der Dateiname ist zu lang (&gt; 6 Zeichen) und/oder enthält Sonderzeichen (z.B. Leerschläge)</t>
  </si>
  <si>
    <t>Nom:</t>
  </si>
  <si>
    <t>Rue:</t>
  </si>
  <si>
    <t>No d'expl.</t>
  </si>
  <si>
    <t>Téléphone:</t>
  </si>
  <si>
    <t>Date:</t>
  </si>
  <si>
    <t>Contributions pour la protection de la nature (cantonales et communales)</t>
  </si>
  <si>
    <t xml:space="preserve">Das nebenstehende Total der offenen Ackerfläche(OA) Winter </t>
  </si>
  <si>
    <t>Mindestbesatz RGVE</t>
  </si>
  <si>
    <t>Berg</t>
  </si>
  <si>
    <t>Tal</t>
  </si>
  <si>
    <t xml:space="preserve">   Total</t>
  </si>
  <si>
    <t>Bitte das Erntejahr, von dem die Daten übernommen werden sollen, zuerst öffnen!</t>
  </si>
  <si>
    <t>Pauschalbetrag</t>
  </si>
  <si>
    <t>Butt Gehezu VBK</t>
  </si>
  <si>
    <t>Butt GeheZuRation</t>
  </si>
  <si>
    <t>Butt Zurück2</t>
  </si>
  <si>
    <t>Button 11</t>
  </si>
  <si>
    <t>Butt Futter_übertragen</t>
  </si>
  <si>
    <t>Butt zu_Bilanz</t>
  </si>
  <si>
    <t>Butt Hd</t>
  </si>
  <si>
    <t>Butt Gehalte</t>
  </si>
  <si>
    <t>Butt Volumen</t>
  </si>
  <si>
    <t>Altitude:</t>
  </si>
  <si>
    <t>Kultur</t>
  </si>
  <si>
    <t xml:space="preserve">           laufstall (Mast, Jungvieh)</t>
  </si>
  <si>
    <t>L'indice de protection du sol de votre exploitation est</t>
  </si>
  <si>
    <t>Production</t>
  </si>
  <si>
    <t>Roseau de Chine</t>
  </si>
  <si>
    <t>600 Tiere</t>
  </si>
  <si>
    <t>Mastschweine, Remonten u. Ferkel</t>
  </si>
  <si>
    <t>Total Biodiversitätsbeiträge</t>
  </si>
  <si>
    <t>Total contributions à la biodiversité</t>
  </si>
  <si>
    <t>Consommation de concentrés trop hautes !</t>
  </si>
  <si>
    <t>Kraftfutterverbrauch während Sömmerung zu hoch!</t>
  </si>
  <si>
    <t>Check</t>
  </si>
  <si>
    <t>Abzug für massgebendes Einkommen höher als 80'000</t>
  </si>
  <si>
    <t>Les données de ce classeur doivent-elles être reprises?</t>
  </si>
  <si>
    <t>Prélèvements et indemnités totaux</t>
  </si>
  <si>
    <t>Dépenses comme propriétaire</t>
  </si>
  <si>
    <t>Remboursements/intérêts des anciennes dettes</t>
  </si>
  <si>
    <t>Betrag am 1.1.</t>
  </si>
  <si>
    <t>Remboursements/intérêts des nouvelles dettes</t>
  </si>
  <si>
    <t>Hypothèque</t>
  </si>
  <si>
    <t>Etat au</t>
  </si>
  <si>
    <t>Düngbare Fläche, ha:</t>
  </si>
  <si>
    <t>Intensive Wiesen und Weiden, 2-6 Nutzungen</t>
  </si>
  <si>
    <t>C1</t>
  </si>
  <si>
    <t>C2: Bedarf der Ackerkulturen</t>
  </si>
  <si>
    <t>****)</t>
  </si>
  <si>
    <t>für jedes weitere Kind</t>
  </si>
  <si>
    <t>(y compris mis en place de prairie temporaire au printemps)</t>
  </si>
  <si>
    <t>Grandes cultures (prairies temporaires incluses)</t>
  </si>
  <si>
    <t>Bohnen, Verarbeitung-</t>
  </si>
  <si>
    <t>Broccoli</t>
  </si>
  <si>
    <t>Chinakohl</t>
  </si>
  <si>
    <t>Chicorée, Wurzelanbau</t>
  </si>
  <si>
    <t>Cicorino rosso, Radicchio</t>
  </si>
  <si>
    <t>Endivie, mittlerer Ertrag</t>
  </si>
  <si>
    <t>Véhicules à moteur</t>
  </si>
  <si>
    <t>Nettofinanzierung</t>
  </si>
  <si>
    <t>Cash Flow avant intérêts</t>
  </si>
  <si>
    <t>Investissements nets</t>
  </si>
  <si>
    <t>Financement net</t>
  </si>
  <si>
    <t>chk_Rebbau</t>
  </si>
  <si>
    <t>Chicorée-Wurzeln</t>
  </si>
  <si>
    <t>ventilé</t>
  </si>
  <si>
    <t xml:space="preserve">non </t>
  </si>
  <si>
    <t>ensilage</t>
  </si>
  <si>
    <t>d'herbe</t>
  </si>
  <si>
    <t>de maïs</t>
  </si>
  <si>
    <t>cubes de</t>
  </si>
  <si>
    <t>maïs</t>
  </si>
  <si>
    <t>herbe</t>
  </si>
  <si>
    <t>I/E-Bilanzwerte aus mehreren Schweinekategorien</t>
  </si>
  <si>
    <t>I/E-Bilanzwerte für einzelne Schweinekategorien (bei mehreren I/E-Bilanzen)</t>
  </si>
  <si>
    <t>&lt; 18%, 1 Kons.-schnitt, hoch</t>
  </si>
  <si>
    <t>53 Zone de montagne III</t>
  </si>
  <si>
    <t>Opérations liées à l'activité courante</t>
  </si>
  <si>
    <t>Säugende Sauen 2)</t>
  </si>
  <si>
    <t>Citerne de refroidissement</t>
  </si>
  <si>
    <t>Eimermelkanlage</t>
  </si>
  <si>
    <t>Rohrmelkanlage (Anbindestall oder Melkstand)</t>
  </si>
  <si>
    <t>EFC</t>
  </si>
  <si>
    <t>Wasserverbrauchstabelle</t>
  </si>
  <si>
    <t>TG</t>
  </si>
  <si>
    <t>TW</t>
  </si>
  <si>
    <t>T_EF</t>
  </si>
  <si>
    <t>T_Eau</t>
  </si>
  <si>
    <t>Impôt immoblier</t>
  </si>
  <si>
    <t>Moins</t>
  </si>
  <si>
    <t>% des ha de terres ouvertes/ha SAU x 0.15</t>
  </si>
  <si>
    <t>Zwischenfrüchte und Gründüngung</t>
  </si>
  <si>
    <t>Fruchtfolgen</t>
  </si>
  <si>
    <t>1. Jahr</t>
  </si>
  <si>
    <t>2. Jahr</t>
  </si>
  <si>
    <t>3. Jahr</t>
  </si>
  <si>
    <t>in 62a Nitrat-Projekt</t>
  </si>
  <si>
    <t xml:space="preserve">Contributo per singole colture </t>
  </si>
  <si>
    <t>Gehalte (kg pro m³ unverdünnter Gülle bzw. kg pro t Mist)</t>
  </si>
  <si>
    <t xml:space="preserve">Poules pondeuses, poules et coqs d'élevage </t>
  </si>
  <si>
    <t>Contributions pour les exploitations d'estivage et de pâture</t>
  </si>
  <si>
    <t>Animaux traits</t>
  </si>
  <si>
    <t>Streueflächen (Typ 5)</t>
  </si>
  <si>
    <t>Ackerschonstreifen (Typ 6)</t>
  </si>
  <si>
    <t>Buntbrache (Typ 7A)</t>
  </si>
  <si>
    <t>Rotationsbrache (Typ 7B)</t>
  </si>
  <si>
    <t>52 Zone de montagne II</t>
  </si>
  <si>
    <t>prairies/pâturages</t>
  </si>
  <si>
    <t xml:space="preserve">Fourrages vendus, achetés ou produits sur l'exploitation hors surface fourragère     </t>
  </si>
  <si>
    <t>für Differenzierungen nach Zone</t>
  </si>
  <si>
    <t>Radies 20 Bund/m2</t>
  </si>
  <si>
    <t>Biodiversitätsbeiträge (BDB, Art. 55 bis 60 und Anhang 7 DZV)</t>
  </si>
  <si>
    <t>(seulement si des activités se produisent aussi en hiver)</t>
  </si>
  <si>
    <t xml:space="preserve">Dieses Instrument dient als Methodennachweis und basiert auf den Vernehmlassungsunterlagen </t>
  </si>
  <si>
    <t>Azienda individuale o comunità</t>
  </si>
  <si>
    <t>Azienda individuale</t>
  </si>
  <si>
    <t>Comunità di 2 aziende</t>
  </si>
  <si>
    <t>Comunità di 3 aziende</t>
  </si>
  <si>
    <t>Comunità di 4 aziende</t>
  </si>
  <si>
    <t>Comunità di 5 aziende</t>
  </si>
  <si>
    <t>Se il carico di bestiame non è raggiunto, riduzione</t>
  </si>
  <si>
    <t>Durata del ciclo</t>
  </si>
  <si>
    <t>Valorizzazione del latte</t>
  </si>
  <si>
    <t>GVE      total</t>
  </si>
  <si>
    <t>abzüglich</t>
  </si>
  <si>
    <t xml:space="preserve">   Supplément pour culture biologique</t>
  </si>
  <si>
    <t xml:space="preserve">   Supplemento per la coltivazione biologica</t>
  </si>
  <si>
    <t>Total UGB / PPE</t>
  </si>
  <si>
    <t xml:space="preserve"> PP; détention en volière </t>
  </si>
  <si>
    <t>*) inkl. Privatanteile an allg. Betriebskosten u. Auto (Ausgaben)</t>
  </si>
  <si>
    <t>Betrag am</t>
  </si>
  <si>
    <t>Surface donnant droit aux contributions: SAU donnant droit aux contributions (+ surfaces situées en zone limitrophe étrangère et exploitées par tradition),</t>
  </si>
  <si>
    <t>Beiträge für einzelne Kulturen (nach Einzelkulturbeitragsverordnung)</t>
  </si>
  <si>
    <t>Gülleanfall pro Monat unverdünnt</t>
  </si>
  <si>
    <t xml:space="preserve"> + Prestations sociales</t>
  </si>
  <si>
    <t xml:space="preserve"> + Assurance accidents</t>
  </si>
  <si>
    <t>&lt; 18%, 1 Kons.-schnitt, tief</t>
  </si>
  <si>
    <t>&lt; 18%, 1 Kons.-schnitt, mittel</t>
  </si>
  <si>
    <t>Production d'éléments fertilisants</t>
  </si>
  <si>
    <t>Surface de qualité 1 et surfaces viticoles°</t>
  </si>
  <si>
    <t>Vérifiez les surfaces saisies!</t>
  </si>
  <si>
    <t>Corr. consom. de MS</t>
  </si>
  <si>
    <t>Vernetzung**</t>
  </si>
  <si>
    <t>Animaux consommant des fourrages grossiers sans consomm. de concentrés</t>
  </si>
  <si>
    <t>Taureau d'élevage</t>
  </si>
  <si>
    <t>Zuchtstier</t>
  </si>
  <si>
    <t>Cours, place de lavage (à relever pour chaque exploitation)</t>
  </si>
  <si>
    <t>Nettoyage</t>
  </si>
  <si>
    <t>chambre à lait</t>
  </si>
  <si>
    <t>Techniques d'application de précision</t>
  </si>
  <si>
    <t>Fütterung mech., Entmistung mobil</t>
  </si>
  <si>
    <t xml:space="preserve"> + Salaire en nature</t>
  </si>
  <si>
    <t>(la production laitière est mise à jour automatiquement dans la feuille "animaux")</t>
  </si>
  <si>
    <t>Unités pour les engrais</t>
  </si>
  <si>
    <t>Stabulation sans purin 1</t>
  </si>
  <si>
    <t>Stabulation sans purin 2</t>
  </si>
  <si>
    <t>complémentaires</t>
  </si>
  <si>
    <t>Répartition des km effectués en voiture</t>
  </si>
  <si>
    <t>Ingrasso al pascolo</t>
  </si>
  <si>
    <t>Bovini e bufali</t>
  </si>
  <si>
    <t>fino al 2008</t>
  </si>
  <si>
    <t>dal 2009</t>
  </si>
  <si>
    <t>dal 2014</t>
  </si>
  <si>
    <t>15] Übertrag der Vergärungsprodukte gemäss Auszug HODUFLU</t>
  </si>
  <si>
    <t>Erba, insilato d'erba</t>
  </si>
  <si>
    <t>Fieno</t>
  </si>
  <si>
    <t>Vendita Natura-beef</t>
  </si>
  <si>
    <t>Autes animaux consommant du fourrage grossier</t>
  </si>
  <si>
    <t>Anzahl Betriebe</t>
  </si>
  <si>
    <t>120 - 160 ha</t>
  </si>
  <si>
    <t>160 - 200 ha</t>
  </si>
  <si>
    <t>200 - 240 ha</t>
  </si>
  <si>
    <t>240 - 280 ha</t>
  </si>
  <si>
    <t>&gt; 280 ha</t>
  </si>
  <si>
    <t>0 - 120 ha</t>
  </si>
  <si>
    <t>Flächen und Erträge der Kulturen müssen auf Seite 2</t>
  </si>
  <si>
    <t>0 - 240 ha</t>
  </si>
  <si>
    <t>0 - 180 ha</t>
  </si>
  <si>
    <t>180 - 240 ha</t>
  </si>
  <si>
    <t>240 - 300 ha</t>
  </si>
  <si>
    <t>300 - 360 ha</t>
  </si>
  <si>
    <t>360 - 420 ha</t>
  </si>
  <si>
    <t>&gt; 420 ha</t>
  </si>
  <si>
    <t>240 - 320 ha</t>
  </si>
  <si>
    <t>320 - 400 ha</t>
  </si>
  <si>
    <t>400 - 480 ha</t>
  </si>
  <si>
    <t>480 - 560 ha</t>
  </si>
  <si>
    <t>&gt; 560 ha</t>
  </si>
  <si>
    <t>Autres revenus hors exploitation</t>
  </si>
  <si>
    <t>Placements financiers hors exploitation</t>
  </si>
  <si>
    <t>Taux d'intérêts (%)</t>
  </si>
  <si>
    <t>Heizmaterial</t>
  </si>
  <si>
    <t>Wasser</t>
  </si>
  <si>
    <t>N°</t>
  </si>
  <si>
    <t>inverno</t>
  </si>
  <si>
    <t>Fattore</t>
  </si>
  <si>
    <t>PSI /</t>
  </si>
  <si>
    <t>Production de purin dilué</t>
  </si>
  <si>
    <t>Production totale en hiver, dilué</t>
  </si>
  <si>
    <t>Capacité de stockage actuelle</t>
  </si>
  <si>
    <t>Tabelle aktualisieren</t>
  </si>
  <si>
    <t>Rettich 8-9 Stk/m2</t>
  </si>
  <si>
    <t>Eccesso (+) o mancanza (-) di paglia</t>
  </si>
  <si>
    <t>UBGFG</t>
  </si>
  <si>
    <t xml:space="preserve">Pollame da ingrasso </t>
  </si>
  <si>
    <t>Promozione della biodiversità</t>
  </si>
  <si>
    <t>Controllo del consumo di foraggio</t>
  </si>
  <si>
    <t>Foraggi</t>
  </si>
  <si>
    <t>Arbres isolés indigènes</t>
  </si>
  <si>
    <t>Ferien auf dem Bauernhof</t>
  </si>
  <si>
    <t>Bett</t>
  </si>
  <si>
    <t>Schlaf im Stroh</t>
  </si>
  <si>
    <t>Schlafplatz</t>
  </si>
  <si>
    <t>Quantité d'eau par mois</t>
  </si>
  <si>
    <t>Wintergerste</t>
  </si>
  <si>
    <t>Übrige Wiesen mit Düngeverbot</t>
  </si>
  <si>
    <t>Bandes culturales extensives (type 6)</t>
  </si>
  <si>
    <t>DB Mutterkühe</t>
  </si>
  <si>
    <t>DBMuku</t>
  </si>
  <si>
    <t>Tierwohlbeiträge</t>
  </si>
  <si>
    <t>Polpa di barbabietola da zucchero, essiccata</t>
  </si>
  <si>
    <t>Foglie di barbabietola</t>
  </si>
  <si>
    <t>Ölkürbisse, Mohn und Saflor</t>
  </si>
  <si>
    <t>Vers.</t>
  </si>
  <si>
    <t>pro h</t>
  </si>
  <si>
    <t>Geb.</t>
  </si>
  <si>
    <t>Abzug,</t>
  </si>
  <si>
    <t>Grundfutterverzehr</t>
  </si>
  <si>
    <t>erfüllt?</t>
  </si>
  <si>
    <t>Dinkel (Korn)</t>
  </si>
  <si>
    <t>Emmer, Einkorn</t>
  </si>
  <si>
    <t>Dialogue_lég1</t>
  </si>
  <si>
    <t>Dialogue_Nb2</t>
  </si>
  <si>
    <t>Marquer tout/rien</t>
  </si>
  <si>
    <t>Etat</t>
  </si>
  <si>
    <t>Remboursement</t>
  </si>
  <si>
    <t>Franken</t>
  </si>
  <si>
    <t>Francs</t>
  </si>
  <si>
    <t>Superficie coltivata (are)</t>
  </si>
  <si>
    <t>Settore di produzione</t>
  </si>
  <si>
    <t>Onglets</t>
  </si>
  <si>
    <t>Imprimer l'entête</t>
  </si>
  <si>
    <t>Total Nährstoffbedarf der Gemüse:</t>
  </si>
  <si>
    <t>Beiträge für die Haltung Raufutter verzehrender Nutztiere des Referenzjahres*</t>
  </si>
  <si>
    <t xml:space="preserve">Sie kann nicht als Nachweis für die Einhaltung der Bedingungen </t>
  </si>
  <si>
    <t>Précision importante :</t>
  </si>
  <si>
    <t>Produzierender Gartenbau: Gewächshaus mit festen</t>
  </si>
  <si>
    <t>Fundamenten oder Hochtunnel für Pflanzen in Behältern</t>
  </si>
  <si>
    <t>max. Anteil</t>
  </si>
  <si>
    <t>Maïs sucré</t>
  </si>
  <si>
    <t>Oignons</t>
  </si>
  <si>
    <t>Concombre 50 pces/m2, plein sol</t>
  </si>
  <si>
    <t>Côtes de bette</t>
  </si>
  <si>
    <t>Cresson</t>
  </si>
  <si>
    <t>Poivron, plein sol</t>
  </si>
  <si>
    <t>Radis 20 bottes/m2</t>
  </si>
  <si>
    <t>Resa standard</t>
  </si>
  <si>
    <t>Juments</t>
  </si>
  <si>
    <t>Avoine uniquement comme concentré</t>
  </si>
  <si>
    <t>Moutons</t>
  </si>
  <si>
    <t>Bovins à l'engrais</t>
  </si>
  <si>
    <t>engrais intensif</t>
  </si>
  <si>
    <t>engrais pâturage</t>
  </si>
  <si>
    <t>Facteurs UGB</t>
  </si>
  <si>
    <t xml:space="preserve"> (arbres)</t>
  </si>
  <si>
    <t>Prélèv. total pour la 5ème année</t>
  </si>
  <si>
    <t>AutoShape 2267</t>
  </si>
  <si>
    <t>Spinat, nicht überw., 1 Schnitt vor Mitte April gesät</t>
  </si>
  <si>
    <t>Petits ruminants</t>
  </si>
  <si>
    <t xml:space="preserve">Brebis </t>
  </si>
  <si>
    <t>60 Mutterkühe</t>
  </si>
  <si>
    <t>100 Mutterkühe</t>
  </si>
  <si>
    <t>Mutterkühe mit Kalb</t>
  </si>
  <si>
    <t>après le 15.02</t>
  </si>
  <si>
    <t>Ponys, Kleinpferde und Esel</t>
  </si>
  <si>
    <t>Liquiditätsunwirksame Mittel</t>
  </si>
  <si>
    <t>Teil- /Vorbezug des Erbes</t>
  </si>
  <si>
    <t>Einräumung von Rechten</t>
  </si>
  <si>
    <t>Extensives Wies- und Weideland (Typ 1A, 1B, 2): davon BFF</t>
  </si>
  <si>
    <t>C3: Sous-total cultures spéciales</t>
  </si>
  <si>
    <t>Activités accessoires, privé</t>
  </si>
  <si>
    <t>Total investissements</t>
  </si>
  <si>
    <t>= Revenu déterminant</t>
  </si>
  <si>
    <t>Des valeurs adjacentes de catégories impliquées :</t>
  </si>
  <si>
    <t>Die allgemeinen Betriebsdaten (Adresse, Produktionsart, Zoneneinteilung, Flächen, Tierbestand) müssen auf den Seiten 1 bis 3 eingegeben werden. Diese Daten sind die Grundlagen für alle Berechnungen auf den übrigen Seiten!</t>
  </si>
  <si>
    <t>Partie A: Consommation de fourrages et de concentrés</t>
  </si>
  <si>
    <t>Installation de traite à pots</t>
  </si>
  <si>
    <t>Installation de traite directe</t>
  </si>
  <si>
    <t>Jachère tournante ZP et ZC</t>
  </si>
  <si>
    <t>Zone de berges</t>
  </si>
  <si>
    <t>Noyers***</t>
  </si>
  <si>
    <t>Hofdünger-Anfallsmengen im Winter und jährlicher Strohbedarf</t>
  </si>
  <si>
    <t>Bedarf bzw. Anfall</t>
  </si>
  <si>
    <t>Stroh-</t>
  </si>
  <si>
    <t>Damhirsche inkl. Jungtiere, 1 Einheit=2 Tiere</t>
  </si>
  <si>
    <t>Brebis laitière, y c. agneaux et part de bélier</t>
  </si>
  <si>
    <t>Agneau engraissé au pâturage</t>
  </si>
  <si>
    <t>Divers</t>
  </si>
  <si>
    <t>Compte de résultat</t>
  </si>
  <si>
    <t>A2</t>
  </si>
  <si>
    <t>[ - ] Nährstoffbedarf der Kulturen</t>
  </si>
  <si>
    <t>C</t>
  </si>
  <si>
    <t>A2 - C</t>
  </si>
  <si>
    <t>Lagerung 1)</t>
  </si>
  <si>
    <t>Fermages, dépenses salariées</t>
  </si>
  <si>
    <t>plaine</t>
  </si>
  <si>
    <t>Le tableau est plein, vous ne pouvez pas saisir une culture supplémentaire.</t>
  </si>
  <si>
    <t>Système de stabulation 2</t>
  </si>
  <si>
    <t>Correction libre</t>
  </si>
  <si>
    <t>30 - 50 % déclivité</t>
  </si>
  <si>
    <t>&gt; 50 % déclivité</t>
  </si>
  <si>
    <t>Sonstiger betriebsfremder Erfolg</t>
  </si>
  <si>
    <t>Veuillez enregistrer ce classeur sous un autre nom!</t>
  </si>
  <si>
    <t xml:space="preserve">    - Höhere Erträge nur mit Ertragsgutachten möglich</t>
  </si>
  <si>
    <t>Controllare la cessione di foraggio di base!</t>
  </si>
  <si>
    <t>Getreidestoppelbrache mit max. 1 Stoppelbearbeitung</t>
  </si>
  <si>
    <t>Hanfstoppeln</t>
  </si>
  <si>
    <t>Formular C:  Nährstoffbedarf der Kulturen</t>
  </si>
  <si>
    <t>C1: Bedarf für die Grundfutterproduktion</t>
  </si>
  <si>
    <t>Standard-ertrag</t>
  </si>
  <si>
    <t>Feld-ertrag</t>
  </si>
  <si>
    <t>Contrib. pour surfaces viticoles en pente</t>
  </si>
  <si>
    <t>Schafe ohne Milchschafe</t>
  </si>
  <si>
    <t>Colza, tournesol, lin à huile</t>
  </si>
  <si>
    <t xml:space="preserve">      traits des catégories suivantes : vaches laitières, chèvres et brebis. Indiquer les quantités effectives.</t>
  </si>
  <si>
    <t>Zuchtsauen, nicht säugend</t>
  </si>
  <si>
    <t>Truies d'élevage non-allaitantes</t>
  </si>
  <si>
    <t>chk_Dungplan</t>
  </si>
  <si>
    <t>Butt Impex</t>
  </si>
  <si>
    <t>Text 2</t>
  </si>
  <si>
    <t>Text 4</t>
  </si>
  <si>
    <t>Text 10</t>
  </si>
  <si>
    <t>Text 12</t>
  </si>
  <si>
    <t>Text 13</t>
  </si>
  <si>
    <t>Butt NB1</t>
  </si>
  <si>
    <t>Acquisto di foraggio</t>
  </si>
  <si>
    <t>Zusatzbeitrag für herbizidlose, schonende Bodenbearbeitung</t>
  </si>
  <si>
    <t>[FehlerBedingung] und [FehlerMeldung] haben nicht gleichviele Teilflächen</t>
  </si>
  <si>
    <t>davon Haushalt</t>
  </si>
  <si>
    <t>Arbeitskräfte</t>
  </si>
  <si>
    <t>Total AKh-Angebot pro Jahr</t>
  </si>
  <si>
    <t>Total AKh-Bedarf</t>
  </si>
  <si>
    <t>Zukauf Vormastkälber</t>
  </si>
  <si>
    <t>C2: Zwischentotal  Ackerkulturen, Hecken und Streuflächen</t>
  </si>
  <si>
    <t xml:space="preserve"> (ohne Zweitkulturen)</t>
  </si>
  <si>
    <t>C2</t>
  </si>
  <si>
    <t>Varianti</t>
  </si>
  <si>
    <t>Superfici</t>
  </si>
  <si>
    <t>Inventario bestiame</t>
  </si>
  <si>
    <t>18-35%, 3 Kons.-schnitte, hoch</t>
  </si>
  <si>
    <t>35-50%, 3 Kons.-schnitte, tief</t>
  </si>
  <si>
    <t>35-50%, 3 Kons.-schnitte, mittel</t>
  </si>
  <si>
    <t>Location quantité complémentaire</t>
  </si>
  <si>
    <t>Amortiss. quantité contractuelle achetée</t>
  </si>
  <si>
    <t>Location quantité complémentaire lait</t>
  </si>
  <si>
    <t>Location quantité compl. lait</t>
  </si>
  <si>
    <t>MB VL sans coûts quantité contractuelle</t>
  </si>
  <si>
    <t>Rotations- und Buntbrachen, Saat bis 31.8 oder ab 2. Winter</t>
  </si>
  <si>
    <t xml:space="preserve">Grunddaten Mutterkuhbestand </t>
  </si>
  <si>
    <t>Reprises selon HODUFLU</t>
  </si>
  <si>
    <t>Cessions selon HODUFLU</t>
  </si>
  <si>
    <t>Auslastung</t>
  </si>
  <si>
    <t>Occupation</t>
  </si>
  <si>
    <t>Weiteres:</t>
  </si>
  <si>
    <t>Mois d'été:</t>
  </si>
  <si>
    <t>Zurück zum Blatt Tierbestand, Tierzahlen in andere Blätter übertragen</t>
  </si>
  <si>
    <t>Stallreinigung und Tierpflege Schweine</t>
  </si>
  <si>
    <t>Stallreinigung Legehennen</t>
  </si>
  <si>
    <t>Mouture d'épis et de spathes</t>
  </si>
  <si>
    <t>Légumes de conserve (plein champ)</t>
  </si>
  <si>
    <t>Salate Kopf-, Eisberg, Lollo</t>
  </si>
  <si>
    <t>Schnittlauch (Kultur)</t>
  </si>
  <si>
    <t>Selven</t>
  </si>
  <si>
    <t>Ertrag tot.</t>
  </si>
  <si>
    <t>Verrats d'élevage</t>
  </si>
  <si>
    <t>Truies allaitantes</t>
  </si>
  <si>
    <t>Porcelets sevrés</t>
  </si>
  <si>
    <t>Volaille</t>
  </si>
  <si>
    <t>Poules pondeuses, coqs d'élevage</t>
  </si>
  <si>
    <t>Poulettes</t>
  </si>
  <si>
    <t>10000 animaux</t>
  </si>
  <si>
    <t>Dirzahl erstellen</t>
  </si>
  <si>
    <t>Autocorrection d'erreurs de saisie</t>
  </si>
  <si>
    <t>Cette macro ne fonctionne que depuis le budget d'exploitation!</t>
  </si>
  <si>
    <t>Indications générales</t>
  </si>
  <si>
    <t>Contributions à la biodiversité (CBD, Art. 55 à 60 et Annexe 7 OPD)</t>
  </si>
  <si>
    <t>Talzone</t>
  </si>
  <si>
    <t>Surfaces à litière et tourbières</t>
  </si>
  <si>
    <t>% MS</t>
  </si>
  <si>
    <t>Marges brutes par unité</t>
  </si>
  <si>
    <t>unité / branche de production</t>
  </si>
  <si>
    <t>quantité</t>
  </si>
  <si>
    <t>prix</t>
  </si>
  <si>
    <t>montant</t>
  </si>
  <si>
    <t>rendement supérieur</t>
  </si>
  <si>
    <t>Gebäudeversicherung</t>
  </si>
  <si>
    <t>Intérêts des dettes de la communauté</t>
  </si>
  <si>
    <t>Tabakstoppeln</t>
  </si>
  <si>
    <t>Espèce animale /</t>
  </si>
  <si>
    <t>Système de stabulation</t>
  </si>
  <si>
    <t>unité</t>
  </si>
  <si>
    <t>Facteur</t>
  </si>
  <si>
    <t>PPE /</t>
  </si>
  <si>
    <t>UGBF1) /</t>
  </si>
  <si>
    <t>Saisir l'élevage comme unité combinée oui / non</t>
  </si>
  <si>
    <t>35 - 50 % Neigung</t>
  </si>
  <si>
    <t>Text 61</t>
  </si>
  <si>
    <t>Bovins de plus de 120 à 365 jours</t>
  </si>
  <si>
    <t>Kulturlandschaftsbeiträge**</t>
  </si>
  <si>
    <t>Versorgungssicherheitsbeiträge**</t>
  </si>
  <si>
    <t>Contributions à la sécurité de l'approvisionnement**</t>
  </si>
  <si>
    <t>Verzehr während Sömmerung</t>
  </si>
  <si>
    <t>Sömmerungstage</t>
  </si>
  <si>
    <t>d'animaux</t>
  </si>
  <si>
    <t>de jours</t>
  </si>
  <si>
    <t>Casa</t>
  </si>
  <si>
    <t>Prestazioni particolari</t>
  </si>
  <si>
    <t>nessuna</t>
  </si>
  <si>
    <t>Nettoeinnahmen Privat (Nebeneinkommen)</t>
  </si>
  <si>
    <t>Reserve/Manko</t>
  </si>
  <si>
    <t>Aufteilung des nettomonetären Umlaufvermögens im 1. Jahr</t>
  </si>
  <si>
    <t>Calcolo del carico di bestiame</t>
  </si>
  <si>
    <t>Grundfutterverzehr auf dem Betrieb</t>
  </si>
  <si>
    <t>Total Ausgaben</t>
  </si>
  <si>
    <t>Autres porcins sans porcelets allaités</t>
  </si>
  <si>
    <t>Pensioni alimentari</t>
  </si>
  <si>
    <t>Spese private</t>
  </si>
  <si>
    <t>Tasse</t>
  </si>
  <si>
    <t>Bovins jusqu'à 120 jours</t>
  </si>
  <si>
    <t>Pour chaque enfant supplémentaire</t>
  </si>
  <si>
    <t>Remboursements des dettes de la communauté</t>
  </si>
  <si>
    <t>Montant à répartir selon travail</t>
  </si>
  <si>
    <t>Ferkel abgesetzt bis 26-30 kg</t>
  </si>
  <si>
    <t>Porcelet sevré jusqu'à 26-30 kg</t>
  </si>
  <si>
    <t>Mastschweine, Remonten über 26 kg und abgesetzte Ferkel</t>
  </si>
  <si>
    <t>Porcs à l'engrais, porcs de renouvellement de plus de 26 kg et porcelets sevrés</t>
  </si>
  <si>
    <t>Jungvieh, 160 bis 365-tägig</t>
  </si>
  <si>
    <t>Jungvieh, bis 160-tägig</t>
  </si>
  <si>
    <t>Mastkälber, 60 bis 220 kg</t>
  </si>
  <si>
    <t>Mastkälber, 60 bis 220 kg, pro Jahr</t>
  </si>
  <si>
    <t>Andere Raufutterverzehrer</t>
  </si>
  <si>
    <t>Prairies temp. et jachère tournante</t>
  </si>
  <si>
    <t>Autres cultures</t>
  </si>
  <si>
    <t>Total Produktion ausserhalb der Futterfläche (FF)</t>
  </si>
  <si>
    <t>10 Tiere</t>
  </si>
  <si>
    <t>20 Tiere</t>
  </si>
  <si>
    <t>40 Tiere</t>
  </si>
  <si>
    <t>Silo a trincea</t>
  </si>
  <si>
    <t>Corte, piazza di lavaggio (da rilevare per ogni azienda)</t>
  </si>
  <si>
    <t>Pulizia</t>
  </si>
  <si>
    <t>Mezzi non monetari</t>
  </si>
  <si>
    <t>Arbeiten durch Dritte, Maschinenmiete</t>
  </si>
  <si>
    <t>C1: Total ventes de fourrages issus des prairies et pâturages</t>
  </si>
  <si>
    <t>Teneurs du lisier dilué</t>
  </si>
  <si>
    <t>Fosse à purin 2</t>
  </si>
  <si>
    <t>Fosse à purin 3</t>
  </si>
  <si>
    <t>** Keine Beiträge werden ausgerichtet für das Anlegen von Weizen oder Triticale nach Mais</t>
  </si>
  <si>
    <t>Beitrag für Spritzen mit separatem Spülwasserkreislauf</t>
  </si>
  <si>
    <t>Contribution pour les pulvérisateurs équipés d’un système de rinçage séparé</t>
  </si>
  <si>
    <t>Contributo per irroratrici con sistema di lavaggio a circuito separato</t>
  </si>
  <si>
    <t>Bis 2022 wird ein einmaliger Betrag für die Ausrüstung der Pflanzenschutzgeräte bezahlt</t>
  </si>
  <si>
    <t>Une contribution unique est versée jusqu’en 2022 pour l’acquisition des pulvérisateurs.</t>
  </si>
  <si>
    <t>Per l'equipaggiamento delle irroratrici è corrisposto un importo unico. I contributi sono versati fino al 2022.</t>
  </si>
  <si>
    <t>Beitrag für stickstoffreduzierte Phasenfütterung von Schweinen</t>
  </si>
  <si>
    <t>Contribution pour une alimentation biphase des porcs appauvrie en matière azotée</t>
  </si>
  <si>
    <t>UMOS: Suppléments pour droit foncier, droit du bail, (l'aménagement du territoire),</t>
  </si>
  <si>
    <t>les améliorations structurelles, les mesures d’accompagnement social.</t>
  </si>
  <si>
    <t>Einzelbetrieb oder Gemeinschaft</t>
  </si>
  <si>
    <t>Animaux consommant du fourrage grossier effectivement mis en estivage</t>
  </si>
  <si>
    <t>Total contributions à l'efficience des ressources (annuel)</t>
  </si>
  <si>
    <t>Partie D: Bilan des fourrages</t>
  </si>
  <si>
    <t>Teil D: Bilanz</t>
  </si>
  <si>
    <t>100 vaches, lait pris à la ferme</t>
  </si>
  <si>
    <t>Wasserzufluss gemäss Formular B in m³</t>
  </si>
  <si>
    <t>Apports d'eau selon formulaire B en m³</t>
  </si>
  <si>
    <t>Réduction selon limite par UMOS (Voir feuille "UMOS et limitations")</t>
  </si>
  <si>
    <t>zur Dateneingabe</t>
  </si>
  <si>
    <t xml:space="preserve">listes déroulantes </t>
  </si>
  <si>
    <t>Ausgaben feste Einrichtungen</t>
  </si>
  <si>
    <t>Dépenses pour installations fixes</t>
  </si>
  <si>
    <t>Moyens à disposition</t>
  </si>
  <si>
    <t>Compte d'exploitation</t>
  </si>
  <si>
    <t xml:space="preserve"> . Y avez-vous déjà saisi les animaux de votre exploitation?</t>
  </si>
  <si>
    <t>Typ de stabulation</t>
  </si>
  <si>
    <t>Heures tracteur (hT)</t>
  </si>
  <si>
    <t>- Beitragsberechtigte Landwirtschaftliche Nutzfläche: Landwirtschaftliche Nutzfläche, ohne Baumschulen, Forstpflanzen, Christbäume,</t>
  </si>
  <si>
    <t>Coûts variables des fourrages grossiers</t>
  </si>
  <si>
    <t>Engraissement bovin</t>
  </si>
  <si>
    <t>bre</t>
  </si>
  <si>
    <t>unités</t>
  </si>
  <si>
    <t>Fac-</t>
  </si>
  <si>
    <t>teur</t>
  </si>
  <si>
    <t>contri-</t>
  </si>
  <si>
    <t>bution</t>
  </si>
  <si>
    <t>Déduction /</t>
  </si>
  <si>
    <t>Nebeneinkommen und Eigenkapital Partner</t>
  </si>
  <si>
    <t>Unselbständige Aktivitäten</t>
  </si>
  <si>
    <t>Msg- und Input-Boxen</t>
  </si>
  <si>
    <t>Report UMOS pour paiements directs</t>
  </si>
  <si>
    <t>C3: Bedarf Spezial- und Dauerkulturen</t>
  </si>
  <si>
    <t>Normdüngungsfaktor</t>
  </si>
  <si>
    <t>Weitere Fehlermeldungen anzeigen?</t>
  </si>
  <si>
    <t>Fehlermeldung</t>
  </si>
  <si>
    <t>Gastronomie, Partyraum 1)</t>
  </si>
  <si>
    <t>Gastronomie, salles pour réceptions, fêtes 1)</t>
  </si>
  <si>
    <t>Ferien auf dem Bauernhof 2)</t>
  </si>
  <si>
    <t>Schlaf im Stroh 2)</t>
  </si>
  <si>
    <t>Consommation</t>
  </si>
  <si>
    <t xml:space="preserve">     E1</t>
  </si>
  <si>
    <t xml:space="preserve">     E2</t>
  </si>
  <si>
    <t>S  =  cultures spéciales
*)      Les chiffres se réfèrent au formulaire A
         du relevé des structures agricoles.
**)    Uniquement surface culture principale, reste sous 2. ou 3. culture;</t>
  </si>
  <si>
    <t>Nettoyage en hiver</t>
  </si>
  <si>
    <t>Production lisier non dilué par mois</t>
  </si>
  <si>
    <t>aller au tableau "rations fourrages"</t>
  </si>
  <si>
    <t>Haut</t>
  </si>
  <si>
    <t>Bas, pas triées, récolte par tiers</t>
  </si>
  <si>
    <t>Surf. agricole utile</t>
  </si>
  <si>
    <t>Mobile</t>
  </si>
  <si>
    <t>Handy</t>
  </si>
  <si>
    <t>Wohnhaus</t>
  </si>
  <si>
    <t>Habitation</t>
  </si>
  <si>
    <t>Akh</t>
  </si>
  <si>
    <t>Saldo</t>
  </si>
  <si>
    <t>Betriebsfremde Finanzanlagen</t>
  </si>
  <si>
    <t>Zinssatz (%)</t>
  </si>
  <si>
    <t>Dünger</t>
  </si>
  <si>
    <t>übrige</t>
  </si>
  <si>
    <t>total pro ha</t>
  </si>
  <si>
    <t>Surface herbagère et surfaces à litière (ha)</t>
  </si>
  <si>
    <t>% surf. herbagère</t>
  </si>
  <si>
    <t>Anz. Einheiten x Stunden x Weidetage x Nges</t>
  </si>
  <si>
    <t>t</t>
  </si>
  <si>
    <t>[+]</t>
  </si>
  <si>
    <t>Gülle:</t>
  </si>
  <si>
    <t>Sojabohnen</t>
  </si>
  <si>
    <t>Öllein</t>
  </si>
  <si>
    <t>Intérêts</t>
  </si>
  <si>
    <t>Rembours.</t>
  </si>
  <si>
    <t>Fermage / location</t>
  </si>
  <si>
    <t>Total betriebsspezifischer Ausnutzungsgrad</t>
  </si>
  <si>
    <t>Gesamtbetrieblich</t>
  </si>
  <si>
    <t>Ort, Datum :</t>
  </si>
  <si>
    <t xml:space="preserve">Vergärungsprodukte </t>
  </si>
  <si>
    <t>Notwendiger Strohzukauf</t>
  </si>
  <si>
    <t>Pl. médicin. &amp; aromatiques 1 an</t>
  </si>
  <si>
    <t>Gras-</t>
  </si>
  <si>
    <t>Brebis traites</t>
  </si>
  <si>
    <t>Chèvres traites</t>
  </si>
  <si>
    <t>par mois</t>
  </si>
  <si>
    <t>Kulturlandschaftsbeiträge (KLB, Art. 42 bis 49 und Anhang 7 DZV)</t>
  </si>
  <si>
    <t>Contributions au paysage cultivé (CPC, Art. 42 à 49 et Annexe 7 OPD)</t>
  </si>
  <si>
    <t>Commentaire</t>
  </si>
  <si>
    <t>C5: Grundfutterproduktion ausserhalb der Futterfläche</t>
  </si>
  <si>
    <t>C4: Total achats d'autres fourrages</t>
  </si>
  <si>
    <t>&lt; 18%, 1 coupe de conserv., haut</t>
  </si>
  <si>
    <t>18-35%, 2 coupes de conserv., bas</t>
  </si>
  <si>
    <t>abzüglich Zollrückerstattung</t>
  </si>
  <si>
    <t>Maschinen- und Gerätekosten</t>
  </si>
  <si>
    <t>Maschinenkategorie</t>
  </si>
  <si>
    <t>Reparaturen</t>
  </si>
  <si>
    <t xml:space="preserve">Saatgutproduktion </t>
  </si>
  <si>
    <t>Sitzplatz</t>
  </si>
  <si>
    <t>UGBB total</t>
  </si>
  <si>
    <t>Intervalle entre les naissances</t>
  </si>
  <si>
    <t>Arbeitsbedarf total</t>
  </si>
  <si>
    <t>für Betrieb, Nebenerwerb und Haushalt</t>
  </si>
  <si>
    <t>pour explotatoin, activité accessoire et ménage</t>
  </si>
  <si>
    <t>Besoins de main-d'œuvre totaux</t>
  </si>
  <si>
    <t>chk_EigenRemontierung</t>
  </si>
  <si>
    <t>Nombre total de cultures</t>
  </si>
  <si>
    <t>Nombre de cultures rempli?</t>
  </si>
  <si>
    <t>1) Maïs:</t>
  </si>
  <si>
    <t>und Jahr</t>
  </si>
  <si>
    <t>Bedarf</t>
  </si>
  <si>
    <t>Mist</t>
  </si>
  <si>
    <t>Gülle</t>
  </si>
  <si>
    <t>100 MPP</t>
  </si>
  <si>
    <t>Christbäume</t>
  </si>
  <si>
    <t>Contributions au paysage cultivé**</t>
  </si>
  <si>
    <t>Total, utilisation de fourrages grossiers</t>
  </si>
  <si>
    <t>Nverf =</t>
  </si>
  <si>
    <t>Güllenanfall (m³)</t>
  </si>
  <si>
    <t>Production de purin (m³)</t>
  </si>
  <si>
    <t>Menge in m³</t>
  </si>
  <si>
    <t>Quantité en m³</t>
  </si>
  <si>
    <t>Biodiversitätsbeitrag (Qualitätstufe 2)</t>
  </si>
  <si>
    <t>Contribution à la biodiversité (qualité 2)</t>
  </si>
  <si>
    <t>Choux précoce, sous plastique</t>
  </si>
  <si>
    <t>Choux de garde</t>
  </si>
  <si>
    <t>Choux pour choucroute</t>
  </si>
  <si>
    <t>In dieser Kategorie sind keine Tiere vorhanden, jedoch Abzüge eingetragen oder die eingetragenen Abzüge übersteigen die Tierzahl!</t>
  </si>
  <si>
    <t>Véhicule</t>
  </si>
  <si>
    <t>Coûts var.</t>
  </si>
  <si>
    <t>Total produit hors surface fourragère (SF)</t>
  </si>
  <si>
    <t>Prairies extensifs et peu intensives, surfaces à litière</t>
  </si>
  <si>
    <t>zusätzlich Bauland ohne Beitragsberechtigung</t>
  </si>
  <si>
    <t>additionel terrain à bâtir (TAB) ne donnent droit à aucune contribution</t>
  </si>
  <si>
    <t>entspricht</t>
  </si>
  <si>
    <t>correspond à</t>
  </si>
  <si>
    <t>Engrais importés (en UGBF)</t>
  </si>
  <si>
    <t>UGBF total</t>
  </si>
  <si>
    <t>Légumes de plein champ</t>
  </si>
  <si>
    <t>Rinder u. Wasserbüffel &gt; 4 Mte., Tiere der Pferdegattung &gt; 30 Mte., Ziegen  &gt; 1 Jahr</t>
  </si>
  <si>
    <t>Désignation</t>
  </si>
  <si>
    <t>Anzahl Einheiten*</t>
  </si>
  <si>
    <t>Nombre d'unités*</t>
  </si>
  <si>
    <t>Mittel, nicht sortiert</t>
  </si>
  <si>
    <t>S a i s i r   l e s   p r o d u c t i o n s    d e   l i s i e r   &amp;   f u m i e r</t>
  </si>
  <si>
    <t>Catégorie d'animal</t>
  </si>
  <si>
    <t>Teneur par kg de fourrage</t>
  </si>
  <si>
    <t xml:space="preserve">    Les numéros des catégories non-impliquées dans le bilan I/E, ne doivent pas être utilisés.</t>
  </si>
  <si>
    <t>Höchst-</t>
  </si>
  <si>
    <t>Entwicklung des langfristigen Fremdkapitals</t>
  </si>
  <si>
    <t>Evolutions des emprunts à long terme</t>
  </si>
  <si>
    <t>&lt; 18%, 4 Kons.-schnitte, tief</t>
  </si>
  <si>
    <t>&lt; 18%, 4 Kons.-schnitte, mittel</t>
  </si>
  <si>
    <t>Catégorie d'animaux</t>
  </si>
  <si>
    <t>Nb</t>
  </si>
  <si>
    <t>d'unité</t>
  </si>
  <si>
    <t>Absen-</t>
  </si>
  <si>
    <t>Utili lordi</t>
  </si>
  <si>
    <t>Costo del foraggio grezzo</t>
  </si>
  <si>
    <t>Sicurezza dell'approvvigionamento</t>
  </si>
  <si>
    <t>Biodiversità</t>
  </si>
  <si>
    <t>Qualità del paesaggio</t>
  </si>
  <si>
    <t>Cultures spéciales sans les surfaces viticoles en forte pente et en terrasses</t>
  </si>
  <si>
    <t>Surfaces viticoles en forte pente et en terrasses</t>
  </si>
  <si>
    <t>Terrains en pente dans la région de montagne et des collines</t>
  </si>
  <si>
    <t>Terrains en forte pente dans la région de montagne et des collines</t>
  </si>
  <si>
    <t>Sistemi di produzione</t>
  </si>
  <si>
    <t>Efficienza delle risorse</t>
  </si>
  <si>
    <t>Hochstammbäume</t>
  </si>
  <si>
    <t>Produktionsform</t>
  </si>
  <si>
    <t>Verkauf Stier</t>
  </si>
  <si>
    <t>Vente taureaux</t>
  </si>
  <si>
    <t>Vente remontes d'engraissement</t>
  </si>
  <si>
    <t>Verkauf Natura-Beef</t>
  </si>
  <si>
    <t>Vente Natura-Beef</t>
  </si>
  <si>
    <t>Verkauf SwissPrimBeef</t>
  </si>
  <si>
    <t>&lt; 18%, 2 Kons.-schnitte, hoch</t>
  </si>
  <si>
    <t>C3: Total Zufuhr Wiesen- und Weidefutter</t>
  </si>
  <si>
    <t>* siehe Register "SAK und RED"</t>
  </si>
  <si>
    <t>* Voir feuille "UMOS et RED"</t>
  </si>
  <si>
    <t>Schuldentilgung der Gemeinschaft</t>
  </si>
  <si>
    <t>Ausgaben für Fremdkapital der Gemeinschaft</t>
  </si>
  <si>
    <t>Paiements directs et autres contributions pour le report dans les tableaux de résultat et des flux monétaires</t>
  </si>
  <si>
    <t>Saum auf Ackerfläche ansäen</t>
  </si>
  <si>
    <t>Zuckerrüben, Futterrüben</t>
  </si>
  <si>
    <t>Eiweisserbsen, Acker- u. Sojabohnen</t>
  </si>
  <si>
    <t>Céréales, colza</t>
  </si>
  <si>
    <t>Contributo di declività per i vigneti</t>
  </si>
  <si>
    <t>tief mechanisiert</t>
  </si>
  <si>
    <t>Produzione di letame (t)</t>
  </si>
  <si>
    <t>Prod per unità</t>
  </si>
  <si>
    <t>Fact. de correct. pondérés selon surface</t>
  </si>
  <si>
    <t>Légumes en serre (tunnel)</t>
  </si>
  <si>
    <t>Report dans formulaire SB2</t>
  </si>
  <si>
    <t>Personalkosten</t>
  </si>
  <si>
    <t>Person</t>
  </si>
  <si>
    <t>Berechnung Bruttolohn</t>
  </si>
  <si>
    <t>Barlohn</t>
  </si>
  <si>
    <t>pro Monat</t>
  </si>
  <si>
    <t>Rindviehmast</t>
  </si>
  <si>
    <t>Intensivmast</t>
  </si>
  <si>
    <t xml:space="preserve"> = Cash-flow avant privé et avant intérêts</t>
  </si>
  <si>
    <t>USM</t>
  </si>
  <si>
    <t>Riduzioni</t>
  </si>
  <si>
    <t>Exemple: aubergine</t>
  </si>
  <si>
    <t>jachère florale</t>
  </si>
  <si>
    <t>Surface agricole utile (SAU)</t>
  </si>
  <si>
    <t>Teilbetriebliche Produktionsformen</t>
  </si>
  <si>
    <t>Promemoria: condizioni per l'entrata in materia e criteri di limitazione</t>
  </si>
  <si>
    <t>Saississez svp le nombre d'UGBFG totaux de votre exploitation</t>
  </si>
  <si>
    <t>Sie erhalten KEINE Beiträge</t>
  </si>
  <si>
    <t>Vous n'obtenez AUCUNE contribution</t>
  </si>
  <si>
    <t>Assurances, divers</t>
  </si>
  <si>
    <t>Saillies, inséminations</t>
  </si>
  <si>
    <t>Colrave de transformation</t>
  </si>
  <si>
    <t>Hauptkultur</t>
  </si>
  <si>
    <t>Nr.</t>
  </si>
  <si>
    <t>Ertrag</t>
  </si>
  <si>
    <t>TS</t>
  </si>
  <si>
    <t>*)</t>
  </si>
  <si>
    <t>dt total</t>
  </si>
  <si>
    <t>Winterweizen</t>
  </si>
  <si>
    <t xml:space="preserve">Naturwiese </t>
  </si>
  <si>
    <t>extensiv</t>
  </si>
  <si>
    <t>Foin, regain ventilé</t>
  </si>
  <si>
    <t>Emissionsmindernde Ausbringverfahren</t>
  </si>
  <si>
    <t>Techn. d'épandage réduis. les émissions</t>
  </si>
  <si>
    <t>Ø-Ertrag</t>
  </si>
  <si>
    <t xml:space="preserve">Naturwiese       extensiv </t>
  </si>
  <si>
    <t>a</t>
  </si>
  <si>
    <t>Naturwiese/      mittelintensiv</t>
  </si>
  <si>
    <t>f</t>
  </si>
  <si>
    <t>(Mäh-) Weide    mittelintensiv</t>
  </si>
  <si>
    <t>Naturwiese/              intensiv</t>
  </si>
  <si>
    <t>g</t>
  </si>
  <si>
    <t>Nährstoffanfall je Einheit und Jahr</t>
  </si>
  <si>
    <t>Nährstoffanfall je Jahr</t>
  </si>
  <si>
    <t>Dialog_Gem2</t>
  </si>
  <si>
    <t>Dialog_Gem1</t>
  </si>
  <si>
    <t>Alimentation hivernale manuelle, évacuation mécan. du fumier</t>
  </si>
  <si>
    <t>pro 100 kg Jahresmilchmenge unter 7000 kg</t>
  </si>
  <si>
    <t>ad libitum</t>
  </si>
  <si>
    <t>fix. de N</t>
  </si>
  <si>
    <t>N corr.</t>
  </si>
  <si>
    <t>Sarclée</t>
  </si>
  <si>
    <t>davon</t>
  </si>
  <si>
    <t>Bei pauschaler Erfassung Werte pro Betrieb eingeben!</t>
  </si>
  <si>
    <t>Chicorée d'automne</t>
  </si>
  <si>
    <t>18-35%, 1 Kons.-schnitt, hoch</t>
  </si>
  <si>
    <t>Lein</t>
  </si>
  <si>
    <t>Lin</t>
  </si>
  <si>
    <t>90-120 Tge</t>
  </si>
  <si>
    <t>&gt;120 Tge</t>
  </si>
  <si>
    <t>&lt;180 Tge</t>
  </si>
  <si>
    <t xml:space="preserve"> + Alp</t>
  </si>
  <si>
    <t>korr.</t>
  </si>
  <si>
    <t>eff.</t>
  </si>
  <si>
    <t>rel.</t>
  </si>
  <si>
    <t>Mittelfluss Landwirtschaft vor Zinsen</t>
  </si>
  <si>
    <t>Mittelfluss vor Privat u. Zinsen</t>
  </si>
  <si>
    <t>Saldo Investitionsbereich</t>
  </si>
  <si>
    <t>Fraises pluriannuelles</t>
  </si>
  <si>
    <t>Projektvarianten</t>
  </si>
  <si>
    <t>Variante 1</t>
  </si>
  <si>
    <t>abzug</t>
  </si>
  <si>
    <t>ent-</t>
  </si>
  <si>
    <t>GVE/</t>
  </si>
  <si>
    <t>Tier/Platz</t>
  </si>
  <si>
    <t>(Ack.b.)</t>
  </si>
  <si>
    <t>(Fu.b.)</t>
  </si>
  <si>
    <t>reinigung</t>
  </si>
  <si>
    <t>Gewicht-Sommer:</t>
  </si>
  <si>
    <t>mistung</t>
  </si>
  <si>
    <t>Nombre d'animaux au parcour dépasse le nombre d'animaux ou est négatif!</t>
  </si>
  <si>
    <t>Nverf in % von Nges</t>
  </si>
  <si>
    <t>Paille</t>
  </si>
  <si>
    <t xml:space="preserve">prod. </t>
  </si>
  <si>
    <t>laitière Ø</t>
  </si>
  <si>
    <t>Summe</t>
  </si>
  <si>
    <t>Stück</t>
  </si>
  <si>
    <t>Kühe</t>
  </si>
  <si>
    <t>Legehennen Kotband</t>
  </si>
  <si>
    <t>Kraftfutterverz. für Tierkategorie in 1. Zeile</t>
  </si>
  <si>
    <t>Cultures sous abri sans fondations</t>
  </si>
  <si>
    <t>Investissements de remplacement</t>
  </si>
  <si>
    <t>Volierenhaltung mit Kaltscharrraum, viel Handarbeit</t>
  </si>
  <si>
    <t>500 Tiere</t>
  </si>
  <si>
    <t>Etat au 1.1</t>
  </si>
  <si>
    <t>18-35%, 4 coupes de conserv., moyen</t>
  </si>
  <si>
    <t>18-35%, 4 coupes de conserv., haut</t>
  </si>
  <si>
    <t>total</t>
  </si>
  <si>
    <t>heiten</t>
  </si>
  <si>
    <t xml:space="preserve">Les données de ce fichier ne pourront pas être importées; les causes possibles sont les suivantes: </t>
  </si>
  <si>
    <t>Un nombre saisi dépasse le nombre déclaré dans la feuille "Surface" !</t>
  </si>
  <si>
    <t xml:space="preserve">Les surfaces et les rendements des cultures doivent être saisis à la page 2. </t>
  </si>
  <si>
    <t xml:space="preserve"> Y avez-vous déjà saisi les surfaces et les rendements de votre exploitation?</t>
  </si>
  <si>
    <t>Gemüse Gewächshaus (Hochtunnel)</t>
  </si>
  <si>
    <t>Übertrag in Formular SB2</t>
  </si>
  <si>
    <t>peu intensif</t>
  </si>
  <si>
    <t>Récolter et enfiler à la main</t>
  </si>
  <si>
    <t>Rectangle 59</t>
  </si>
  <si>
    <t>Nährstoffanfall im Mist</t>
  </si>
  <si>
    <t>Mistmenge total in t</t>
  </si>
  <si>
    <t>maximal GVE pro ha Grünland</t>
  </si>
  <si>
    <t>Nettoangebot in dt TS</t>
  </si>
  <si>
    <t>Nutzungsart</t>
  </si>
  <si>
    <t>Lager-</t>
  </si>
  <si>
    <t>Le chiffre calculé automatiquement doit être contrôlé et év corrigé (l'onglet "Surfaces"), afin qu'il corresponde à la définition de la surface de base****.</t>
  </si>
  <si>
    <t>(=Surf. de base/2)</t>
  </si>
  <si>
    <t xml:space="preserve"> (= SE/Surface déterminante)</t>
  </si>
  <si>
    <t>Von Hand ernten und fädeln</t>
  </si>
  <si>
    <t>Indice de protection du sol exigé pour votre exploitation</t>
  </si>
  <si>
    <t>Suisse-Bilanz</t>
  </si>
  <si>
    <t>ja</t>
  </si>
  <si>
    <t>Limites max. des contrib.</t>
  </si>
  <si>
    <t>Réserve ou manque</t>
  </si>
  <si>
    <t xml:space="preserve">Verfügbar von </t>
  </si>
  <si>
    <t>HDA</t>
  </si>
  <si>
    <t>HDB</t>
  </si>
  <si>
    <t>Anspruch auf übrige DZ</t>
  </si>
  <si>
    <t>Zuschlag SAK</t>
  </si>
  <si>
    <t>Mehrarbeit AK-Bilanz</t>
  </si>
  <si>
    <t>Getreide und Raps</t>
  </si>
  <si>
    <t>18% - 35%</t>
  </si>
  <si>
    <t>Jahrliste1</t>
  </si>
  <si>
    <t>Betteraves rouges:récolte manuelle</t>
  </si>
  <si>
    <t>Persil</t>
  </si>
  <si>
    <t>Geflügelmist (Bodenhaltung, Kotgrube) in Gülle</t>
  </si>
  <si>
    <t>Geflügelkot (Kotband) in Gülle</t>
  </si>
  <si>
    <t>Pois protéagineux</t>
  </si>
  <si>
    <t>Féverole</t>
  </si>
  <si>
    <t>Légumes plein champ</t>
  </si>
  <si>
    <t>Légumes de conserve</t>
  </si>
  <si>
    <t>Rindviehmast, intensive Ausmast ab ca. 300 kg LG</t>
  </si>
  <si>
    <t>Bovin à l'engrais finition intensive  ~&gt; 300 kg PV</t>
  </si>
  <si>
    <t>Bovin à l'engrais intensif &gt; 65 kg, &lt;= 520 kg</t>
  </si>
  <si>
    <t>converti dès 2018</t>
  </si>
  <si>
    <t>umgerechnet ab 2018</t>
  </si>
  <si>
    <t>es handelt sich nicht um eine Betvor-Datei oder um eine Version älter als 8.2</t>
  </si>
  <si>
    <t>AEF, intensité production fourragère, stockage lisier</t>
  </si>
  <si>
    <t>Formulaire B: Production de fourrages sur l'exploitation</t>
  </si>
  <si>
    <t>Wegfuhr von Grundfutter überprüfen!</t>
  </si>
  <si>
    <t>Für das gewählte Erntejahr stehen diese Kategorien nicht zur Verfügung!</t>
  </si>
  <si>
    <t>Tiere /</t>
  </si>
  <si>
    <t>Weide-</t>
  </si>
  <si>
    <t>wemm-</t>
  </si>
  <si>
    <t>Wintererbsen</t>
  </si>
  <si>
    <t>Moyenne</t>
  </si>
  <si>
    <t>Nicht bezogene (+) / zusätzlich bezogene (-)  Mittel</t>
  </si>
  <si>
    <t xml:space="preserve"> UGB; à un seul compartiment sur litière profonde </t>
  </si>
  <si>
    <t xml:space="preserve"> UGB; à deux compartiments (litière profonde</t>
  </si>
  <si>
    <t xml:space="preserve"> UGB; à plusieurs compartiments</t>
  </si>
  <si>
    <t>Mais Ganzpflanzenwürfel</t>
  </si>
  <si>
    <t>giornaliero</t>
  </si>
  <si>
    <t>ventilato</t>
  </si>
  <si>
    <t>Erba</t>
  </si>
  <si>
    <t>differenza</t>
  </si>
  <si>
    <t>Razione estiva</t>
  </si>
  <si>
    <t>estate</t>
  </si>
  <si>
    <t>estensiva</t>
  </si>
  <si>
    <t>insilata</t>
  </si>
  <si>
    <t>bietola</t>
  </si>
  <si>
    <t>Resa in campo</t>
  </si>
  <si>
    <t>meno</t>
  </si>
  <si>
    <t>Colture</t>
  </si>
  <si>
    <t>Perdite</t>
  </si>
  <si>
    <t>Da ripartire</t>
  </si>
  <si>
    <t>Basis N-Ausnutzungsgrad</t>
  </si>
  <si>
    <t xml:space="preserve">   x    14]</t>
  </si>
  <si>
    <t>DB je Einheit</t>
  </si>
  <si>
    <t>a Hauptfutterfläche pro RDGVE</t>
  </si>
  <si>
    <t>DGVE Tiere eigen</t>
  </si>
  <si>
    <t>DGVE Total</t>
  </si>
  <si>
    <t>Bezugsansprüche der Partner</t>
  </si>
  <si>
    <t>Lieferungen und Mietwert eintragen!</t>
  </si>
  <si>
    <t>Terres ouvertes et cultures pérennes (1)</t>
  </si>
  <si>
    <t>Terre aperte e colture perenni (1)</t>
  </si>
  <si>
    <t>Raps, Soja, Sonnenblumen und Lein</t>
  </si>
  <si>
    <t>Type d'engrais</t>
  </si>
  <si>
    <t>Dati</t>
  </si>
  <si>
    <t>Generale</t>
  </si>
  <si>
    <t xml:space="preserve">Changement seulement possible pour UGB exploitation et UGB estivage, les totaux sont des valeurs calculées et non modifiables. </t>
  </si>
  <si>
    <t>Werte für Schweine aus Impex für Hofdüngerberechnung</t>
  </si>
  <si>
    <t xml:space="preserve"> - Maïs autres formes de culture</t>
  </si>
  <si>
    <t>Mindesttierbesatz/ha</t>
  </si>
  <si>
    <t>Charge min /ha</t>
  </si>
  <si>
    <t>SPB herbagères</t>
  </si>
  <si>
    <t>auf BFF Grünland</t>
  </si>
  <si>
    <t>Dauergrünfläche</t>
  </si>
  <si>
    <t>ausser BFF</t>
  </si>
  <si>
    <t>permanentes</t>
  </si>
  <si>
    <t>surf herb perma-</t>
  </si>
  <si>
    <t>nentes hors SPB</t>
  </si>
  <si>
    <t>Mindesttierbesatz</t>
  </si>
  <si>
    <t>/ha Dauergrünfläche</t>
  </si>
  <si>
    <t>temporaires</t>
  </si>
  <si>
    <t>SPB</t>
  </si>
  <si>
    <t>BFF</t>
  </si>
  <si>
    <t>Grünland**</t>
  </si>
  <si>
    <t>herbagères**</t>
  </si>
  <si>
    <t>Annexe 4: projets</t>
  </si>
  <si>
    <t>Solche Flächen sind im Blatt "D_Fläche" mit ha-Ertrag in den entsprechenden gelben Zellen einzutragen und werden dann nur mit dem Standard-N-Bedarf in die Suisse-Bilanz übertragen!</t>
  </si>
  <si>
    <t>Kosten feste Einrichtungen</t>
  </si>
  <si>
    <t>pro Spülsystem 50 % der Anschaffungskosten,</t>
  </si>
  <si>
    <t>gemolkene Kühe, Milchschafe und Milchziegen</t>
  </si>
  <si>
    <t>Planungsjahr 1</t>
  </si>
  <si>
    <t>dt MS prod. champ/</t>
  </si>
  <si>
    <t>dt MS par UGB</t>
  </si>
  <si>
    <t xml:space="preserve"> PP; poulailler sur sol grillagé ou fosse à excréments</t>
  </si>
  <si>
    <t xml:space="preserve"> PP; poulailler sur litière profonde</t>
  </si>
  <si>
    <t>Total UGB / PP</t>
  </si>
  <si>
    <t>Porcs à l'engrais 1)</t>
  </si>
  <si>
    <t>Verrats d'élevage 1)</t>
  </si>
  <si>
    <t>Truies allaitantes 1)</t>
  </si>
  <si>
    <t>Truies gestantes 1)</t>
  </si>
  <si>
    <t>kg Nges</t>
  </si>
  <si>
    <t>kg N</t>
  </si>
  <si>
    <t>Säugende Sauen</t>
  </si>
  <si>
    <t>Mais da granella</t>
  </si>
  <si>
    <t>Favino</t>
  </si>
  <si>
    <t>Salaire en espèces</t>
  </si>
  <si>
    <t>Cession de paille de céréales</t>
  </si>
  <si>
    <t xml:space="preserve">      et aire d'alimentation bétonnée) </t>
  </si>
  <si>
    <t xml:space="preserve">           (engrais, jeunes bovins)</t>
  </si>
  <si>
    <t>Inhaltsverzeichnis</t>
  </si>
  <si>
    <t>Seite</t>
  </si>
  <si>
    <t>preis</t>
  </si>
  <si>
    <t>innert 6 J.</t>
  </si>
  <si>
    <t>Stalles dans la salle de traite</t>
  </si>
  <si>
    <t>Installation de traite automatique</t>
  </si>
  <si>
    <t>tà</t>
  </si>
  <si>
    <t xml:space="preserve">  - Wiesen- und Weidefutter</t>
  </si>
  <si>
    <t>Q</t>
  </si>
  <si>
    <t>Riserva</t>
  </si>
  <si>
    <t>Barbabietola rossa, raccolta meccanica</t>
  </si>
  <si>
    <t>Barbabietola rossa, raccolta manuale</t>
  </si>
  <si>
    <t>non meccanizzata</t>
  </si>
  <si>
    <t>poco meccanizzata</t>
  </si>
  <si>
    <t>ben meccanizzata</t>
  </si>
  <si>
    <t>Améliorations foncières</t>
  </si>
  <si>
    <t>BFF Grünland (2)</t>
  </si>
  <si>
    <t>SPB herbagères (2)</t>
  </si>
  <si>
    <t>Gastronomie, Partyraum</t>
  </si>
  <si>
    <t>Indications:</t>
  </si>
  <si>
    <t>Hinweis:</t>
  </si>
  <si>
    <t>Kürzung des Gesamtbetrags der Direktzahlungen</t>
  </si>
  <si>
    <t>Réduction à appliquer au montant total des paiements directs:</t>
  </si>
  <si>
    <t>Beeren, Heil- und Gewürzpflanzen</t>
  </si>
  <si>
    <t>Aliment pour porcelets</t>
  </si>
  <si>
    <t>Epeautre</t>
  </si>
  <si>
    <t>Petits outillages et petit matériel</t>
  </si>
  <si>
    <t>Übergang</t>
  </si>
  <si>
    <t>Ressourceneffizienz</t>
  </si>
  <si>
    <t>Altezza del mucchio</t>
  </si>
  <si>
    <t>Quantità di base</t>
  </si>
  <si>
    <t>Spezialkulturen</t>
  </si>
  <si>
    <t>übrige offene
Ackerflächen</t>
  </si>
  <si>
    <t>übrige LN</t>
  </si>
  <si>
    <t>Flächenbeitrag</t>
  </si>
  <si>
    <t>BetVor light</t>
  </si>
  <si>
    <t>?</t>
  </si>
  <si>
    <t>Überdurchschn. Ertrag</t>
  </si>
  <si>
    <t>Originaltabelle: Name, Position und Grösse von Zeichnungsobjekten nach Anwenderschutz</t>
  </si>
  <si>
    <t>Einzelkulturbeiträge (Art.1 bis 6 EKBV)</t>
  </si>
  <si>
    <t>Anzahl Tiere im Laufhof übersteigt die Tierzahl oder ist negativ!</t>
  </si>
  <si>
    <t>Getreide</t>
  </si>
  <si>
    <t>30 vaches allaitantes</t>
  </si>
  <si>
    <t>chk_ExtFGetr</t>
  </si>
  <si>
    <t>chk_ExtRaps</t>
  </si>
  <si>
    <t>cmdRinderkategorien</t>
  </si>
  <si>
    <t>t x volume necessario</t>
  </si>
  <si>
    <t>Hochstamm-Feldobstbäume</t>
  </si>
  <si>
    <t>15.11.</t>
  </si>
  <si>
    <t>Berechnungsperiode:</t>
  </si>
  <si>
    <t>Modification des capitaux propres</t>
  </si>
  <si>
    <t>Flux monétaires</t>
  </si>
  <si>
    <t>Cashflow</t>
  </si>
  <si>
    <t>Kulturen in geschütztem Anbau o. Fundam.  S</t>
  </si>
  <si>
    <t>Kulturen in geschütztem Anbau m. Fundam. S</t>
  </si>
  <si>
    <t>Latte commercializzato</t>
  </si>
  <si>
    <t>capi</t>
  </si>
  <si>
    <t xml:space="preserve">    - Saisir la consommation de concentrés par catégorie d'animaux (par unité en kg MF) (feuille PLVH).</t>
  </si>
  <si>
    <t>Berechnung der Standard-Arbeitskräfte (SAK) für Direktzahlungen</t>
  </si>
  <si>
    <t>ha bzw. GVE</t>
  </si>
  <si>
    <t>Ansatz/Einheit</t>
  </si>
  <si>
    <t>Dünger zugeführt (in DGVE)</t>
  </si>
  <si>
    <t>Altitude</t>
  </si>
  <si>
    <t>Mode d'exploitation</t>
  </si>
  <si>
    <t>Affourag. hiver</t>
  </si>
  <si>
    <t>Zone production</t>
  </si>
  <si>
    <t>LN plus Bauland ohne Beitragsberechtigung</t>
  </si>
  <si>
    <t>SAU avec TAB ne donnent droit à aucune contrib.</t>
  </si>
  <si>
    <t>Besoins en paille de l'exploitation</t>
  </si>
  <si>
    <t>Beispiel: Aubergine</t>
  </si>
  <si>
    <t>SuiBi: Obst und Beeren</t>
  </si>
  <si>
    <t>Surface déterminante</t>
  </si>
  <si>
    <t>Superficie determinante</t>
  </si>
  <si>
    <t>(=Superficie di base/2)</t>
  </si>
  <si>
    <t>Surface de qualité 2</t>
  </si>
  <si>
    <t xml:space="preserve">Surface de base = Surface agricole utile donnant droit aux contributions, sauf </t>
  </si>
  <si>
    <t>Talzone (ohne Beitrag)</t>
  </si>
  <si>
    <t>Laufhof</t>
  </si>
  <si>
    <t>Principe: Il faut une correspondance avec le Suisse-Bilanz.</t>
  </si>
  <si>
    <t>Grundsatz: Übereinstimmung mit Suisse-Bilanz muss sein</t>
  </si>
  <si>
    <t>Marche à suivre:</t>
  </si>
  <si>
    <t>Vorgehen:</t>
  </si>
  <si>
    <t>Aires d'exercice imperméabilisées et exposées à la pluie</t>
  </si>
  <si>
    <t>Niveau de contributions</t>
  </si>
  <si>
    <t>Surface en ha</t>
  </si>
  <si>
    <t>Effect. animaux, UGB</t>
  </si>
  <si>
    <t>Coefficients</t>
  </si>
  <si>
    <t>Trutenmist in Gülle</t>
  </si>
  <si>
    <t>Absatzpotenzial</t>
  </si>
  <si>
    <t>Bei Betrieben mit gleichzeitig verschiedenen Maisanbauformen wird dieser</t>
  </si>
  <si>
    <t>Volume en litre</t>
  </si>
  <si>
    <t>Talgebiet</t>
  </si>
  <si>
    <t>Libre service</t>
  </si>
  <si>
    <t>Concentrés</t>
  </si>
  <si>
    <t>Cons. MS de base</t>
  </si>
  <si>
    <t>Pour l'année de récolte choisie, ces catégories ne sont pas à disposition!</t>
  </si>
  <si>
    <t>grossiers</t>
  </si>
  <si>
    <t>Stockage fourrages</t>
  </si>
  <si>
    <t>Maïs plante, maïs ensilage</t>
  </si>
  <si>
    <t>Betterave fourragère</t>
  </si>
  <si>
    <t>Pulpe de betterave</t>
  </si>
  <si>
    <t>Ausgaben für Kostgänger</t>
  </si>
  <si>
    <t>Renten und Versicherungsleistungen</t>
  </si>
  <si>
    <t>Winterroggen</t>
  </si>
  <si>
    <t xml:space="preserve">Dauerweide </t>
  </si>
  <si>
    <t>Bovins, chevaux, bisons, moutons, chèvres, cerfs, lapins</t>
  </si>
  <si>
    <t>Limitation selon UMOS</t>
  </si>
  <si>
    <t xml:space="preserve">Melons, courges d'huile, courgettes </t>
  </si>
  <si>
    <t>Zufuhr von Hofdüngern gemäss HODUFLU:</t>
  </si>
  <si>
    <t>Stroh / Mt.</t>
  </si>
  <si>
    <t>Paille / mois</t>
  </si>
  <si>
    <t>Paille / année</t>
  </si>
  <si>
    <t>Nverf Acker</t>
  </si>
  <si>
    <t>K20</t>
  </si>
  <si>
    <t>Nverf Futter</t>
  </si>
  <si>
    <t>Jachère tournante et jachère florale avant 1.9 et dès 2ième hiver</t>
  </si>
  <si>
    <t>Assurance mobilière</t>
  </si>
  <si>
    <t>Vente génisses, 1 à 2 ans</t>
  </si>
  <si>
    <t>Andaineuse à toupies</t>
  </si>
  <si>
    <t>Autochargeuse</t>
  </si>
  <si>
    <t>Brasseur</t>
  </si>
  <si>
    <t>Typ 50/100</t>
  </si>
  <si>
    <t>übrige Raufutter verzehrende Tiere</t>
  </si>
  <si>
    <t>Planungsjahr 6</t>
  </si>
  <si>
    <t>per albero</t>
  </si>
  <si>
    <t>Arbeitskraftbilanz Betrieb</t>
  </si>
  <si>
    <t>- Abzug pro SAK a)</t>
  </si>
  <si>
    <t>- Formazione agricola di base</t>
  </si>
  <si>
    <t>Lohngutschrift</t>
  </si>
  <si>
    <t>Eigene Arbeit</t>
  </si>
  <si>
    <t>Eigenes Material</t>
  </si>
  <si>
    <t>Verkauf Anlagevermögen</t>
  </si>
  <si>
    <t>parcours</t>
  </si>
  <si>
    <t>pâturage</t>
  </si>
  <si>
    <t>Fumier de stabu-</t>
  </si>
  <si>
    <t>lation sans purin</t>
  </si>
  <si>
    <t>Standardwerte</t>
  </si>
  <si>
    <t>OK</t>
  </si>
  <si>
    <t>bis</t>
  </si>
  <si>
    <t>Total zusätzliche Belastung mit Zinsen und Tilgungen</t>
  </si>
  <si>
    <t>Reserve oder Manko</t>
  </si>
  <si>
    <t>Offenhaltungbeitrag*</t>
  </si>
  <si>
    <t>Maschinenmiete</t>
  </si>
  <si>
    <t>Raumprogramm 1</t>
  </si>
  <si>
    <t>Aufstallung Tierkategorien</t>
  </si>
  <si>
    <t>Die Anzahl der Ausmastplätze wird nicht automatisch in das Blatt Tiere übertragen.</t>
  </si>
  <si>
    <t>Vaches mères &gt; 700kg</t>
  </si>
  <si>
    <t>M'kühe &gt; 700kg</t>
  </si>
  <si>
    <t>V. mères &gt; 700kg</t>
  </si>
  <si>
    <t>(inkl. KW-Ansaat im Frühjahr)</t>
  </si>
  <si>
    <t>5 surface partielle</t>
  </si>
  <si>
    <t>6 surface partielle</t>
  </si>
  <si>
    <t>7 surface partielle</t>
  </si>
  <si>
    <t xml:space="preserve">Anteil Biodiversitätsförderflächen an Spezialkulturen und an übriger LN </t>
  </si>
  <si>
    <t>Übrige Biodiversitätsförderflächen (Typen 11-13)</t>
  </si>
  <si>
    <t>Beispiel: Buck, Muscat bleu</t>
  </si>
  <si>
    <t>Soia</t>
  </si>
  <si>
    <t>Raps, Sonnenblumen, Öllein</t>
  </si>
  <si>
    <t>Equiden: Abzug * Tage</t>
  </si>
  <si>
    <t xml:space="preserve"> Söm</t>
  </si>
  <si>
    <t xml:space="preserve"> Laufhof</t>
  </si>
  <si>
    <t>Weide_h</t>
  </si>
  <si>
    <t>Weide_T</t>
  </si>
  <si>
    <t>=(40*0.13+205*0.33+365*0.40)/610</t>
  </si>
  <si>
    <t>=(40*0.13+205*0.33+120*0.4)/365</t>
  </si>
  <si>
    <t>=0.13/2.85</t>
  </si>
  <si>
    <t>=(160*0.13+140*0.33)/365</t>
  </si>
  <si>
    <t>=(160*0.13+205*0.33)/365</t>
  </si>
  <si>
    <t>=(160*0.13+105*0.33)/365</t>
  </si>
  <si>
    <t>Milchkammer</t>
  </si>
  <si>
    <t xml:space="preserve">                          </t>
  </si>
  <si>
    <t>Kühltank</t>
  </si>
  <si>
    <t xml:space="preserve">                           </t>
  </si>
  <si>
    <t>avec 4 exploitations</t>
  </si>
  <si>
    <t>Milchkühe, Milchschafe, Milchziegen</t>
  </si>
  <si>
    <t xml:space="preserve">          litière profonde avec aire d'alimentation</t>
  </si>
  <si>
    <t xml:space="preserve">          en dur ou sur caillebotis</t>
  </si>
  <si>
    <t>kg/bête</t>
  </si>
  <si>
    <t>Berechnung der Begrenzung der BFF QI Beiträge</t>
  </si>
  <si>
    <t>Calcul de la limitation des contributions pour les SPB QI</t>
  </si>
  <si>
    <t>Surface-seuil SE</t>
  </si>
  <si>
    <t>Facteur de limitation</t>
  </si>
  <si>
    <t>D_Tierb from "Texte"</t>
  </si>
  <si>
    <t>Tierb from "Texte"</t>
  </si>
  <si>
    <t>HDA from "Texte"</t>
  </si>
  <si>
    <t>des surf.</t>
  </si>
  <si>
    <t>Pâturage boisé (type 3)</t>
  </si>
  <si>
    <t>Bilancio</t>
  </si>
  <si>
    <t>% del salario lordo</t>
  </si>
  <si>
    <t>Salario in contanti</t>
  </si>
  <si>
    <t>Reddito accessorio da attività indipendente</t>
  </si>
  <si>
    <t>*) y compris parts privées coûts généraux et coûts voiture</t>
  </si>
  <si>
    <t>standard</t>
  </si>
  <si>
    <t>intensiv</t>
  </si>
  <si>
    <t>TS - Ertrag</t>
  </si>
  <si>
    <t>Table des matières</t>
  </si>
  <si>
    <t>Page</t>
  </si>
  <si>
    <t>Steillagenanteil an der beitragsberechtigten landwirtschaftlichen Nutzfläche</t>
  </si>
  <si>
    <t>Chèvre y c. cabris et part de bouc</t>
  </si>
  <si>
    <t>UGBFG/ha herb.</t>
  </si>
  <si>
    <t>fourrages</t>
  </si>
  <si>
    <t>Übriges Grundfutter</t>
  </si>
  <si>
    <t>et pâturages</t>
  </si>
  <si>
    <t>Weidefutter</t>
  </si>
  <si>
    <t>Kiwis</t>
  </si>
  <si>
    <t>Assurance bâtiments</t>
  </si>
  <si>
    <t>Total dépenses</t>
  </si>
  <si>
    <t xml:space="preserve">Résumé </t>
  </si>
  <si>
    <t>Paille affourragée</t>
  </si>
  <si>
    <t>dt MS)</t>
  </si>
  <si>
    <t>LN kontrollieren!</t>
  </si>
  <si>
    <t>Rotation (chiffres-clefs)</t>
  </si>
  <si>
    <t>Betvor</t>
  </si>
  <si>
    <t>Supplément/réduction pour consom. de MS</t>
  </si>
  <si>
    <t>Corr. selon la performance</t>
  </si>
  <si>
    <t>Grundfutter</t>
  </si>
  <si>
    <t>Ganzjahresbetrieb</t>
  </si>
  <si>
    <t>Ackerfläche</t>
  </si>
  <si>
    <t>Flächen mit</t>
  </si>
  <si>
    <t>pro Acker-</t>
  </si>
  <si>
    <t>fläche</t>
  </si>
  <si>
    <t>anteil</t>
  </si>
  <si>
    <t>Kulturen</t>
  </si>
  <si>
    <t>Anteil &lt; 10%</t>
  </si>
  <si>
    <t>Globale Erfassung</t>
  </si>
  <si>
    <t>culture</t>
  </si>
  <si>
    <t>maraîchère</t>
  </si>
  <si>
    <t>Rothirsche</t>
  </si>
  <si>
    <t>GVE/MSP/LHP</t>
  </si>
  <si>
    <t>été /</t>
  </si>
  <si>
    <t>hiver /</t>
  </si>
  <si>
    <t>AP 2014/17</t>
  </si>
  <si>
    <t>Vermögensabzug</t>
  </si>
  <si>
    <t>mit Berücksichtigung des Nährstoffvorrats im Boden</t>
  </si>
  <si>
    <t>P</t>
  </si>
  <si>
    <t>K</t>
  </si>
  <si>
    <t>&lt; 18%, 5 Kons.-schnitte, hoch</t>
  </si>
  <si>
    <t>Deckblatt</t>
  </si>
  <si>
    <t>Renten- u. Versicherungsleistungen</t>
  </si>
  <si>
    <t>vom 8. April 2013. Die definitive Version erfolgt nach der Inkraftsetzung der Direktzahlungsverordnung.</t>
  </si>
  <si>
    <t>Cet instrument sert de méthode de justification et se base sur les documents en consultation</t>
  </si>
  <si>
    <t>/</t>
  </si>
  <si>
    <t>Total allgemeine Direktzahlungen des Referenzjahres*</t>
  </si>
  <si>
    <t>Stallhaltung</t>
  </si>
  <si>
    <t>loyer du logement</t>
  </si>
  <si>
    <t>Impôts</t>
  </si>
  <si>
    <t>Valeur locative du logement</t>
  </si>
  <si>
    <t>Récapitulation pour le report dans les tableaux de résultat et des flux monétaires</t>
  </si>
  <si>
    <t>le bilan des fourrages n'est pas encore certifié par l'Office fédéral de l'agriculture.</t>
  </si>
  <si>
    <t>Différence entre la valeur de la surface cultivée ici et celle de la feuille « Surface ».</t>
  </si>
  <si>
    <t>valeurs adaptées selon</t>
  </si>
  <si>
    <t>structure d'exploitation</t>
  </si>
  <si>
    <t>de référence*</t>
  </si>
  <si>
    <t>Prestation</t>
  </si>
  <si>
    <t>Costi aziendali generali</t>
  </si>
  <si>
    <t>Acqua</t>
  </si>
  <si>
    <t>Altri costi aziendali generali</t>
  </si>
  <si>
    <t>Riduzione per la sostanza compresa</t>
  </si>
  <si>
    <t xml:space="preserve">   und ohne Baumschulen, Forstpflanzen, Christbäume, Zierpflanzen, Hanf und Gewächshäuser mit festem Fundament </t>
  </si>
  <si>
    <t xml:space="preserve">    - L’affouragement d’aliments complémentaires durant l’estivage n’est autorisé que pour les animaux</t>
  </si>
  <si>
    <t>(A5+A6+A7+C6+C7)</t>
  </si>
  <si>
    <t>(B2+A6+C3-C1-A3)</t>
  </si>
  <si>
    <t>(A4+A7 in TS)</t>
  </si>
  <si>
    <t>(A4+A7 en MS)</t>
  </si>
  <si>
    <t>35-50%, 1 coupe de conserv., haut</t>
  </si>
  <si>
    <t>7. Jahr</t>
  </si>
  <si>
    <t>8. Jahr</t>
  </si>
  <si>
    <t>Gehaltstabelle Hofdünger</t>
  </si>
  <si>
    <t>Variable</t>
  </si>
  <si>
    <t>Konstante</t>
  </si>
  <si>
    <t>Degré</t>
  </si>
  <si>
    <t>Bodenkohlrabi</t>
  </si>
  <si>
    <t>Winterraps für RME</t>
  </si>
  <si>
    <t>Zweit-, Dritt- oder Zwischenkulturen</t>
  </si>
  <si>
    <t>Sonnenblumen</t>
  </si>
  <si>
    <t>Lamas et alpagas</t>
  </si>
  <si>
    <t>20 animaux</t>
  </si>
  <si>
    <t>d'emploi</t>
  </si>
  <si>
    <t>UT/an**</t>
  </si>
  <si>
    <t>Coûts</t>
  </si>
  <si>
    <t>par UT</t>
  </si>
  <si>
    <t>Equipements supplémentaires</t>
  </si>
  <si>
    <t>Char</t>
  </si>
  <si>
    <t>Charrue</t>
  </si>
  <si>
    <t>Herse</t>
  </si>
  <si>
    <t>Rouleau</t>
  </si>
  <si>
    <t>Semoir</t>
  </si>
  <si>
    <t>Sarcleuse-bineuse</t>
  </si>
  <si>
    <t>Distributeur d'engrais</t>
  </si>
  <si>
    <t>Epandeuse à fumier</t>
  </si>
  <si>
    <t>Citerne à pression</t>
  </si>
  <si>
    <t>Faucheuse</t>
  </si>
  <si>
    <t>Pirouette</t>
  </si>
  <si>
    <t>Houblon</t>
  </si>
  <si>
    <t>Cultures fruitières</t>
  </si>
  <si>
    <t>Leguminosen</t>
  </si>
  <si>
    <t>Ø Nutzungsdauer Mutterkühe</t>
  </si>
  <si>
    <t>Il totale del grado d'uso non deve essere inferiore a 10%</t>
  </si>
  <si>
    <t>Anrechnung BFF an MTB</t>
  </si>
  <si>
    <t xml:space="preserve">Haushalt:  </t>
  </si>
  <si>
    <t>Plan de mécanisation 1</t>
  </si>
  <si>
    <t>Maïs grain, épis de maïs</t>
  </si>
  <si>
    <t>Fragen zu Fütterung S. E2</t>
  </si>
  <si>
    <t xml:space="preserve">abzüglich Ø Lagerungsverluste </t>
  </si>
  <si>
    <t>Netto-Angebot</t>
  </si>
  <si>
    <t>TS-Verbrauch Tiere</t>
  </si>
  <si>
    <t>Part de surface</t>
  </si>
  <si>
    <t>Abstufung</t>
  </si>
  <si>
    <t>Reduction</t>
  </si>
  <si>
    <t>Achat fourrage %</t>
  </si>
  <si>
    <t>conv.</t>
  </si>
  <si>
    <t>Vaches laitières avec remonte</t>
  </si>
  <si>
    <t>Vaches allait. et bétail d'engr.</t>
  </si>
  <si>
    <t>Autres UGBFG</t>
  </si>
  <si>
    <t>100 Plätze</t>
  </si>
  <si>
    <t>100 places</t>
  </si>
  <si>
    <t>Le fournisseur du logiciel ou la vulgarisation agricole n'assument aucune responsabilité pour d'éventuels dommages découlant de l'utilisation du logiciel.</t>
  </si>
  <si>
    <t>ration d'été</t>
  </si>
  <si>
    <t xml:space="preserve">Terres ouvertes (TO) </t>
  </si>
  <si>
    <t>C = C1 + C2 + C3</t>
  </si>
  <si>
    <t>NE_Fam</t>
  </si>
  <si>
    <t>objets dans les valeurs d'origine.</t>
  </si>
  <si>
    <t>N'utilisez cette fonction que dans les</t>
  </si>
  <si>
    <t>Jeunes bovins d'élevage, 0 à 1 année</t>
  </si>
  <si>
    <t>Génisses d'élevage, 1 à 2 ans</t>
  </si>
  <si>
    <t>Fläche [ha]</t>
  </si>
  <si>
    <t>Korrektur</t>
  </si>
  <si>
    <t>Vernetzungsbeitrag</t>
  </si>
  <si>
    <t>Contribution mise en réseau</t>
  </si>
  <si>
    <t>Extensive Produktion von Getreide und Raps</t>
  </si>
  <si>
    <t>Partner D</t>
  </si>
  <si>
    <t>Raps</t>
  </si>
  <si>
    <t>Zuckerrüben</t>
  </si>
  <si>
    <t>Eigenland</t>
  </si>
  <si>
    <t>Pachtland</t>
  </si>
  <si>
    <t>Total</t>
  </si>
  <si>
    <t>Haies et bosquets champêtres (type 10)</t>
  </si>
  <si>
    <t>Battage, 2 conservations de fourrage</t>
  </si>
  <si>
    <t>Tilgung und Schuldzinsen alte Schulden</t>
  </si>
  <si>
    <t>Tilgung und Schuldzinsen neue Schulden</t>
  </si>
  <si>
    <t>Andere Ausgaben als Eigentümer</t>
  </si>
  <si>
    <t>Liegenschaftssteuer</t>
  </si>
  <si>
    <t>Ø jährliche Milchproduktion des Betriebes</t>
  </si>
  <si>
    <t>Cessione di paglia</t>
  </si>
  <si>
    <t>Cessione di foglie di barbabietola</t>
  </si>
  <si>
    <t>actualiser toutes les feuilles</t>
  </si>
  <si>
    <t>créer PLANETE light</t>
  </si>
  <si>
    <t>créer fiches PER</t>
  </si>
  <si>
    <t>créer Paidir</t>
  </si>
  <si>
    <t>Numéro d'exploitation</t>
  </si>
  <si>
    <t>Mittelfluss vor Bezügen und Zinsen</t>
  </si>
  <si>
    <t>-</t>
  </si>
  <si>
    <t>Anzahl Milchkühe</t>
  </si>
  <si>
    <t>Kuhzahl verändern</t>
  </si>
  <si>
    <t>bitte gültiges Passwort eingeben</t>
  </si>
  <si>
    <t>Faserlein</t>
  </si>
  <si>
    <t>Unproduktive Flächen</t>
  </si>
  <si>
    <t>Ölhanf</t>
  </si>
  <si>
    <t>Formular F:  Nährstoffbilanz</t>
  </si>
  <si>
    <t>Partie F: Bilan de fumure</t>
  </si>
  <si>
    <t>E</t>
  </si>
  <si>
    <t>&gt; 50%, 2 Kons.-schnitte, tief</t>
  </si>
  <si>
    <t>Feuilles de betteraves fourragères</t>
  </si>
  <si>
    <t>zu viele Tiergattungen zugewiesen! Überprüfen Sie Ihre Eingaben auf auf dem Blatt</t>
  </si>
  <si>
    <t>Production éléments nutritifs / unité + année</t>
  </si>
  <si>
    <t>Chou-fleur</t>
  </si>
  <si>
    <t>Chou-rave</t>
  </si>
  <si>
    <t>Haricot nain</t>
  </si>
  <si>
    <t xml:space="preserve"> Beiträge nach Art. 62a GSchG</t>
  </si>
  <si>
    <t>Abzug für massgebendes Vermögen</t>
  </si>
  <si>
    <t>Vaches laitières dans exploitation d'estivage</t>
  </si>
  <si>
    <t>Autres animaux de rente dans exploitation d'estivage</t>
  </si>
  <si>
    <t>Reben</t>
  </si>
  <si>
    <t>Hopfen</t>
  </si>
  <si>
    <t>Grandes cultures</t>
  </si>
  <si>
    <t>Volume stockage pour paille</t>
  </si>
  <si>
    <t>Résultats économiques</t>
  </si>
  <si>
    <t>Besoins</t>
  </si>
  <si>
    <t>Contributions totales</t>
  </si>
  <si>
    <t>Total Einzelkulturbeiträge</t>
  </si>
  <si>
    <t>Ackerbohnen, Eiweisserbsen</t>
  </si>
  <si>
    <t>Zuckerrüben zur Zuckerherstellung</t>
  </si>
  <si>
    <t>Aufteilung des Einkommens im 1. Jahr</t>
  </si>
  <si>
    <t>UMOS</t>
  </si>
  <si>
    <t>St1</t>
  </si>
  <si>
    <t>St2</t>
  </si>
  <si>
    <t>Fam</t>
  </si>
  <si>
    <t>Récap</t>
  </si>
  <si>
    <t>Flumon</t>
  </si>
  <si>
    <t>Pdt</t>
  </si>
  <si>
    <t>Schafe</t>
  </si>
  <si>
    <t>Spezialkulturen ohne Rebflächen in Steillagen</t>
  </si>
  <si>
    <t>Semis de prairie au printemps après jachère</t>
  </si>
  <si>
    <t>Beerenkulturen auswählen</t>
  </si>
  <si>
    <t>converti dès 2014</t>
  </si>
  <si>
    <t>Anzahl / Stück</t>
  </si>
  <si>
    <t>Nombre / Bête</t>
  </si>
  <si>
    <t>Poulets de chair</t>
  </si>
  <si>
    <t>Offene Ackerfläche, ha:</t>
  </si>
  <si>
    <t>Mastkälber (50-200 kg)</t>
  </si>
  <si>
    <t>Text 26</t>
  </si>
  <si>
    <t>Text 49</t>
  </si>
  <si>
    <t>Text 58</t>
  </si>
  <si>
    <t>Gemäss Blatt Allg ist der Betrieb folgendem Gebiet zugeteilt:</t>
  </si>
  <si>
    <t>Selon feuille Génér, l'exploitation appartienne à la region suivante:</t>
  </si>
  <si>
    <t>DB Milch und Aufzucht</t>
  </si>
  <si>
    <t>Eingegebene Menge entspricht nicht der Menge in Suisse-Bilanz!</t>
  </si>
  <si>
    <t>C1 und C2 entsprechen nicht den Mengen in der Suisse-Bilanz!</t>
  </si>
  <si>
    <t>Autres jus d'écoulement</t>
  </si>
  <si>
    <t>Nombres d'unités</t>
  </si>
  <si>
    <t>Flachsiloplatte:</t>
  </si>
  <si>
    <t>Nicht überdacht, mit vollständiger Entwässerung in die Güllengrube</t>
  </si>
  <si>
    <t xml:space="preserve">Naturwiese, </t>
  </si>
  <si>
    <t>Année de plan. 3</t>
  </si>
  <si>
    <t>Tierart / Hofdüngertyp</t>
  </si>
  <si>
    <t>Milchvieh / Aufzucht</t>
  </si>
  <si>
    <t>Vollgülle</t>
  </si>
  <si>
    <t>Systèmes de stabulation particulièrement respectueux des animaux</t>
  </si>
  <si>
    <t>Shift</t>
  </si>
  <si>
    <t>DifferentCalc</t>
  </si>
  <si>
    <r>
      <t xml:space="preserve">+- 1000 </t>
    </r>
    <r>
      <rPr>
        <sz val="10"/>
        <rFont val="Arial"/>
        <family val="2"/>
      </rPr>
      <t>l</t>
    </r>
  </si>
  <si>
    <t>Nome</t>
  </si>
  <si>
    <t>Sup. agricola utile (SAU)</t>
  </si>
  <si>
    <t>Wintererbsen, -ackerbohnen, pflugloser Anbau</t>
  </si>
  <si>
    <t>Stallreinigung Winter</t>
  </si>
  <si>
    <t>H2O_S</t>
  </si>
  <si>
    <t>H2O_W</t>
  </si>
  <si>
    <t>Sommer/</t>
  </si>
  <si>
    <t>Winter/</t>
  </si>
  <si>
    <t>Prairies extensifs (type 1): dont SPB</t>
  </si>
  <si>
    <t>Ciboulette</t>
  </si>
  <si>
    <t>Scorsonère</t>
  </si>
  <si>
    <t xml:space="preserve"> </t>
  </si>
  <si>
    <t>(Aucune indication)</t>
  </si>
  <si>
    <t>1) Lors de la mise en place sans labour, san p.d.t. ni maïs, ni tabac comme précédents, l'indice augment de 20 points.</t>
  </si>
  <si>
    <t>A. Angaben zum Hofdüngeranfall</t>
  </si>
  <si>
    <t>Text PlusE</t>
  </si>
  <si>
    <t>Text xM</t>
  </si>
  <si>
    <t>Text xE</t>
  </si>
  <si>
    <t>Text FussR</t>
  </si>
  <si>
    <t>Text xR</t>
  </si>
  <si>
    <t>Erträge von Silomais müssen mindestens 125 % der Erträge der intensiven Wiesen entsprechen!</t>
  </si>
  <si>
    <t>Unité de main-d'œuvre standard</t>
  </si>
  <si>
    <t>Diminution des stocks et des animaux</t>
  </si>
  <si>
    <t xml:space="preserve"> = Excédent sur opérations courantes (ESO)</t>
  </si>
  <si>
    <t>Dérobées de printemps</t>
  </si>
  <si>
    <t>Zurück zu TS-Bilanz</t>
  </si>
  <si>
    <t>100 Pl</t>
  </si>
  <si>
    <t>Fumier de stabulation libre uniquement</t>
  </si>
  <si>
    <t>Plein air</t>
  </si>
  <si>
    <t>Nettoyage de porcheries et soins aux porcs</t>
  </si>
  <si>
    <t>Nettoyage de poulaillers et soins aux poules pondeuses</t>
  </si>
  <si>
    <t>Dialog_Nb2</t>
  </si>
  <si>
    <t>Futtergehalt</t>
  </si>
  <si>
    <t>Finanzplan</t>
  </si>
  <si>
    <t>Total Angebot</t>
  </si>
  <si>
    <t>Lieferungen</t>
  </si>
  <si>
    <t>Nutztiere auf selbstbewirtschaftetem Sömmerungsbetrieb</t>
  </si>
  <si>
    <t>Strukturkosten A</t>
  </si>
  <si>
    <t>Kosten Gebäude, Meliorationen und feste Einrichtungen</t>
  </si>
  <si>
    <t>Gestehungs-</t>
  </si>
  <si>
    <t>Abschreibung</t>
  </si>
  <si>
    <t>Rep./Unterhalt</t>
  </si>
  <si>
    <t>Abstufung des Beitrags, wenn mehr als 60 ha je Betrieb:</t>
  </si>
  <si>
    <t>Echelonnement (réduction) de la contribution, si plus de 60 ha par exploitation:</t>
  </si>
  <si>
    <t>Brombeeren, hoher Ertrag</t>
  </si>
  <si>
    <t>Rote Johannisbeeren</t>
  </si>
  <si>
    <t>Part d'éte</t>
  </si>
  <si>
    <t>Part d'hiver</t>
  </si>
  <si>
    <t>Eléments fertilisants des bilans import/export</t>
  </si>
  <si>
    <t xml:space="preserve">Mutterkuhkälber zur Mast </t>
  </si>
  <si>
    <t>Berechnung der einkommens- und vermögensbedingten Reduktion der DZ</t>
  </si>
  <si>
    <t xml:space="preserve"> - Maiswiese mit mechan. Regulierung des Graswuchses zwischen den Reihen</t>
  </si>
  <si>
    <t xml:space="preserve"> - mit Untersaat, als Mulchsaat o. Streifenfrässaat nach Gründüngung, Zwischenfutter o. Grünland</t>
  </si>
  <si>
    <t>AKh für alle Arbeiten</t>
  </si>
  <si>
    <t xml:space="preserve"> UGB; rigole à fumier ou dalle à fumier</t>
  </si>
  <si>
    <t xml:space="preserve"> UGB; anciennes étables en région de montagne</t>
  </si>
  <si>
    <t>Stabulation libre:</t>
  </si>
  <si>
    <t>Getreide, Raps</t>
  </si>
  <si>
    <t>Körnermais und CCM</t>
  </si>
  <si>
    <t>Tief, nicht sortiert, Ernte im Lohn</t>
  </si>
  <si>
    <t>Catégories jusqu' au 2008</t>
  </si>
  <si>
    <t>Catégories dès 2009</t>
  </si>
  <si>
    <t>Bovins de plus de 730 jours</t>
  </si>
  <si>
    <t>Bovins de plus de 365 à 730 jours</t>
  </si>
  <si>
    <t>Forces de travail</t>
  </si>
  <si>
    <t>Schweinegülle Zucht</t>
  </si>
  <si>
    <t>Schweinemist</t>
  </si>
  <si>
    <t>20  places</t>
  </si>
  <si>
    <t>40  places</t>
  </si>
  <si>
    <t>kg MS</t>
  </si>
  <si>
    <t>par an</t>
  </si>
  <si>
    <t xml:space="preserve">Zwischenbilanz </t>
  </si>
  <si>
    <t>Arbres fruitiers à haute tige, arbres isolés indigènes</t>
  </si>
  <si>
    <t>übrige Schweine ohne Saugferkel</t>
  </si>
  <si>
    <t>Consommation de herbes issue des prairies et pâturages ne peut pas être plus haute que consommation de GF !</t>
  </si>
  <si>
    <t>Zone montagne II</t>
  </si>
  <si>
    <t>Anbindestall, Fütterung von Hand</t>
  </si>
  <si>
    <t>Laufstall, Fütterung von Hand</t>
  </si>
  <si>
    <t>30 Tiere</t>
  </si>
  <si>
    <t>30 bêtes</t>
  </si>
  <si>
    <t>50 bêtes</t>
  </si>
  <si>
    <t>Zone montagne I et II</t>
  </si>
  <si>
    <t>Zone montagne III et IV</t>
  </si>
  <si>
    <t>Zone de plaine - Zone montagne II</t>
  </si>
  <si>
    <t>Investissements</t>
  </si>
  <si>
    <t>Machines, équipements, installations</t>
  </si>
  <si>
    <t>Remplacements selon Plan de méc.</t>
  </si>
  <si>
    <t>Sonderfälle: dauernd deutlich geringerer Anfall</t>
  </si>
  <si>
    <t>Güllenanfall verdünnt</t>
  </si>
  <si>
    <t>Gesamtanfall im Winter verdünnt</t>
  </si>
  <si>
    <t xml:space="preserve">Güllelagerraum bestehend </t>
  </si>
  <si>
    <t>Cubes de maïs</t>
  </si>
  <si>
    <t>Milch- und Fleischproduktion</t>
  </si>
  <si>
    <t>Travaux par tiers, locations machines</t>
  </si>
  <si>
    <t>Coûts inhérents à l'investissement</t>
  </si>
  <si>
    <t>=</t>
  </si>
  <si>
    <t>Monate</t>
  </si>
  <si>
    <t>w</t>
  </si>
  <si>
    <t>m</t>
  </si>
  <si>
    <t>+</t>
  </si>
  <si>
    <t>Zukauf Tränkekälber</t>
  </si>
  <si>
    <t>Fumier de dinde</t>
  </si>
  <si>
    <t>a) Besoins de MOh/réserve</t>
  </si>
  <si>
    <t>n°</t>
  </si>
  <si>
    <t>Degré de mécanisation</t>
  </si>
  <si>
    <t>MOh  total</t>
  </si>
  <si>
    <t>de tracteur</t>
  </si>
  <si>
    <t xml:space="preserve">Production laitière Ø / vache et an </t>
  </si>
  <si>
    <t>Gehe zu Tabelle "Verbrauch Kühe"</t>
  </si>
  <si>
    <t>Mindesttierbesatz für Dauergrünfläche ausser BFF und BFF-Grünland erreicht:</t>
  </si>
  <si>
    <t xml:space="preserve"> ==&gt;</t>
  </si>
  <si>
    <t xml:space="preserve"> =</t>
  </si>
  <si>
    <t>Faktor für Ansatz</t>
  </si>
  <si>
    <t>Einzelbäume und Alleen</t>
  </si>
  <si>
    <t>Surf. (ha) x nbre</t>
  </si>
  <si>
    <t xml:space="preserve">    épandages</t>
  </si>
  <si>
    <t>Valeur de base pour l'exploitation</t>
  </si>
  <si>
    <t>Autres surfaces de promotion de la biodiversité (types 11-13)</t>
  </si>
  <si>
    <t xml:space="preserve">Bilanz                                      </t>
  </si>
  <si>
    <t>Kresse</t>
  </si>
  <si>
    <t>Paprika, Bodenkultur</t>
  </si>
  <si>
    <t>futter</t>
  </si>
  <si>
    <t>Eléments nutritifs produits par les animaux de l'exploitation</t>
  </si>
  <si>
    <t>Kaninchen aus Import/Export Bilanz</t>
  </si>
  <si>
    <t>Lapins (provenant du bilan import/export)</t>
  </si>
  <si>
    <t>Kaninchen</t>
  </si>
  <si>
    <t>Gehe zu Tabelle "Futterrationen"</t>
  </si>
  <si>
    <t>Gras, Grassilage</t>
  </si>
  <si>
    <t>24 x 365</t>
  </si>
  <si>
    <t>Dürrfutter</t>
  </si>
  <si>
    <t>Dürrfutter, "nährstoffarm"</t>
  </si>
  <si>
    <t>mois</t>
  </si>
  <si>
    <t>Teneur en éléments nutritifs</t>
  </si>
  <si>
    <t>Ergänzungsfutter Milchkühe</t>
  </si>
  <si>
    <t xml:space="preserve">Milchkühe </t>
  </si>
  <si>
    <t>Andere Kühe</t>
  </si>
  <si>
    <t xml:space="preserve">1) Achtung: </t>
  </si>
  <si>
    <t>Futter-zukauf bio %</t>
  </si>
  <si>
    <t>Futter-zukauf total %</t>
  </si>
  <si>
    <t>übrige Raufutterverzehrer</t>
  </si>
  <si>
    <t>Lege- und Junghennen</t>
  </si>
  <si>
    <t>Fruchtfolge-Kennziffern</t>
  </si>
  <si>
    <t>Anzahl Kulturen und Kulturenanteile</t>
  </si>
  <si>
    <t>ÖLN-Sollwert (&gt;1ha OA)</t>
  </si>
  <si>
    <t>max.</t>
  </si>
  <si>
    <t>Anteil pro</t>
  </si>
  <si>
    <t>Kumulation von</t>
  </si>
  <si>
    <t>Name:</t>
  </si>
  <si>
    <t>ne pas être chargé</t>
  </si>
  <si>
    <t>mière</t>
  </si>
  <si>
    <t>Type d'animaux/Type de production</t>
  </si>
  <si>
    <t>Bêtes /</t>
  </si>
  <si>
    <t>Supplém.</t>
  </si>
  <si>
    <t>/déduc.</t>
  </si>
  <si>
    <t>Erreur : le contenu de la cellule n'est pas un nombre</t>
  </si>
  <si>
    <t>Poudre de lait</t>
  </si>
  <si>
    <t>Estivage</t>
  </si>
  <si>
    <t>Veaux</t>
  </si>
  <si>
    <t>C1: Sous-total surface fourragère</t>
  </si>
  <si>
    <t>N-Be
darf 7]</t>
  </si>
  <si>
    <t xml:space="preserve"> - culture fourragère</t>
  </si>
  <si>
    <t>Salate, diverse, mittlerer Ertrag</t>
  </si>
  <si>
    <t>Salate, diverse, hoher Ertrag</t>
  </si>
  <si>
    <t>Schnittblumen, klein</t>
  </si>
  <si>
    <t>lesquelles se fonde la détermination des facteurs UMOS passent actuel et qui montrera les alternatives possibles devrait être</t>
  </si>
  <si>
    <t>finalisé pour le printemps 2014. Jusqu’à nouvel avis, les facteurs ainsi de 2800 à 2600 et les facteurs sont ajustée pour l'année 2016.</t>
  </si>
  <si>
    <t xml:space="preserve">Die einzelnen SAK-Faktoren werden aufgrund des seit 2004 erfolgten technischen Fortschritts angepasst. Die der Festlegung der </t>
  </si>
  <si>
    <t>SAK-Faktoren zugrunde liegenden Jahresarbeitseinheiten werden dabei von 2800 Stunden auf 2600 Stunden herabgesetzt und</t>
  </si>
  <si>
    <t>auf das Jahr 2016 werden neue Faktoren eingeführt.</t>
  </si>
  <si>
    <t>Graslandbasierte Milch- und Fleischproduktion (GMF)</t>
  </si>
  <si>
    <t>Production de lait et de viande basée sur les herbages (PLVH)</t>
  </si>
  <si>
    <t>Total der berechtigten LN überprüfen!!</t>
  </si>
  <si>
    <t>facteur taux de cotribution</t>
  </si>
  <si>
    <t>gehalten:</t>
  </si>
  <si>
    <t>Ipoteca</t>
  </si>
  <si>
    <t>CAI</t>
  </si>
  <si>
    <t>Terres en fermage</t>
  </si>
  <si>
    <t>Pour le 1er et le 2ième enfant</t>
  </si>
  <si>
    <t>Deckungsbeitrag Milchvieh</t>
  </si>
  <si>
    <t>Grundfutterkosten</t>
  </si>
  <si>
    <t>Pâturages extensifs</t>
  </si>
  <si>
    <t>VigHou</t>
  </si>
  <si>
    <t>Coûts de structure 1</t>
  </si>
  <si>
    <t>Lineare Korrektur:</t>
  </si>
  <si>
    <t>Semis ourlets sur terres assolées</t>
  </si>
  <si>
    <t>Fraises</t>
  </si>
  <si>
    <t>Plantes médicinales/aromatiques</t>
  </si>
  <si>
    <t>Haies et bosquets</t>
  </si>
  <si>
    <t>Message d'erreur</t>
  </si>
  <si>
    <t>Landschaftsqualität</t>
  </si>
  <si>
    <t>Paysage cultivé</t>
  </si>
  <si>
    <t>Sécurité de l'approvisionnement</t>
  </si>
  <si>
    <t>Vache mère, PV 450 kg, sans veau</t>
  </si>
  <si>
    <t>Betriebs-</t>
  </si>
  <si>
    <t>Key</t>
  </si>
  <si>
    <t>1 - 5 animaux, boxes individuels, pension complète</t>
  </si>
  <si>
    <t xml:space="preserve">1 - 5 animaux, boxes individuels, demi-pension </t>
  </si>
  <si>
    <t>Tierart bzw.Tierkategorie</t>
  </si>
  <si>
    <t>heit</t>
  </si>
  <si>
    <t>Fleurs de coupe, moyennes</t>
  </si>
  <si>
    <t>Fleurs de coupe, grandes</t>
  </si>
  <si>
    <t>Salade à tondre</t>
  </si>
  <si>
    <t>dans projet nitrate 62a</t>
  </si>
  <si>
    <t>N+corr</t>
  </si>
  <si>
    <t xml:space="preserve">  %</t>
  </si>
  <si>
    <t xml:space="preserve">Type de fourrage </t>
  </si>
  <si>
    <t>Grundfuttertyp</t>
  </si>
  <si>
    <t>g PB corr.</t>
  </si>
  <si>
    <t>g P corr.</t>
  </si>
  <si>
    <t>Aliment pour porcs à l'engrais</t>
  </si>
  <si>
    <t>Prairies</t>
  </si>
  <si>
    <t>Fourrages produits sur l'exploitation hors SF &lt;&gt; quantitées saisies dans le Suisse-Bilanz !</t>
  </si>
  <si>
    <t>pas aux déclaration dans le Suisse-Bilanz !</t>
  </si>
  <si>
    <t>Conditions pour PLVH non remplies !</t>
  </si>
  <si>
    <t>Nicht zuteilbare Betriebsführungsarbeit je Betrieb</t>
  </si>
  <si>
    <t>Haushalt</t>
  </si>
  <si>
    <t>Total Ihres Betriebes</t>
  </si>
  <si>
    <t>Butt Gemüse2</t>
  </si>
  <si>
    <t>Butt Obst</t>
  </si>
  <si>
    <t>Production de champignons de Paris dans des bâtiments</t>
  </si>
  <si>
    <t>Production chicorée Witloof dans des bâtiments</t>
  </si>
  <si>
    <t>Production de pousses de légumes et de salade dans des bâtiments</t>
  </si>
  <si>
    <t>Contributo per le difficoltà di produzione</t>
  </si>
  <si>
    <t>Luogo, data:</t>
  </si>
  <si>
    <t>Are</t>
  </si>
  <si>
    <t>Fattore di correzione</t>
  </si>
  <si>
    <t>Diagramm</t>
  </si>
  <si>
    <t>BFF-Fläche zu hoch</t>
  </si>
  <si>
    <t>Communauté à 5 expl.</t>
  </si>
  <si>
    <t>Einzelbetrieb</t>
  </si>
  <si>
    <t>Dblatt</t>
  </si>
  <si>
    <t>BD</t>
  </si>
  <si>
    <t>Var</t>
  </si>
  <si>
    <t>Allg</t>
  </si>
  <si>
    <t>Tierb</t>
  </si>
  <si>
    <t>Kennz</t>
  </si>
  <si>
    <t>BioKennz</t>
  </si>
  <si>
    <t>Fzukauf</t>
  </si>
  <si>
    <t>Ff</t>
  </si>
  <si>
    <t>Technische Pläne</t>
  </si>
  <si>
    <t>réduction de la contribution pour la surface hérbagère en consecquence de rater la charge minimale en bétail</t>
  </si>
  <si>
    <t>Informationsteil</t>
  </si>
  <si>
    <t>Nouvel empr. ou augmentation:</t>
  </si>
  <si>
    <t>Remboursement dès:</t>
  </si>
  <si>
    <t>Diese Zeile ist nicht im Druckbereich</t>
  </si>
  <si>
    <t>Dieses Instrument dient als Nachweis für die Erfüllung der Anforderungen an die Futterbilanz für das Programm der GMF.</t>
  </si>
  <si>
    <t>Vergärungsprodukte:</t>
  </si>
  <si>
    <t>Issus méthanisation:</t>
  </si>
  <si>
    <t>chk_Vergaerung</t>
  </si>
  <si>
    <t xml:space="preserve"> MSP; Einstreustall mit Kotgang, Tiefsteulauf-</t>
  </si>
  <si>
    <t>kg MF</t>
  </si>
  <si>
    <t>kg FS</t>
  </si>
  <si>
    <t>Teneurs (en kg/m³ de lisier/purin non dilué et en kg/t de fumier)</t>
  </si>
  <si>
    <t>m³/Mt.</t>
  </si>
  <si>
    <t>m³/mois</t>
  </si>
  <si>
    <t>purin m³</t>
  </si>
  <si>
    <t>Ensilage d'herbe</t>
  </si>
  <si>
    <t>Exploitation conventionnelle, beaucoup de travail manuel</t>
  </si>
  <si>
    <t xml:space="preserve">davon Wiesen- </t>
  </si>
  <si>
    <t>&amp; Weidefutter</t>
  </si>
  <si>
    <t>Herbe issue des</t>
  </si>
  <si>
    <t>non deve essere inferiore o superiore a:</t>
  </si>
  <si>
    <t>Nombre d'enfants</t>
  </si>
  <si>
    <t>Mois</t>
  </si>
  <si>
    <t>für 1. und 2. Kind</t>
  </si>
  <si>
    <t>Prairie naturelle intensive</t>
  </si>
  <si>
    <t>Achat veaux d'engraiss.</t>
  </si>
  <si>
    <t>Concentré vaches laitières</t>
  </si>
  <si>
    <t>gut mechanisiert</t>
  </si>
  <si>
    <t>Von Hand ernten und einführen</t>
  </si>
  <si>
    <t>Zsfassung</t>
  </si>
  <si>
    <t>Seigle d'automne</t>
  </si>
  <si>
    <t>Rebbau mit eigener Kelterei</t>
  </si>
  <si>
    <t>(Mäh-) Weide            intensiv</t>
  </si>
  <si>
    <t>Créanciers, PT</t>
  </si>
  <si>
    <t>Zwischentotal des Basisbeitrags</t>
  </si>
  <si>
    <t>Contributions pour la garde d’animaux dans des conditions difficiles année de référence*</t>
  </si>
  <si>
    <t>Gülle kotarm</t>
  </si>
  <si>
    <t>Stapelmist</t>
  </si>
  <si>
    <t>Laufstallmist</t>
  </si>
  <si>
    <t>Kälbermist</t>
  </si>
  <si>
    <t>Porcs à l'engrais / de renouvellement et porcelets</t>
  </si>
  <si>
    <t>400 animaux</t>
  </si>
  <si>
    <t>600 animaux</t>
  </si>
  <si>
    <t>choisir les cultures maraîchères</t>
  </si>
  <si>
    <t>Besoins nets en éléments nutritifs</t>
  </si>
  <si>
    <t>en</t>
  </si>
  <si>
    <t>PAM*, grandes</t>
  </si>
  <si>
    <t>Winterfütterung von Hand, Entmistung mobil</t>
  </si>
  <si>
    <t>Valeurs standards MF</t>
  </si>
  <si>
    <t>Hd</t>
  </si>
  <si>
    <t>Ak</t>
  </si>
  <si>
    <t>Mp1</t>
  </si>
  <si>
    <t>Correction linéaire:</t>
  </si>
  <si>
    <t>Formulaires cultures speciaux:</t>
  </si>
  <si>
    <t>Jours d'affour-</t>
  </si>
  <si>
    <t>ragement</t>
  </si>
  <si>
    <t>80 - 100 ha</t>
  </si>
  <si>
    <t>100 - 120 ha</t>
  </si>
  <si>
    <t>120 - 140 ha</t>
  </si>
  <si>
    <t>Kosten Meliorationen</t>
  </si>
  <si>
    <t>Les données générales de l'exploitation (adresse, mode de production, zone de production, surfaces, animaux) doivent être saisies dans les pages 1 à 3. Ces données sont indispensables pour tous les calculs des autres pages!</t>
  </si>
  <si>
    <t>Rapskuchen</t>
  </si>
  <si>
    <t>Colza, tourteau de pression</t>
  </si>
  <si>
    <t>Zone:</t>
  </si>
  <si>
    <t>Description</t>
  </si>
  <si>
    <t>Terre, ha</t>
  </si>
  <si>
    <t>Légumes et fleurs de coupe récoltés avec système racinaire intact</t>
  </si>
  <si>
    <t>Brache mit gehäckselter Maisstrohbedeckung, unbearbeitet</t>
  </si>
  <si>
    <t>Brache mit gehäckselter Maisstrohbedeckung, bearbeitet</t>
  </si>
  <si>
    <t>Contributi per la detenzione di animali in condizioni difficili di produzione  2011 a 2013*</t>
  </si>
  <si>
    <t>Barbabietola da foraggio</t>
  </si>
  <si>
    <t>Lavoro proprio</t>
  </si>
  <si>
    <t>Materiale proprio</t>
  </si>
  <si>
    <t>Liquidità</t>
  </si>
  <si>
    <t>Crediti d'investimento</t>
  </si>
  <si>
    <t>1) La norme s'applique à l'exploitation exploité toute l'année. Une exploitation saisonnière peut être prise en compte par le calcul des absences,</t>
  </si>
  <si>
    <t>Charges spécifiques diverses</t>
  </si>
  <si>
    <t>Diverse Kosten</t>
  </si>
  <si>
    <t>Betteraves rouges</t>
  </si>
  <si>
    <t>Raifort 8-9 pl/m2</t>
  </si>
  <si>
    <t>Rhubarbe</t>
  </si>
  <si>
    <t>Chou de Bruxelles, résidus de récolte exportés</t>
  </si>
  <si>
    <t>Raves et navets</t>
  </si>
  <si>
    <t>Salades, diverses, rendement moyen</t>
  </si>
  <si>
    <t>Salades, diverses, rendement haut</t>
  </si>
  <si>
    <t>Basis-N-Ausnutzungsgrad</t>
  </si>
  <si>
    <t>SAK für Direktzahlungen</t>
  </si>
  <si>
    <r>
      <t>P</t>
    </r>
    <r>
      <rPr>
        <vertAlign val="subscript"/>
        <sz val="10"/>
        <rFont val="Arial Narrow"/>
        <family val="2"/>
      </rPr>
      <t>2</t>
    </r>
    <r>
      <rPr>
        <sz val="8"/>
        <rFont val="Arial Narrow"/>
        <family val="2"/>
      </rPr>
      <t>O</t>
    </r>
    <r>
      <rPr>
        <vertAlign val="subscript"/>
        <sz val="10"/>
        <rFont val="Arial Narrow"/>
        <family val="2"/>
      </rPr>
      <t>5</t>
    </r>
  </si>
  <si>
    <r>
      <t>K</t>
    </r>
    <r>
      <rPr>
        <vertAlign val="subscript"/>
        <sz val="10"/>
        <rFont val="Arial Narrow"/>
        <family val="2"/>
      </rPr>
      <t>2</t>
    </r>
    <r>
      <rPr>
        <sz val="8"/>
        <rFont val="Arial Narrow"/>
        <family val="2"/>
      </rPr>
      <t>O</t>
    </r>
  </si>
  <si>
    <r>
      <t>m</t>
    </r>
    <r>
      <rPr>
        <vertAlign val="superscript"/>
        <sz val="9"/>
        <rFont val="Arial"/>
        <family val="2"/>
      </rPr>
      <t>3</t>
    </r>
  </si>
  <si>
    <t>Acker</t>
  </si>
  <si>
    <t>Futter</t>
  </si>
  <si>
    <t>Plus restes dans les crèches (estimation)</t>
  </si>
  <si>
    <t>Production totale en hiver (non dilué)</t>
  </si>
  <si>
    <t>Types d'eaux usées</t>
  </si>
  <si>
    <t>Prod. par unité</t>
  </si>
  <si>
    <t>Rucola (roquette), une coupe</t>
  </si>
  <si>
    <t>Rucola (roquette), deux coupes</t>
  </si>
  <si>
    <t>Grundfutterverzehr auf dem Betrieb (GFverz)</t>
  </si>
  <si>
    <t>GFprod</t>
  </si>
  <si>
    <t>de qualité 1</t>
  </si>
  <si>
    <t>de qualité 2</t>
  </si>
  <si>
    <t>de qualité 3</t>
  </si>
  <si>
    <t>Prairies extensives*</t>
  </si>
  <si>
    <t>A6: Consommation de fourrage de base par les animaux consommant des fourrages grossiers</t>
  </si>
  <si>
    <t>Nombre primipares, resp. taureaux reproducteurs / année</t>
  </si>
  <si>
    <t>vaches resp. taureaux</t>
  </si>
  <si>
    <t xml:space="preserve">Nombre Ø </t>
  </si>
  <si>
    <t>vaches</t>
  </si>
  <si>
    <t>taureaux</t>
  </si>
  <si>
    <t>Fenouil</t>
  </si>
  <si>
    <t>Concombre, cornichons</t>
  </si>
  <si>
    <t>Tages-</t>
  </si>
  <si>
    <t>Heu</t>
  </si>
  <si>
    <t>Weidemastlamm, -gitzi</t>
  </si>
  <si>
    <t>35-50%, 1 coupe de conserv., moyen</t>
  </si>
  <si>
    <t>Herbe affourragée en vert</t>
  </si>
  <si>
    <t>Herbe, pâture</t>
  </si>
  <si>
    <t>Tierart</t>
  </si>
  <si>
    <t>Begrenzung pro Standardarbeitskraft</t>
  </si>
  <si>
    <t>Baies</t>
  </si>
  <si>
    <t>BetVor light erstellen</t>
  </si>
  <si>
    <t>Paille de soja</t>
  </si>
  <si>
    <t>Mutterkuhkälber</t>
  </si>
  <si>
    <t>Aliment pour verrats</t>
  </si>
  <si>
    <t>Veränderung in Rp./kg u. Jahr</t>
  </si>
  <si>
    <t>SRPA</t>
  </si>
  <si>
    <t>O / N</t>
  </si>
  <si>
    <t>SST</t>
  </si>
  <si>
    <t>Bête</t>
  </si>
  <si>
    <t>Place</t>
  </si>
  <si>
    <t>Nombre</t>
  </si>
  <si>
    <t>Nombre de familles</t>
  </si>
  <si>
    <t>Bodenhaltung</t>
  </si>
  <si>
    <t>Bodenhaltung mit Auslauf</t>
  </si>
  <si>
    <t>Autres dépenses</t>
  </si>
  <si>
    <t xml:space="preserve"> + Naturallohnansatz</t>
  </si>
  <si>
    <t xml:space="preserve"> = Bruttolohn</t>
  </si>
  <si>
    <t xml:space="preserve">  - concentrés et sous-produits</t>
  </si>
  <si>
    <t>[ + ] Reprises et cession d'engrais de ferme</t>
  </si>
  <si>
    <t>[ + ] Import d'autres engrais</t>
  </si>
  <si>
    <t>Carottes de conserve</t>
  </si>
  <si>
    <t>surfaces exploitées par tradition à l'étranger + 0.01 ha par arbre fruitier haute-tige, noyer, châtaignier QI et haies, bosquets et berges boisées</t>
  </si>
  <si>
    <t>(avec la bande herbeuse).</t>
  </si>
  <si>
    <t>Voir aussi Aide à l'exécution Feuille d'information n°6: catalogue des surfaces 2016.</t>
  </si>
  <si>
    <t>Part maximale par surface calculée de manière pondérée</t>
  </si>
  <si>
    <t>Période hivernale</t>
  </si>
  <si>
    <t>Période d'été</t>
  </si>
  <si>
    <t>Cult. précéd. cult. dérobée</t>
  </si>
  <si>
    <t>Labour</t>
  </si>
  <si>
    <t>Obstkulturen auswählen</t>
  </si>
  <si>
    <t>Steuern</t>
  </si>
  <si>
    <t>VbE x</t>
  </si>
  <si>
    <t>ou le nom du fichier est trop long (&gt; 6 caractères) et/ou contient des caractères spéciaux (p.ex. espaces)</t>
  </si>
  <si>
    <t>übrige offene Ackerfläche</t>
  </si>
  <si>
    <t>autres terres ouvertes</t>
  </si>
  <si>
    <t>Registernamen</t>
  </si>
  <si>
    <t>A3: Reprises et cessions d'engrais de ferme</t>
  </si>
  <si>
    <t>Umsatzbereich</t>
  </si>
  <si>
    <t>Resa Ø</t>
  </si>
  <si>
    <t>Pâturage         extensif</t>
  </si>
  <si>
    <t>AKh total</t>
  </si>
  <si>
    <t>Traktorstunden</t>
  </si>
  <si>
    <t>AKh für IP-</t>
  </si>
  <si>
    <t>Purin / mois</t>
  </si>
  <si>
    <t>Typ de fumier</t>
  </si>
  <si>
    <t>Typ de purin</t>
  </si>
  <si>
    <t>Fumier de cheval</t>
  </si>
  <si>
    <t>Fumier de cheval frais</t>
  </si>
  <si>
    <t>Teleskopverteiler</t>
  </si>
  <si>
    <t>Melkanlage</t>
  </si>
  <si>
    <t>Rührwerk</t>
  </si>
  <si>
    <t>img_Check</t>
  </si>
  <si>
    <t>Butt erfassen</t>
  </si>
  <si>
    <t>pro</t>
  </si>
  <si>
    <t>Nährstoffanfall in der Gülle</t>
  </si>
  <si>
    <t>Stall-</t>
  </si>
  <si>
    <t>1) NST = Normalstoss = 1 RGVE 100 Sömmerungstage</t>
  </si>
  <si>
    <t>&lt; 18%, 3 Kons.-schnitte, tief</t>
  </si>
  <si>
    <t>&lt; 18%, 3 Kons.-schnitte, mittel</t>
  </si>
  <si>
    <t>&lt; 18%, 3 Kons.-schnitte, hoch</t>
  </si>
  <si>
    <t>18-35%, 3 Kons.-schnitte, tief</t>
  </si>
  <si>
    <t>extensives, litières</t>
  </si>
  <si>
    <t>% der Gesamtfläche C</t>
  </si>
  <si>
    <t>= LN</t>
  </si>
  <si>
    <t>= SAU</t>
  </si>
  <si>
    <t xml:space="preserve">C = C1 + C2 + C3 </t>
  </si>
  <si>
    <t>% de la SAU avec TAB</t>
  </si>
  <si>
    <t xml:space="preserve">C </t>
  </si>
  <si>
    <t>(Gesamtfläche C - Bauzone ausserhalb LN  = LN)</t>
  </si>
  <si>
    <t xml:space="preserve">Offene Ackerfläche </t>
  </si>
  <si>
    <t>Finished:</t>
  </si>
  <si>
    <t xml:space="preserve"> = Salaire brut</t>
  </si>
  <si>
    <t>Indication par rapport à la production d'engrais de ferme</t>
  </si>
  <si>
    <t>L'affouragement hivernal doit comporter un nombre (sans unité)!</t>
  </si>
  <si>
    <t>Text 90</t>
  </si>
  <si>
    <t>Surface minimale pour les prestations écologiques requises (PER)</t>
  </si>
  <si>
    <t>Die Daten aus dieser Datei können nicht importiert werden; dies kann folgende Ursachen haben:</t>
  </si>
  <si>
    <t>Sollen die Werte aus dieser Arbeitsmappe übernommen werden?</t>
  </si>
  <si>
    <t>Anzahl Weidetiere übersteigt die Tierzahl oder ist negativ!</t>
  </si>
  <si>
    <t>Nettomonetäres Umlaufvermögen zur Verteilung</t>
  </si>
  <si>
    <t>Text Anmerk_1b</t>
  </si>
  <si>
    <t>Nachweis erstellen</t>
  </si>
  <si>
    <t xml:space="preserve">[ - ] Transf. interne d'él. nutrit. par fourr. prairies sans fumure      </t>
  </si>
  <si>
    <t xml:space="preserve">Bilan final: </t>
  </si>
  <si>
    <t>Bodenschutz-Index</t>
  </si>
  <si>
    <t xml:space="preserve">Nährstoffbedarf Betrieb  C    </t>
  </si>
  <si>
    <t>Formular D:  Übrige Dünger</t>
  </si>
  <si>
    <t>Düngerart</t>
  </si>
  <si>
    <t>zugeführte Menge</t>
  </si>
  <si>
    <t>Butt Gf1</t>
  </si>
  <si>
    <t>Butt Gf2</t>
  </si>
  <si>
    <t>Amortis-</t>
  </si>
  <si>
    <t>sements</t>
  </si>
  <si>
    <t>dont</t>
  </si>
  <si>
    <t>Coûts améliorations foncières</t>
  </si>
  <si>
    <t>Bemerkungen</t>
  </si>
  <si>
    <t>Datum</t>
  </si>
  <si>
    <t>Unterschrift</t>
  </si>
  <si>
    <t>Fläche</t>
  </si>
  <si>
    <t>Variante:</t>
  </si>
  <si>
    <t>Jahr:</t>
  </si>
  <si>
    <t>Hauptprodukt</t>
  </si>
  <si>
    <t>Familie</t>
  </si>
  <si>
    <t>rouge = ne pas accompli</t>
  </si>
  <si>
    <t>rot = nicht erfüllt</t>
  </si>
  <si>
    <t>région de montagne</t>
  </si>
  <si>
    <t>Berggebiet</t>
  </si>
  <si>
    <t>Mois d'hiver:</t>
  </si>
  <si>
    <t>Végétation spontanée</t>
  </si>
  <si>
    <t>Paille de tournesols</t>
  </si>
  <si>
    <t>regione di montagna</t>
  </si>
  <si>
    <t>manca la zona di produzione</t>
  </si>
  <si>
    <t>Contributo per la preservazione dell'apertura del paesaggio*</t>
  </si>
  <si>
    <t>Zona di pianura (senza contributi)</t>
  </si>
  <si>
    <t xml:space="preserve"> UGB; stabulation sur litière profonde (fumier</t>
  </si>
  <si>
    <t xml:space="preserve"> UGB; couvert sur pâture</t>
  </si>
  <si>
    <t>Trésorerie à répartir</t>
  </si>
  <si>
    <t>Autres animaux consommant des fourrages grossiers</t>
  </si>
  <si>
    <t>Alpaga moins de 2 ans</t>
  </si>
  <si>
    <t>Alpaga plus de 2 ans</t>
  </si>
  <si>
    <t>Lama moins de 2 ans</t>
  </si>
  <si>
    <t>Dürrfutterbedarf</t>
  </si>
  <si>
    <t>Mittelwert Gewächshausgemüse</t>
  </si>
  <si>
    <t>Kernobst</t>
  </si>
  <si>
    <t>fuori dalla SPB</t>
  </si>
  <si>
    <t>Coefficiente</t>
  </si>
  <si>
    <t>Graduazione</t>
  </si>
  <si>
    <t>Superficie ponderata</t>
  </si>
  <si>
    <t>Superficie totale</t>
  </si>
  <si>
    <t>pas de réduction</t>
  </si>
  <si>
    <t>Total contributions à la biodiversité avant limitation</t>
  </si>
  <si>
    <t>Pour rappel: critères d’entrée en matière et surface donnant droit aux contributions</t>
  </si>
  <si>
    <t xml:space="preserve">- Surface agricole utile donnant droit aux contributions: SAU sauf chanvre, plantes forestières, sapins de Noël, pépinières,  </t>
  </si>
  <si>
    <t>Güllemenge total verdünnt in m³</t>
  </si>
  <si>
    <t>davon konv. dt TS</t>
  </si>
  <si>
    <t>davon bio   dt TS</t>
  </si>
  <si>
    <t>Futterverzehr dt TS</t>
  </si>
  <si>
    <t>Stachelbeeren</t>
  </si>
  <si>
    <t>Céleri tige</t>
  </si>
  <si>
    <t>aller au tableau "consommation des vaches"</t>
  </si>
  <si>
    <t>[ + ] Zu- und Wegfuhr von Hofdüngern</t>
  </si>
  <si>
    <t>[ + ] Zufuhr übriger Dünger</t>
  </si>
  <si>
    <t>2000 Tiere</t>
  </si>
  <si>
    <t>Déduction pour la part de revenu supérieure à 80'000 :</t>
  </si>
  <si>
    <t>Elevage au sol, sorties en plein air</t>
  </si>
  <si>
    <t>Vigne</t>
  </si>
  <si>
    <t xml:space="preserve">      auf dem Ganzjahresbetrieb dividiert durch die Tierzahl korrigiert</t>
  </si>
  <si>
    <t>18-35%, 3 Kons.-schnitte, mittel</t>
  </si>
  <si>
    <t>Prova necessaria!</t>
  </si>
  <si>
    <t>Consumo FB troppo elevato!</t>
  </si>
  <si>
    <t>Ø Nutzungsdauer</t>
  </si>
  <si>
    <t xml:space="preserve">    - Les définitions contenues dans l’annexe 5 de l’OPD sont aussi valables pour </t>
  </si>
  <si>
    <t>Angestellte</t>
  </si>
  <si>
    <t>Text 76</t>
  </si>
  <si>
    <t>Text 77</t>
  </si>
  <si>
    <t>Text 78</t>
  </si>
  <si>
    <t>Text 81</t>
  </si>
  <si>
    <t>Prairies et pâturages</t>
  </si>
  <si>
    <t>Wiesen und Weiden</t>
  </si>
  <si>
    <t>* Gibt an, wieviel mal der letzte Cashflow erarbeitet werden müsste, um schuldenfrei zu werden</t>
  </si>
  <si>
    <t>Mechanisierungsplan 1</t>
  </si>
  <si>
    <t>Saldo Finanzierungsbereich</t>
  </si>
  <si>
    <t xml:space="preserve">Espèces et catégories d'animaux </t>
  </si>
  <si>
    <t>I/E-Bilanzwerte aus Kaninchenhaltung</t>
  </si>
  <si>
    <t>Valeurs du bilan I/E  de plusieurs catégories de lapins</t>
  </si>
  <si>
    <t>Jungtiere ab ca 35 Tagen</t>
  </si>
  <si>
    <t>Colrave</t>
  </si>
  <si>
    <t>je Jahr in kg</t>
  </si>
  <si>
    <t>Menge</t>
  </si>
  <si>
    <t>Nges</t>
  </si>
  <si>
    <t>Répartition de la trésorerie de la 1ère année</t>
  </si>
  <si>
    <t>Années</t>
  </si>
  <si>
    <t xml:space="preserve"> x  Nombre de mois de travail</t>
  </si>
  <si>
    <t>Bison moins de 900 jours</t>
  </si>
  <si>
    <t>Rindviehmast intensiv &gt; 160 Tage</t>
  </si>
  <si>
    <t>Rindviehmast Weidemast &gt; 160 Tage</t>
  </si>
  <si>
    <t>Rindviehmast &lt; 160 Tage</t>
  </si>
  <si>
    <t>Bovin à l'engrais &lt;  160 jours</t>
  </si>
  <si>
    <t>Bovins et buffles &gt; 160 jours, équidés &gt; 30 mois, chèvres &gt; 1 an</t>
  </si>
  <si>
    <t>Equidés &gt; 900 jours, &gt; 148 cm</t>
  </si>
  <si>
    <t>Equidés 180-900 jours, &gt; 148 cm</t>
  </si>
  <si>
    <t>Equiden</t>
  </si>
  <si>
    <t>Kaninchen: Zibben inkl. Jungtiere bis ca. 35 Tage</t>
  </si>
  <si>
    <t>Travail</t>
  </si>
  <si>
    <t>Resa tot.</t>
  </si>
  <si>
    <t>Prairies extensives</t>
  </si>
  <si>
    <t>Pâturages extensifs, pâturages boisés</t>
  </si>
  <si>
    <t>Getreide-Silage</t>
  </si>
  <si>
    <t>Getreide-Silage mit Leguminosen</t>
  </si>
  <si>
    <t>Céréales ensilées</t>
  </si>
  <si>
    <t>Céréales ensilées avec légumineuses</t>
  </si>
  <si>
    <t>Mutterkühe</t>
  </si>
  <si>
    <t>Rindviehmast Weide &gt; 160 Tage</t>
  </si>
  <si>
    <t>Bisons über 900-tägig</t>
  </si>
  <si>
    <t>old:</t>
  </si>
  <si>
    <t>new:</t>
  </si>
  <si>
    <t>Vendita diretta in azienda</t>
  </si>
  <si>
    <t>Sommergerste</t>
  </si>
  <si>
    <t>Prairie-maïs</t>
  </si>
  <si>
    <t>Jours d'estivage</t>
  </si>
  <si>
    <t>Extensiv genutzte Weiden, Waldweiden</t>
  </si>
  <si>
    <t>Vernetzungsbeiträge</t>
  </si>
  <si>
    <t>Liquidités non prélevées (+) / prélevées en plus (-)</t>
  </si>
  <si>
    <t>M &amp; T</t>
  </si>
  <si>
    <t>Lamas über 2-jährig</t>
  </si>
  <si>
    <t>Lamas unter 2-jährig</t>
  </si>
  <si>
    <t>Alpakas über 2-jährig</t>
  </si>
  <si>
    <t>Bisons jusqu'à 900 jours (élevage/engraissement)</t>
  </si>
  <si>
    <t>Bisons bis 900-tägig (Zucht u. Mast)</t>
  </si>
  <si>
    <t>Bison plus de 900 jours</t>
  </si>
  <si>
    <t>Schonende Bodenbearbeitung**</t>
  </si>
  <si>
    <t>Travail ménageant le sol**</t>
  </si>
  <si>
    <t>** Pas de contributions versées pour la mise en place de blé ou de triticale après maïs</t>
  </si>
  <si>
    <t>&lt; 18%, 4 Kons.-schnitte, hoch</t>
  </si>
  <si>
    <t>Wiese intensiv</t>
  </si>
  <si>
    <t>Auf diesem Blatt fehlt die [FehlerMarkieren]</t>
  </si>
  <si>
    <t>Strohbedarf</t>
  </si>
  <si>
    <t>dt x Raumbedarf</t>
  </si>
  <si>
    <t>AKh für Bio-</t>
  </si>
  <si>
    <t>Parzellengrösse</t>
  </si>
  <si>
    <t>B &amp; S</t>
  </si>
  <si>
    <t>Mehrarbeit</t>
  </si>
  <si>
    <t>Total contribution pour des cultures particulières</t>
  </si>
  <si>
    <t>chk_Pausch</t>
  </si>
  <si>
    <t>Futterverzehr nach DGVE (Bio Suisse)</t>
  </si>
  <si>
    <t>consom. fourrages selon UGBF (Bio Suisse)</t>
  </si>
  <si>
    <t>gültig  ab Erntejahr:</t>
  </si>
  <si>
    <t>gültig ab</t>
  </si>
  <si>
    <t xml:space="preserve">Prairie naturelle, </t>
  </si>
  <si>
    <t xml:space="preserve">fauche-pâture </t>
  </si>
  <si>
    <t xml:space="preserve">Prairie temporaire </t>
  </si>
  <si>
    <t>Folgeausgaben der Investition</t>
  </si>
  <si>
    <t>Formular A: Grundfutterverzehr und verfügbare Nährstoffe</t>
  </si>
  <si>
    <t>Zusatzangaben für Milchkühe:</t>
  </si>
  <si>
    <t>kg</t>
  </si>
  <si>
    <t xml:space="preserve">                                   Dirzahl</t>
  </si>
  <si>
    <t>Pflanzenbau: (Daten aus Fläche A1)</t>
  </si>
  <si>
    <t>Brocoli</t>
  </si>
  <si>
    <t>Chou chinois</t>
  </si>
  <si>
    <t>Endive</t>
  </si>
  <si>
    <t>MB par unité</t>
  </si>
  <si>
    <t>Aubergine</t>
  </si>
  <si>
    <t>Blumenkohl</t>
  </si>
  <si>
    <t>part max.</t>
  </si>
  <si>
    <t>la surface du produit secondaire ne peut être supérieur à la surface du produit principal</t>
  </si>
  <si>
    <t>Epinard non hivern. une coupe semé avant mi-avril</t>
  </si>
  <si>
    <t>Rampon (mâche, doucette)</t>
  </si>
  <si>
    <t>Carottes de transformation et de garde, rdt moyen</t>
  </si>
  <si>
    <t>Bilan intermédiaire</t>
  </si>
  <si>
    <t>Trésorie nette disponible selon décomptes des partenaires</t>
  </si>
  <si>
    <t>Besonders tierfreundliche Stallhaltungssysteme (BTS)</t>
  </si>
  <si>
    <t>entre  15.11 et  15.02</t>
  </si>
  <si>
    <t>Quantités</t>
  </si>
  <si>
    <t>contractuelles</t>
  </si>
  <si>
    <t>Vertragsmengen</t>
  </si>
  <si>
    <t>In Excel können nicht mehrere Mappen gleichen Namens geöffnet werden. Eine Mappe mit diesem Namen ist bereits geöffnet!</t>
  </si>
  <si>
    <t>konnte nicht geladen werden</t>
  </si>
  <si>
    <t>Variation de la trésorerie nette globale</t>
  </si>
  <si>
    <t>B. Abwasser / Verdünnungswasser in der Gülle</t>
  </si>
  <si>
    <t>Porcs d'élevage y compris porcelet</t>
  </si>
  <si>
    <t>Abgesetzte Ferkel</t>
  </si>
  <si>
    <t>Sommerhafer</t>
  </si>
  <si>
    <t>Avoine de printemps</t>
  </si>
  <si>
    <t>Werte löschen</t>
  </si>
  <si>
    <t>Effacer des données</t>
  </si>
  <si>
    <t>Sonderarbeiten</t>
  </si>
  <si>
    <t xml:space="preserve">  Zierpflanzen, Hanf und Gewächshäuser mit festem Fundament </t>
  </si>
  <si>
    <t>Geburtsjahr</t>
  </si>
  <si>
    <t>weitere Angaben</t>
  </si>
  <si>
    <t>Freiland-Konservengemüse</t>
  </si>
  <si>
    <t>darf nur genau die Ernte-Mappe geöffnet sein, von der die Daten übernommen werden sollen</t>
  </si>
  <si>
    <t>Landw. Nutzfläche ohne Spezialkulturen</t>
  </si>
  <si>
    <t>Säume auf Ackerflächen</t>
  </si>
  <si>
    <t>Streue-, Torfland</t>
  </si>
  <si>
    <t>Hecken, Feld- und Ufergehölze</t>
  </si>
  <si>
    <t>retour à la feuille "animaux ", report des données dans les autres feuilles</t>
  </si>
  <si>
    <t>Nombre d'animaux</t>
  </si>
  <si>
    <t>Nombre Ø vache</t>
  </si>
  <si>
    <t>Piani tecnici</t>
  </si>
  <si>
    <t>cas nécéssaires! Voulez vous continuer?</t>
  </si>
  <si>
    <t>SE</t>
  </si>
  <si>
    <t>Saum auf Ackerfläche</t>
  </si>
  <si>
    <t>Betteraves sucrières</t>
  </si>
  <si>
    <t>Surface agricole utile</t>
  </si>
  <si>
    <t>Private Kapitalrückzüge</t>
  </si>
  <si>
    <t>LHP</t>
  </si>
  <si>
    <t>Lege- und Zuchthennen</t>
  </si>
  <si>
    <t>100 Pl.</t>
  </si>
  <si>
    <t>Junghennen</t>
  </si>
  <si>
    <t>Mastpoulets</t>
  </si>
  <si>
    <t>Masttruten</t>
  </si>
  <si>
    <t xml:space="preserve">Total Beitrags-GVE </t>
  </si>
  <si>
    <t>Dépenses inhérentes à l'investissement</t>
  </si>
  <si>
    <t>bête x jours de pâture x heures x Nstock</t>
  </si>
  <si>
    <t xml:space="preserve">Il y a plusieurs fichiers ouverts. Fermez ces fichiers et répétez l'action! </t>
  </si>
  <si>
    <t>Die zu übertragenden benannten Bereiche entsprechen sich nicht</t>
  </si>
  <si>
    <t>Tierbestand, GVE</t>
  </si>
  <si>
    <t>Flächenstufen</t>
  </si>
  <si>
    <t>Crédits d'investissements</t>
  </si>
  <si>
    <t>Prêts</t>
  </si>
  <si>
    <t>Hypothèques</t>
  </si>
  <si>
    <t>Vermögensabzug Veheiratete</t>
  </si>
  <si>
    <t>Vermögensabzug SAK</t>
  </si>
  <si>
    <t>Besonders tierfreundliche Stallhaltungssysteme</t>
  </si>
  <si>
    <t>Zukauf von Stroh zur Verfütterung</t>
  </si>
  <si>
    <t>18-35%, 1 coupe de conserv., bas</t>
  </si>
  <si>
    <t>18-35%, 1 coupe de conserv., moyen</t>
  </si>
  <si>
    <t>Himbeeren</t>
  </si>
  <si>
    <t>Himbeeren, hoher Ertrag</t>
  </si>
  <si>
    <t>Gem1</t>
  </si>
  <si>
    <t>Gem2</t>
  </si>
  <si>
    <t>18-35%, 1 coupe de conserv., haut</t>
  </si>
  <si>
    <t>Sommermonate:</t>
  </si>
  <si>
    <t>Wintermonate:</t>
  </si>
  <si>
    <t>Autres chèvres</t>
  </si>
  <si>
    <t>Zonenindex numerisch</t>
  </si>
  <si>
    <t>Travaux supplémentaires non-imputables dus à la PI ou BIO par exploitation</t>
  </si>
  <si>
    <t>Ménage</t>
  </si>
  <si>
    <t>Travail ménager</t>
  </si>
  <si>
    <t>Garde enfants</t>
  </si>
  <si>
    <t>Zuchtschweine, säugend</t>
  </si>
  <si>
    <t>Consommation de fourrages et production</t>
  </si>
  <si>
    <t>d'éléments nutritifs par les animaux</t>
  </si>
  <si>
    <t>Total dt MS par an</t>
  </si>
  <si>
    <t>Sous-total A1</t>
  </si>
  <si>
    <t>modifier le nombre de vaches</t>
  </si>
  <si>
    <t>Lég1</t>
  </si>
  <si>
    <t>Lég2</t>
  </si>
  <si>
    <t>Elev</t>
  </si>
  <si>
    <t>Lait</t>
  </si>
  <si>
    <t>Fgr</t>
  </si>
  <si>
    <t>Engrf</t>
  </si>
  <si>
    <t>Moh</t>
  </si>
  <si>
    <t>Tiere der Rindergattung ohne Kälber, Ziegen und Kaninchen</t>
  </si>
  <si>
    <t>Valeurs limites</t>
  </si>
  <si>
    <t>Maïs d'ensilage hiver</t>
  </si>
  <si>
    <t>PER : pas remplies</t>
  </si>
  <si>
    <t>[FehlerBedingung] et [FehlerMarkieren] n'ont pas autant de parts de surfaces</t>
  </si>
  <si>
    <t>Kartoffeln Früh-</t>
  </si>
  <si>
    <t>Kohlrabi</t>
  </si>
  <si>
    <t>Kohlrabi Verarbeitung</t>
  </si>
  <si>
    <t>Haie, bosquet, prés à litière</t>
  </si>
  <si>
    <t>Anderes:</t>
  </si>
  <si>
    <t>Tiere der Pferdegattung</t>
  </si>
  <si>
    <t>Semis prairie temporaire/dérobée</t>
  </si>
  <si>
    <t>5000 animaux</t>
  </si>
  <si>
    <t>10000 Tiere</t>
  </si>
  <si>
    <t>Piano di meccanizzazione 1</t>
  </si>
  <si>
    <t>Piano di meccanizzazione 2</t>
  </si>
  <si>
    <t>Méc1</t>
  </si>
  <si>
    <t>Pdt précoces</t>
  </si>
  <si>
    <t>Fläche auf verschiedene Zonen aufteilen</t>
  </si>
  <si>
    <t>Rettich 18 Stk/m2</t>
  </si>
  <si>
    <t>Portulak</t>
  </si>
  <si>
    <t>Rucola, ein Schnitt</t>
  </si>
  <si>
    <t xml:space="preserve">Vous avez saisi trop de cultures pour ce tableau! Vérifiez les données saisies à la page 2 </t>
  </si>
  <si>
    <t>Résultat de votre exploitation</t>
  </si>
  <si>
    <t>% des</t>
  </si>
  <si>
    <t>en ha</t>
  </si>
  <si>
    <t>cultures spéc.</t>
  </si>
  <si>
    <t>= massgebendes Vermögen</t>
  </si>
  <si>
    <t>= Fortune déterminante</t>
  </si>
  <si>
    <t>autres surfaces agricoles utiles</t>
  </si>
  <si>
    <t>Chanvre oléagineux</t>
  </si>
  <si>
    <t>Colza pour EMC</t>
  </si>
  <si>
    <t>Tournesols</t>
  </si>
  <si>
    <t xml:space="preserve"> MSP; Voll- oder Teilspaltenboden, Liegebucht</t>
  </si>
  <si>
    <t>Kulturen in geschütztem Anbau</t>
  </si>
  <si>
    <t>Übriges</t>
  </si>
  <si>
    <t>Landw. Nutzfläche</t>
  </si>
  <si>
    <t>Wald</t>
  </si>
  <si>
    <t>Unproduktiv</t>
  </si>
  <si>
    <t>Betriebsfläche</t>
  </si>
  <si>
    <t>Recettes du privé</t>
  </si>
  <si>
    <t>Contrôler la SAU donnant droit aux contributions !!</t>
  </si>
  <si>
    <t>Laufstallmist und wenig Gülle (60-90% eingestreut)</t>
  </si>
  <si>
    <t>Epautre</t>
  </si>
  <si>
    <t>Nombre d'animaux au pâturage dépasse le nombre d'animaux ou est négatif!</t>
  </si>
  <si>
    <t>5 Teilflächen</t>
  </si>
  <si>
    <t>Terres ouvertes, ha:</t>
  </si>
  <si>
    <t>Cases jaunes:</t>
  </si>
  <si>
    <t>Rendement standard</t>
  </si>
  <si>
    <t>Rinder, Pferde, Bisons, Schafe, Ziegen, Hirsche, Kaninchen</t>
  </si>
  <si>
    <t>Hackgerät</t>
  </si>
  <si>
    <t>Düngerstreuer</t>
  </si>
  <si>
    <t>Miststreuer</t>
  </si>
  <si>
    <t>Bitte diese Mappe unter einem neuen Namen abspeichern!</t>
  </si>
  <si>
    <t>Contributi per le superfici declive 2011 a 2013*</t>
  </si>
  <si>
    <t>UMOS 2013</t>
  </si>
  <si>
    <t>oui</t>
  </si>
  <si>
    <t>non</t>
  </si>
  <si>
    <t>&gt; 50%, 1 Kons.-schnitt, mittel</t>
  </si>
  <si>
    <t>Selbständige ausserlandwirtschaftliche Aktivitäten</t>
  </si>
  <si>
    <t>Prairie pour porcs</t>
  </si>
  <si>
    <t>Maïs ensilage</t>
  </si>
  <si>
    <t>Oben</t>
  </si>
  <si>
    <t>Breite</t>
  </si>
  <si>
    <t>Höhe</t>
  </si>
  <si>
    <t>Logo</t>
  </si>
  <si>
    <t>Contributi per la sicurezza dell'approvvigionamento</t>
  </si>
  <si>
    <t>Basisbeitrag</t>
  </si>
  <si>
    <t>Contribution de base</t>
  </si>
  <si>
    <t>an Impex</t>
  </si>
  <si>
    <t>Année de plan. 4</t>
  </si>
  <si>
    <t>Ausbildungszulage ab 2009</t>
  </si>
  <si>
    <t>All. pour enfant dès 2009</t>
  </si>
  <si>
    <t>(245*0.30+365*0.40)/610</t>
  </si>
  <si>
    <t>3 Teilflächen</t>
  </si>
  <si>
    <t>4 Teilflächen</t>
  </si>
  <si>
    <t>(100*0.3+90*0.4)/365</t>
  </si>
  <si>
    <t>Damhirsche</t>
  </si>
  <si>
    <t>&lt; 18%, 5 Kons.-schnitte, tief</t>
  </si>
  <si>
    <t>Variable Kosten</t>
  </si>
  <si>
    <t>Zukauf Kühe</t>
  </si>
  <si>
    <t>Zukauf Rinder über 2 Jahre</t>
  </si>
  <si>
    <t>Zukauf Rinder 1 bis 2 Jahre</t>
  </si>
  <si>
    <t>Zukauf Aufzuchtstiere</t>
  </si>
  <si>
    <t>Zukauf Zuchtstiere</t>
  </si>
  <si>
    <t>25-50</t>
  </si>
  <si>
    <t>Extensive Wiesen</t>
  </si>
  <si>
    <t>Intérêts calculés cap. Propres / partenaire</t>
  </si>
  <si>
    <t>Buntbrache TZ und HZ</t>
  </si>
  <si>
    <t>Diese Aktion löscht alle in 'Dirzahl' nicht benötigten Tabellenblätter endgültig. Dabei darf die Arbeitsmappe noch keine Eingaben enthalten!</t>
  </si>
  <si>
    <t>Contribution pour des cultures particulières (Art. 54):</t>
  </si>
  <si>
    <t>Milchablieferung</t>
  </si>
  <si>
    <t>ha</t>
  </si>
  <si>
    <t>Zinsanspruch Eigenkapital</t>
  </si>
  <si>
    <t>Arbeitsverdienst Gemeinschaft</t>
  </si>
  <si>
    <t>Mittelflussrechnung</t>
  </si>
  <si>
    <t>Objekte &amp;entsperren</t>
  </si>
  <si>
    <t>&amp;déverrouiller les objets</t>
  </si>
  <si>
    <t>Objekte &amp;sperren</t>
  </si>
  <si>
    <t>&amp;verrouiller les objets</t>
  </si>
  <si>
    <t>Regelmässiger Auslauf im Freien (RAUS)</t>
  </si>
  <si>
    <t>Ourlet sur terres assolées TZ - ZM2</t>
  </si>
  <si>
    <t>Déductions enregistrées, alors qu'il n'y a pas d'animaux dans cette catégorie  ou les déductions dépassent le nombre d'animaux!</t>
  </si>
  <si>
    <t>Production d'éléments fertilisants provenant du bilan Import/Export</t>
  </si>
  <si>
    <t>Samenproduktion Leguminosen</t>
  </si>
  <si>
    <t>Samenproduktion Gräser</t>
  </si>
  <si>
    <t>Text PlusR</t>
  </si>
  <si>
    <t>umgerechnet ab 2009</t>
  </si>
  <si>
    <t>jahrabhängiger Faktor</t>
  </si>
  <si>
    <t>Freiland-Gemüsebau</t>
  </si>
  <si>
    <t>Auswahlliste</t>
  </si>
  <si>
    <t>Ausgewählte Kulturen</t>
  </si>
  <si>
    <t>alle Kulturen löschen</t>
  </si>
  <si>
    <t>einzelne Kultur löschen</t>
  </si>
  <si>
    <t>Info: Absence des UGBFG du feuille "Animaux" converti en PN</t>
  </si>
  <si>
    <t>Winterraps für Speiseöl</t>
  </si>
  <si>
    <t xml:space="preserve">Kunstwiese </t>
  </si>
  <si>
    <t>Kartoffeln</t>
  </si>
  <si>
    <t>Weiden für Schweine</t>
  </si>
  <si>
    <t>Superficie [ ha]</t>
  </si>
  <si>
    <t xml:space="preserve">das entspricht etwa </t>
  </si>
  <si>
    <t>qui correspond à</t>
  </si>
  <si>
    <t>Line 6</t>
  </si>
  <si>
    <t>Line 11</t>
  </si>
  <si>
    <t>Accolade fermante 5</t>
  </si>
  <si>
    <t>1) Einsatz auf die Winterration beschränkt</t>
  </si>
  <si>
    <t>Coûts installations fixes</t>
  </si>
  <si>
    <t>53 Bergzone III</t>
  </si>
  <si>
    <t>54 Bergzone IV</t>
  </si>
  <si>
    <t>Bezugsansprüche der Partner *)</t>
  </si>
  <si>
    <t>Prélèvement des partenaires *)</t>
  </si>
  <si>
    <t>*) gemäss Finanzplan</t>
  </si>
  <si>
    <t>*) selon flux monétaires pluriannuels</t>
  </si>
  <si>
    <t>Tournesol, pois protéagineux, féverole</t>
  </si>
  <si>
    <t>[-] Fourrages pour d'autres animaux</t>
  </si>
  <si>
    <t>Prairie naturelle,      mi-intensive</t>
  </si>
  <si>
    <t>51 Bergzone I</t>
  </si>
  <si>
    <t>52 Bergzone II</t>
  </si>
  <si>
    <t>Nverf</t>
  </si>
  <si>
    <t>Ndisp</t>
  </si>
  <si>
    <t>Boues d'épuration selon bulletin de livraison</t>
  </si>
  <si>
    <t>Compost</t>
  </si>
  <si>
    <t>Engrais minéral et autres</t>
  </si>
  <si>
    <t>Achat de paille pour litière</t>
  </si>
  <si>
    <t>D: Total import d'autres engrais</t>
  </si>
  <si>
    <t>Fohlen 0.5 bis 3-jährig</t>
  </si>
  <si>
    <t>Rothirsche, 2 Tiere, Muttertier und Nachwuchs</t>
  </si>
  <si>
    <t>Damhirsche, 2 Tiere, Muttertier und Nachwuchs</t>
  </si>
  <si>
    <t>Daims de tout âge, 2 animaux, mère et petit</t>
  </si>
  <si>
    <t>Cerfs rouges de tout âge, 2 animaux, mère et petit</t>
  </si>
  <si>
    <t>Contributions pour les terrains en pente (cantonales)</t>
  </si>
  <si>
    <t>Annuler</t>
  </si>
  <si>
    <t>Platz</t>
  </si>
  <si>
    <t>Andere Tiere</t>
  </si>
  <si>
    <t>Stiere 1 bis 2-jährig</t>
  </si>
  <si>
    <t>Stiere über 2-jährig</t>
  </si>
  <si>
    <t>Waldweiden (Typ 3)</t>
  </si>
  <si>
    <t>Zone d'ensilage</t>
  </si>
  <si>
    <t>Famille</t>
  </si>
  <si>
    <t xml:space="preserve">Conseiller(ère) </t>
  </si>
  <si>
    <t>Né(e) en</t>
  </si>
  <si>
    <t>Partenaire A</t>
  </si>
  <si>
    <t>Partenaire B</t>
  </si>
  <si>
    <t>Partenaire C</t>
  </si>
  <si>
    <t>Total consommation de fourrages grossiers</t>
  </si>
  <si>
    <t>Linie 1</t>
  </si>
  <si>
    <t>Linie 2</t>
  </si>
  <si>
    <t>Linie 3</t>
  </si>
  <si>
    <t>Linie 4</t>
  </si>
  <si>
    <t>Linie 5</t>
  </si>
  <si>
    <t>Linie 6</t>
  </si>
  <si>
    <t>Linie 7</t>
  </si>
  <si>
    <t>Linie 8</t>
  </si>
  <si>
    <t>Linie 9</t>
  </si>
  <si>
    <t>Linie 10</t>
  </si>
  <si>
    <t>Linie 11</t>
  </si>
  <si>
    <t>Linie 12</t>
  </si>
  <si>
    <t>Linie 13</t>
  </si>
  <si>
    <t>Linie 14</t>
  </si>
  <si>
    <t>Linie 15</t>
  </si>
  <si>
    <t>Linie 16</t>
  </si>
  <si>
    <t>Linie 17</t>
  </si>
  <si>
    <t>Linie 18</t>
  </si>
  <si>
    <t>Linie 19</t>
  </si>
  <si>
    <t>Butt zurück</t>
  </si>
  <si>
    <t>normale</t>
  </si>
  <si>
    <t>Ingrasso intensivo</t>
  </si>
  <si>
    <t>Subtotale A1</t>
  </si>
  <si>
    <t>Proprio dell'az. +</t>
  </si>
  <si>
    <t>Acquisto</t>
  </si>
  <si>
    <t xml:space="preserve">Sie haben für diese Tabelle zu viele Kulturen eingegeben! Überprüfen Sie die Eingaben auf Seite 2 </t>
  </si>
  <si>
    <t>Epinard d'hiver une coupe</t>
  </si>
  <si>
    <t>Bilan import-export:</t>
  </si>
  <si>
    <t>Anzahl Einh.
im Winter</t>
  </si>
  <si>
    <t>AS/
LS*</t>
  </si>
  <si>
    <t>Investimenti finanziari aziendali</t>
  </si>
  <si>
    <t>Autres cultures maraîchères non récoltées</t>
  </si>
  <si>
    <t>Jachère après culture maraîchère</t>
  </si>
  <si>
    <t>Référence</t>
  </si>
  <si>
    <t>Code</t>
  </si>
  <si>
    <t xml:space="preserve">Signature: </t>
  </si>
  <si>
    <t>Deckungsbeiträge</t>
  </si>
  <si>
    <t>Lis.</t>
  </si>
  <si>
    <t>de</t>
  </si>
  <si>
    <t>porc</t>
  </si>
  <si>
    <t>Fu-</t>
  </si>
  <si>
    <t>dont ménage</t>
  </si>
  <si>
    <t>Vente de paille</t>
  </si>
  <si>
    <t>Activités accessoires</t>
  </si>
  <si>
    <t>Travaux pour tiers, location de machines</t>
  </si>
  <si>
    <t>[-] Ventes</t>
  </si>
  <si>
    <t>Foglie di barbabietola da foraggio</t>
  </si>
  <si>
    <t>Comunità</t>
  </si>
  <si>
    <t>Utilizzazione del suolo</t>
  </si>
  <si>
    <t>Animali</t>
  </si>
  <si>
    <t>Cereali</t>
  </si>
  <si>
    <t>Rendements standard: vignes, raisin de table</t>
  </si>
  <si>
    <t>Charge minimale en bétail atteinte:</t>
  </si>
  <si>
    <t>Pulpe de betterave, ensilée</t>
  </si>
  <si>
    <t>Zuckerrübenschnitzel, siliert</t>
  </si>
  <si>
    <t>Pulpe de betterave, fraîche</t>
  </si>
  <si>
    <t>Zuckerrübenschnitzel, frisch</t>
  </si>
  <si>
    <t xml:space="preserve">Betterave sucrière </t>
  </si>
  <si>
    <t xml:space="preserve">Betterave fourragère </t>
  </si>
  <si>
    <t>dont ha sans labour1)</t>
  </si>
  <si>
    <t xml:space="preserve">Avoine </t>
  </si>
  <si>
    <t>Pois protéagineux d'automne</t>
  </si>
  <si>
    <t>Tab. für Meldungen</t>
  </si>
  <si>
    <t>Contrôle de la consommation de fourrages</t>
  </si>
  <si>
    <t>Total contributions à la sécurité de l'approvisionnement</t>
  </si>
  <si>
    <t xml:space="preserve"> UGB; sur plan incliné</t>
  </si>
  <si>
    <t xml:space="preserve"> UGB; à logettes (vaches) ou sur caillebotis</t>
  </si>
  <si>
    <t xml:space="preserve">Fattore </t>
  </si>
  <si>
    <t>di correzione</t>
  </si>
  <si>
    <t>Bandes culturales extensives, jachère florale et tournante, ourlets sur terres assolées</t>
  </si>
  <si>
    <t>Zone des collines</t>
  </si>
  <si>
    <t>Calcul des coûts influant sur le résultat</t>
  </si>
  <si>
    <t xml:space="preserve">Desinvestitionen </t>
  </si>
  <si>
    <t>Ammortamento</t>
  </si>
  <si>
    <t>Abitazione</t>
  </si>
  <si>
    <t>Edifici rurali</t>
  </si>
  <si>
    <t>Periodo di calcolo</t>
  </si>
  <si>
    <t xml:space="preserve">A4: Consommation de concentrés par les animaux autorisés </t>
  </si>
  <si>
    <t>A4: Kraftfutterverzehr der berechtigten Kategorien</t>
  </si>
  <si>
    <t>contrôler la SAU !</t>
  </si>
  <si>
    <t>fauche-pâturage      mi-intensif</t>
  </si>
  <si>
    <t>Prairie naturelle,      intensive</t>
  </si>
  <si>
    <t>A8: giorni di estivazione secondo AniCalc (BDTA)</t>
  </si>
  <si>
    <t>Part des cult. spéciales et du reste de la SAU en surface de compensation écologique</t>
  </si>
  <si>
    <t>La prestation brute</t>
  </si>
  <si>
    <t>Pain de sucre (Convenience)</t>
  </si>
  <si>
    <t>Löschen???</t>
  </si>
  <si>
    <t xml:space="preserve">Les différents facteurs UMOS sont adaptés sur la base du progrès technique réalisé depuis 2004. Les unités de travail annuel sur </t>
  </si>
  <si>
    <t>Daim, y c. petits, 1u.=2 animaux</t>
  </si>
  <si>
    <t>maximal (N)</t>
  </si>
  <si>
    <t>Freilandgemüse als Zweitkultur</t>
  </si>
  <si>
    <t xml:space="preserve"> GVE; Gitterrost (Vollgülle)</t>
  </si>
  <si>
    <t xml:space="preserve"> GVE; Schorrgraben oder Kotplatte</t>
  </si>
  <si>
    <t>Galtsauen</t>
  </si>
  <si>
    <t xml:space="preserve">                               Formulaires PER</t>
  </si>
  <si>
    <t>Mistanfall</t>
  </si>
  <si>
    <t>Gehalte in kg je t Mist</t>
  </si>
  <si>
    <t>Carottes de transformation et de garde, rdt haut</t>
  </si>
  <si>
    <t>PAM*, petites</t>
  </si>
  <si>
    <t>PAM*, moyennes</t>
  </si>
  <si>
    <t>PAM*, moyennes à grandes</t>
  </si>
  <si>
    <t>Detaillierte Berechnung des DB Mutterkühe</t>
  </si>
  <si>
    <t>UMOS pour paiements directs</t>
  </si>
  <si>
    <t>gewichtete Fläche</t>
  </si>
  <si>
    <t>Surface pondérée</t>
  </si>
  <si>
    <t>Streue-, Torfland (Typ 5)</t>
  </si>
  <si>
    <t>extensive Weiden und Waldweiden</t>
  </si>
  <si>
    <t>Contributions au bien-être des animaux</t>
  </si>
  <si>
    <t>Summe total Hilfstab &lt;&gt;Grünfl.</t>
  </si>
  <si>
    <t xml:space="preserve">              </t>
  </si>
  <si>
    <t xml:space="preserve">            </t>
  </si>
  <si>
    <t>1/2/3</t>
  </si>
  <si>
    <t xml:space="preserve"> = Superficie agricola utile (SAU)</t>
  </si>
  <si>
    <t>&gt; 50%, 1 coupe de conserv., moyen</t>
  </si>
  <si>
    <t>Mappennamen</t>
  </si>
  <si>
    <t>deutsch</t>
  </si>
  <si>
    <t>français</t>
  </si>
  <si>
    <t>vorzeitige Abgänge in Ausmast</t>
  </si>
  <si>
    <t>Umtriebsdauer</t>
  </si>
  <si>
    <t>de la VA</t>
  </si>
  <si>
    <t>Rép./entret./ass.</t>
  </si>
  <si>
    <t>de la VR*</t>
  </si>
  <si>
    <t>Rural</t>
  </si>
  <si>
    <t>35-50%, 2 coupes de conserv., haut</t>
  </si>
  <si>
    <t>35-50%, 1 coupe de conserv., bas</t>
  </si>
  <si>
    <t>SSRA</t>
  </si>
  <si>
    <t xml:space="preserve">Exigence de la part … dans la ration satisfaite </t>
  </si>
  <si>
    <t>mesi</t>
  </si>
  <si>
    <t>Dimensione media delle parcelle</t>
  </si>
  <si>
    <t>meccanizzazione</t>
  </si>
  <si>
    <t>Resa</t>
  </si>
  <si>
    <t>q SS</t>
  </si>
  <si>
    <t>Einnahmen aus der Gemeinschaft</t>
  </si>
  <si>
    <t>Ausgaben als Eigentümer</t>
  </si>
  <si>
    <t>Le nombre négatif</t>
  </si>
  <si>
    <t>doit être transformé en valeur absolue</t>
  </si>
  <si>
    <t>Erreur : le contenu de la cellule n'est pas un nombre positif</t>
  </si>
  <si>
    <t>Téléphone</t>
  </si>
  <si>
    <t>Canton</t>
  </si>
  <si>
    <t xml:space="preserve">    - Les exigences concernant l’affouragement et la charge minimale en bétail (selon la zone de </t>
  </si>
  <si>
    <t>Text Box 151</t>
  </si>
  <si>
    <t>Text Box 152</t>
  </si>
  <si>
    <t xml:space="preserve"> GVE; alte Ställe im Berggebiet</t>
  </si>
  <si>
    <t>Aufstallungssystem 2</t>
  </si>
  <si>
    <t>Tierart, Tierplatzkategorie</t>
  </si>
  <si>
    <t>Veaux blancs (50 - 200 kg) par année</t>
  </si>
  <si>
    <t>60 vaches allaitantes</t>
  </si>
  <si>
    <t>100 vaches allaitantes</t>
  </si>
  <si>
    <t>Dialog_Drucken</t>
  </si>
  <si>
    <t>Dialogue_Imprimer</t>
  </si>
  <si>
    <t>pro Tag</t>
  </si>
  <si>
    <t>Rendement MS</t>
  </si>
  <si>
    <t>Supprimer lignes individuelles "Vaches mères"</t>
  </si>
  <si>
    <t>Pauschale</t>
  </si>
  <si>
    <t>Forfait</t>
  </si>
  <si>
    <t xml:space="preserve">Mutterkühe </t>
  </si>
  <si>
    <t>Vaches mères</t>
  </si>
  <si>
    <t>Total prélèvements et indemnités</t>
  </si>
  <si>
    <t>Bezug zu</t>
  </si>
  <si>
    <t>GMF</t>
  </si>
  <si>
    <t>Strukturkosten B</t>
  </si>
  <si>
    <t>Allgemeine Betriebskosten</t>
  </si>
  <si>
    <t>Mobiliarversicherung</t>
  </si>
  <si>
    <t>Elektrische Energie</t>
  </si>
  <si>
    <t>Nährstoffhaushalt Gesamtbilanz pro ha DF</t>
  </si>
  <si>
    <t>Stickstoff</t>
  </si>
  <si>
    <t>Phosphor</t>
  </si>
  <si>
    <t>remplie?</t>
  </si>
  <si>
    <t xml:space="preserve">      und die Tage Sömmerung separat erfasst werden.</t>
  </si>
  <si>
    <t xml:space="preserve">                          peu intensif</t>
  </si>
  <si>
    <t xml:space="preserve"> dauernd besetzte Plätze umgerechnet.</t>
  </si>
  <si>
    <t>Text 29</t>
  </si>
  <si>
    <t>Text 30</t>
  </si>
  <si>
    <t>Text 31</t>
  </si>
  <si>
    <t>Text 32</t>
  </si>
  <si>
    <t>Text 33</t>
  </si>
  <si>
    <t>Line 34</t>
  </si>
  <si>
    <t>Text 36</t>
  </si>
  <si>
    <t>Uferwiese entlang von Fliessgewässern</t>
  </si>
  <si>
    <t>Calcul des unités de main-d'œuvre standard (UMOS) pour les paiement directs</t>
  </si>
  <si>
    <t>Total de votre exploitation</t>
  </si>
  <si>
    <t>Feldertrag</t>
  </si>
  <si>
    <t xml:space="preserve">  [Pour une saisie détaillée, utiliser le formulaire ad hoc de AGRIDEA !]</t>
  </si>
  <si>
    <t xml:space="preserve">1) Für die kombinierte Kategorie "Zuchtschweine inkl. Ferkel bis 26 kg" wird die  Anfallsreduktion aufgrund der Gehaltswerte der Kategorien "Zuchteber" und "Ferkel  abgesetzt" automatisch berechnet. </t>
  </si>
  <si>
    <t>1) La réduction de production de la catégorie combinée "Porcs d'élevage y compris      
     porcelet jusqu'à 26 kg" est calculée automatiquement à partir des teneurs des 
     catégories "Verrats d'élevage" et "Porcelets sevrés".</t>
  </si>
  <si>
    <t>Interesse (%)</t>
  </si>
  <si>
    <t>Costi</t>
  </si>
  <si>
    <t>Tipo di attività</t>
  </si>
  <si>
    <t>Für pauschale Eingabe das Kontrollkästchen aktivieren</t>
  </si>
  <si>
    <t>NHG-Beiträge, kantonale und kommunale Naturschutzbeiträge, kantonale Hangbeiträge</t>
  </si>
  <si>
    <t>- Landwirtschaftliche Ausbildung</t>
  </si>
  <si>
    <t>- Formation professionnelle agricole</t>
  </si>
  <si>
    <t>Fumier de lapines mères</t>
  </si>
  <si>
    <t>Ø Kuhbestand</t>
  </si>
  <si>
    <t>100 LHP</t>
  </si>
  <si>
    <t>Stallreinigung Mastgeflügel</t>
  </si>
  <si>
    <t>offene Ackerfläche</t>
  </si>
  <si>
    <t xml:space="preserve">Terres ouvertes et </t>
  </si>
  <si>
    <t>Terre aperte e</t>
  </si>
  <si>
    <t>3. Classement de l'offre selon les modes d'utilisation</t>
  </si>
  <si>
    <t>Rendement champ</t>
  </si>
  <si>
    <t>Offre nette de dt MS</t>
  </si>
  <si>
    <t>Mode d'utilisation</t>
  </si>
  <si>
    <t>intensif</t>
  </si>
  <si>
    <t>Pertes</t>
  </si>
  <si>
    <t>Da im Feldbuch nicht alle Flächenarten identisch erfasst werden, kontrollieren Sie bitte die Einträge im Tabellenblatt Fläche.</t>
  </si>
  <si>
    <t>Importation est terminée.</t>
  </si>
  <si>
    <t>Gurken, Essiggurken</t>
  </si>
  <si>
    <t>Rebflächen in Steil- und Terrassenlagen</t>
  </si>
  <si>
    <t>Besoins ensilage</t>
  </si>
  <si>
    <t>Kommentar:</t>
  </si>
  <si>
    <t>Allgemeine Angaben</t>
  </si>
  <si>
    <t xml:space="preserve">Allgemeine Angaben zum Betrieb </t>
  </si>
  <si>
    <t>Informations complémentaires</t>
  </si>
  <si>
    <t>Besoins nets des baies en éléments nutritifs selon le guide pour les petits fruits</t>
  </si>
  <si>
    <t>Truies gestantes</t>
  </si>
  <si>
    <t xml:space="preserve">Paille de blé de l'exploitation affouragée 8] </t>
  </si>
  <si>
    <t>part &lt; 10%</t>
  </si>
  <si>
    <t>Part max.</t>
  </si>
  <si>
    <t>des terres</t>
  </si>
  <si>
    <t>maximale</t>
  </si>
  <si>
    <t>Exigence</t>
  </si>
  <si>
    <t>Pâturages extensifs (type 2): dont SPB</t>
  </si>
  <si>
    <t>Pâturage boisé (type 3): dont SPB</t>
  </si>
  <si>
    <t>Prairies peu intensive (type 4): dont SPB</t>
  </si>
  <si>
    <t>Beiträge für die Haltung rauhfutterverzehrender Nutztiere</t>
  </si>
  <si>
    <t xml:space="preserve">Über 160 Tage alte Tiere der Rindergattung und Wasserbüffel, über 30 Monate  </t>
  </si>
  <si>
    <t>alte Tiere der Pferdegattung und über ein Jahr alte Tiere der Ziegengattung</t>
  </si>
  <si>
    <t>Arbeitskraftbilanz</t>
  </si>
  <si>
    <t>Familienzulagen</t>
  </si>
  <si>
    <t>1. und 2. Kind</t>
  </si>
  <si>
    <t>3. und weitere</t>
  </si>
  <si>
    <t>ab 2008</t>
  </si>
  <si>
    <t>Extensiv genutzte Wiesen (Typ 1): davon BFF</t>
  </si>
  <si>
    <t>Extensiv genutzte Weiden (Typ 2): davon BFF</t>
  </si>
  <si>
    <t>Waldweiden (Wytweiden, Selven) (Typ 3): davon BFF</t>
  </si>
  <si>
    <t>Trésorerie nette globale</t>
  </si>
  <si>
    <t>modifier la production laitière</t>
  </si>
  <si>
    <t>Production annuelle Ø de lait exploitation</t>
  </si>
  <si>
    <t>Alimentation mécanique, évacuation mécan. du fumier</t>
  </si>
  <si>
    <t>Spaltenbodenlaufstall, Fütterung mit Futtermischwagen</t>
  </si>
  <si>
    <t>Stabulation libre sur caillebotis, affour. avec mélangeuse</t>
  </si>
  <si>
    <t>10 animaux, y c. soin des agneaux</t>
  </si>
  <si>
    <t>50 animaux, y c. soin des agneaux</t>
  </si>
  <si>
    <t>100 animaux, y c. soin des agneaux</t>
  </si>
  <si>
    <t>200 animaux, y c. soin des agneaux</t>
  </si>
  <si>
    <t>Des modifications effectuées ici se répercutent uniquement sur les calculs des paiements directs et des unités de main-d'oeuvre standard, tous les autres onglets se basent sur les valeurs de la feuille "Inventaire bétail".</t>
  </si>
  <si>
    <t>Kaninchen, Zibben inkl. Jungtiere bis ca 35 Tage</t>
  </si>
  <si>
    <t>Zuchtschweine, inkl. Ferkel</t>
  </si>
  <si>
    <t>Gesamttotal SAK, inklusive Zuschläge</t>
  </si>
  <si>
    <t>10 Tiere, inklusive Lämmerbetreuung</t>
  </si>
  <si>
    <t>50 Tiere, inklusive Lämmerbetreuung</t>
  </si>
  <si>
    <t>100 Tiere, inklusive Lämmerbetreuung</t>
  </si>
  <si>
    <t>200 Tiere, inklusive Lämmerbetreuung</t>
  </si>
  <si>
    <t>Erntewagen, Einfädelmaschine</t>
  </si>
  <si>
    <t>Machine pour récolter, machine à enfiler</t>
  </si>
  <si>
    <t>Tafeläpfel, Handernte</t>
  </si>
  <si>
    <t>Pommes de table, récolte manuelle</t>
  </si>
  <si>
    <t>Kirschen, Tafelkirschen</t>
  </si>
  <si>
    <t>Cerises, cerises de table</t>
  </si>
  <si>
    <t>Kirschen, Brennkirschen</t>
  </si>
  <si>
    <t xml:space="preserve">Cerises, cerises à distiller </t>
  </si>
  <si>
    <t>Zwetschgen, Tafelzwetschgen</t>
  </si>
  <si>
    <t>Prunes, prunes de table</t>
  </si>
  <si>
    <t>Zwetschgen, Brennzwetschgen</t>
  </si>
  <si>
    <t>Prunes, prunes à distiller</t>
  </si>
  <si>
    <t>Himbeeren, Handernte</t>
  </si>
  <si>
    <t>Framboise, récolte manuelle</t>
  </si>
  <si>
    <t>Johannisbeeren, Handernte</t>
  </si>
  <si>
    <t>Groseilles, récolte manuelle</t>
  </si>
  <si>
    <t>Brombeeren, Handernte</t>
  </si>
  <si>
    <t>Mûres, récolte manuelle</t>
  </si>
  <si>
    <t>Mostobst, Auflesen von Hand</t>
  </si>
  <si>
    <t>Tunnel, couche pour plantons</t>
  </si>
  <si>
    <t>Surface de culture en ha:</t>
  </si>
  <si>
    <t>41 Zone des collines</t>
  </si>
  <si>
    <t>51 Zone de montagne I</t>
  </si>
  <si>
    <t>Dérobées pures légumineuses</t>
  </si>
  <si>
    <t>Hier muss das zutreffende Austallungssystem ausgewählt werden!</t>
  </si>
  <si>
    <t>Veränderung nettomonetäres UV</t>
  </si>
  <si>
    <t xml:space="preserve">Total Wegfuhr (davon  </t>
  </si>
  <si>
    <t>Forêts en propriété d'exploitation</t>
  </si>
  <si>
    <t>Zuchtsauen säugend</t>
  </si>
  <si>
    <t>(1) Toutes les catégories d'animaux impliqué dans les bilan I/E usuels doivent être affectées à la même place de stockage dans la feuille « HDA » !</t>
  </si>
  <si>
    <t>&gt; 50%, 1 coupe de conserv., bas</t>
  </si>
  <si>
    <t>Karotten</t>
  </si>
  <si>
    <t>Sellerie</t>
  </si>
  <si>
    <t>Zuchtschweine</t>
  </si>
  <si>
    <t>Afficher les feuilles pour le calcul détaillé des engrais de ferme (volume et teneur)</t>
  </si>
  <si>
    <t>Afficher la feuille "Production d'engrais de ferme" (uniquement calcul volume de stockage)</t>
  </si>
  <si>
    <t>Apports d'eau production animale</t>
  </si>
  <si>
    <t xml:space="preserve">5. Bilan des fourrages </t>
  </si>
  <si>
    <t>5. Informationsteil</t>
  </si>
  <si>
    <t>5. Teil D: Bilanz</t>
  </si>
  <si>
    <t>5. Informations complémentaires</t>
  </si>
  <si>
    <t xml:space="preserve">    - Daten werden automatisch übernommen.</t>
  </si>
  <si>
    <t>Text Anmerk_4</t>
  </si>
  <si>
    <t>Jachère tournante, semis entre 1.9 et 15.9</t>
  </si>
  <si>
    <t>Futterweizen</t>
  </si>
  <si>
    <t>20-65</t>
  </si>
  <si>
    <t>40-100</t>
  </si>
  <si>
    <t>60-135</t>
  </si>
  <si>
    <t xml:space="preserve"> 20-65</t>
  </si>
  <si>
    <t xml:space="preserve"> 40-100</t>
  </si>
  <si>
    <t xml:space="preserve"> 60-135</t>
  </si>
  <si>
    <t>Nebenprodukte und Kraftfutter</t>
  </si>
  <si>
    <t>Sottoprodotti e concentrati</t>
  </si>
  <si>
    <t>Co-produits et concentrés</t>
  </si>
  <si>
    <t xml:space="preserve">Anz. Gaben x </t>
  </si>
  <si>
    <t>La contribution représente 50 % des coûts d’acquisition de chaque système de rinçage,</t>
  </si>
  <si>
    <t>mais au maximum 2000 francs.</t>
  </si>
  <si>
    <t>Bilancio intermedio</t>
  </si>
  <si>
    <t>Maximalertrag ist überschritten!</t>
  </si>
  <si>
    <t>B3: Production d'autres fourrages</t>
  </si>
  <si>
    <t>B3: Grundfutterproduktion übrige</t>
  </si>
  <si>
    <t>B2: Production de fourrages issus des prairies et pâturages</t>
  </si>
  <si>
    <t>B2: Grundfutterproduktion Wiesen und Weiden</t>
  </si>
  <si>
    <t>B1: Production totale de fourrages</t>
  </si>
  <si>
    <t>B1: Grundfutterproduktion total</t>
  </si>
  <si>
    <t>SuiBi: Reben und Hopfen</t>
  </si>
  <si>
    <t>GFnährstoffarm</t>
  </si>
  <si>
    <t>&gt; 50%, 1 coupe de conserv., haut</t>
  </si>
  <si>
    <t>Nährstoff-Haushalt, Futterbau-Intensität, Güllelagerung</t>
  </si>
  <si>
    <t>Stabulation</t>
  </si>
  <si>
    <t>Aventure sur la paille 2)</t>
  </si>
  <si>
    <t>Mittelwert</t>
  </si>
  <si>
    <t>l</t>
  </si>
  <si>
    <t>Valeur d'ac-</t>
  </si>
  <si>
    <t>quisition (VA)</t>
  </si>
  <si>
    <t>Bâtiments, améliorations foncières et installations fixes</t>
  </si>
  <si>
    <t>par h</t>
  </si>
  <si>
    <t>Achat remontes d'engraiss.</t>
  </si>
  <si>
    <t>Vente veaux sevrés</t>
  </si>
  <si>
    <t>Vente remontes d'engraiss.</t>
  </si>
  <si>
    <t>Regelmässiger Auslauf im Freien</t>
  </si>
  <si>
    <t>Begrenzung nach SAK</t>
  </si>
  <si>
    <t>Total de la part d'azote disponible pour l'exploitation</t>
  </si>
  <si>
    <t>Indice de protection du sol</t>
  </si>
  <si>
    <t>Mutterkühe mittel</t>
  </si>
  <si>
    <t>Vaches mères 600-700kg</t>
  </si>
  <si>
    <t>Vache mères &lt; 600 kg</t>
  </si>
  <si>
    <t>Art der Aufstallung</t>
  </si>
  <si>
    <t>Blatt-Liste (wählbare Blätter)</t>
  </si>
  <si>
    <t>Betriebsvoranschlag</t>
  </si>
  <si>
    <t>Betrieb</t>
  </si>
  <si>
    <t>Jahr</t>
  </si>
  <si>
    <t>Variante</t>
  </si>
  <si>
    <t>Radis 10 bottes/m2</t>
  </si>
  <si>
    <t>Surf. agricole utile, ha:</t>
  </si>
  <si>
    <t>cult. maraîchère</t>
  </si>
  <si>
    <t>possible</t>
  </si>
  <si>
    <t>en cours</t>
  </si>
  <si>
    <t>Erdbeeren, einjährig</t>
  </si>
  <si>
    <t>Erdbeeren, einjährig, hoher Ertrag</t>
  </si>
  <si>
    <t>Erdbeeren mehrjährig</t>
  </si>
  <si>
    <t>BTS</t>
  </si>
  <si>
    <t>Abwesen-</t>
  </si>
  <si>
    <t>Beitrags-</t>
  </si>
  <si>
    <t>Zuschlags-</t>
  </si>
  <si>
    <t>Heim-</t>
  </si>
  <si>
    <t>&lt; 18%, 5 Kons.-schnitte, mittel</t>
  </si>
  <si>
    <t>Stabulation libre, salle de traite Side by Side 1x4 FT,  alimentation mécan.</t>
  </si>
  <si>
    <t>Laufstall, Melkstand Fischgräten 2x3 ME, Fütterung mech.</t>
  </si>
  <si>
    <t>Stabulation libre, salle de traite épi 2x3 FT,  alimentation mécan.</t>
  </si>
  <si>
    <t>Laufstall, Melkstand Autotandem 2x2 ME, Fütterung mech.</t>
  </si>
  <si>
    <t>Stabulation libre, salle de traite en autotandem 2x2 FT,  alimentation mécan.</t>
  </si>
  <si>
    <t>Laufstall, Melkstand Side by Side 1x6 ME, Fütterung mech.</t>
  </si>
  <si>
    <t>Stabulation libre, salle de traite Side by Side 1x6 FT,  alimentation mécan.</t>
  </si>
  <si>
    <t>Laufstall, Melkstand Autotandem 2x3 ME, Fütterung mech.</t>
  </si>
  <si>
    <t>Stabulation libre, salle de traite en autotandem 2x3 FT,  alimentation mécan.</t>
  </si>
  <si>
    <t>Laufstall, Melkstand Autotandem 2x3 ME, Fütterung Mischwagen</t>
  </si>
  <si>
    <t>Fenil</t>
  </si>
  <si>
    <t>Volume d'ensilage</t>
  </si>
  <si>
    <t>Aliment pour porcs d'élevage et verrats</t>
  </si>
  <si>
    <t>Differenzierte Grünlandbewirtschaftung</t>
  </si>
  <si>
    <t xml:space="preserve"> GVE; Mehrraumlaufstall</t>
  </si>
  <si>
    <t>Vaches laitières, prod. laitière Ø:</t>
  </si>
  <si>
    <t>Güllegrube</t>
  </si>
  <si>
    <t>Gülleanfall pro Monat verdünnt</t>
  </si>
  <si>
    <t>Verfügbar von allen Partnern der Gemeinschaft</t>
  </si>
  <si>
    <t>Framboises, rendement élevé</t>
  </si>
  <si>
    <t>18-35%, haut</t>
  </si>
  <si>
    <t>35-50%,  bas</t>
  </si>
  <si>
    <t>wenig intensiv genutzte Wiesen</t>
  </si>
  <si>
    <t>prairies peu intensives</t>
  </si>
  <si>
    <t>Récapitulation des paiements directs</t>
  </si>
  <si>
    <t>Systèmes de stabulation particulièrement respectueux des animaux (SST)</t>
  </si>
  <si>
    <t>Berechnung des Übergangsbeitrags</t>
  </si>
  <si>
    <t>Produktionssystembeiträge (PSB, Art. 65 bis 76 und Anhang 7 DZV)</t>
  </si>
  <si>
    <t>2) Sind die Gehaltszahlen Ergebnis einer Berechnung mit 'Linear', so sind für beide Zuchtschweinekategorien und die Zuchteber die gleichen Werte einzusetzen!</t>
  </si>
  <si>
    <t>Verschuldungsfaktor *)</t>
  </si>
  <si>
    <t>Brombeeren</t>
  </si>
  <si>
    <t xml:space="preserve">Ferkel abgesetzt </t>
  </si>
  <si>
    <t>gemäss Verfügung des kantonalen Landwirtschaftsamtes im Sommer 2014</t>
  </si>
  <si>
    <t>Corr. selon la performance min./max.</t>
  </si>
  <si>
    <t>Prairie artificielle avant culture d'été</t>
  </si>
  <si>
    <t>Markthackfrüchte</t>
  </si>
  <si>
    <t>calculées ou saisie de</t>
  </si>
  <si>
    <t xml:space="preserve">Ihre Eingaben werden gelöscht. Wollen Sie trotzdem fortfahren? </t>
  </si>
  <si>
    <t>*) VR = valeur de remplacement, **) UT/an = unités travail par an</t>
  </si>
  <si>
    <t>Installations fixes</t>
  </si>
  <si>
    <t>Séchoir en grange</t>
  </si>
  <si>
    <t>Griffe</t>
  </si>
  <si>
    <t xml:space="preserve">CCM, Feuchtkörnermais  </t>
  </si>
  <si>
    <t>Soja</t>
  </si>
  <si>
    <t>Winterkohlarten</t>
  </si>
  <si>
    <t>Winterspinat</t>
  </si>
  <si>
    <t>Winterzwiebeln</t>
  </si>
  <si>
    <t>Felder ohne deckende Kultur</t>
  </si>
  <si>
    <t>Tableau des teneurs engrais de ferme</t>
  </si>
  <si>
    <t>35-50%, 1 Kons.-schnitt, tief</t>
  </si>
  <si>
    <t>Engrais de ferme</t>
  </si>
  <si>
    <t>Fosse à purin</t>
  </si>
  <si>
    <t>Fumière</t>
  </si>
  <si>
    <t>Spinat, nicht überwinternd, 1 Schnitt</t>
  </si>
  <si>
    <t>No d'exploitation</t>
  </si>
  <si>
    <t>Steillagen im Berggebiet und in der Hügelzone</t>
  </si>
  <si>
    <t>Qualitätsbeiträge</t>
  </si>
  <si>
    <t>Annexe 2: investissements</t>
  </si>
  <si>
    <t>Annexe 3: emprunts</t>
  </si>
  <si>
    <t>Total Kulturlandschaftsbeiträge</t>
  </si>
  <si>
    <t>Total contributions au paysage cultivé</t>
  </si>
  <si>
    <t>Mutterkühe schwer</t>
  </si>
  <si>
    <t>Mutterkühe leicht</t>
  </si>
  <si>
    <t>Wichtiger Hinweis:</t>
  </si>
  <si>
    <t>Prozent</t>
  </si>
  <si>
    <t>Zu verteilen</t>
  </si>
  <si>
    <t>(=SF / Massgebende Fläche)</t>
  </si>
  <si>
    <t>Fläche Qualitätsstufe I und Rebflächen°</t>
  </si>
  <si>
    <t>Stabulation libre, salle de traite en autotandem 2x3 FT,  alimentation avec mélangeuse</t>
  </si>
  <si>
    <t>Laufstall, Melkstand Fischgräten 2x5 ME, Fütterung mech.</t>
  </si>
  <si>
    <t>Stabulation libre, salle de traite épi 2x5 FT,  alimentation mécan.</t>
  </si>
  <si>
    <t>Laufstall, Melkroboter Einboxen, Fütterung Mischwagen</t>
  </si>
  <si>
    <t>Stabulation libre, robot de traite 1 poste, alimentation avec mélangeuse</t>
  </si>
  <si>
    <t>Laufstall, Melkstand Fischgräten 2x6 ME, Fütterung Mischwagen</t>
  </si>
  <si>
    <t>Stabulation libre, salle de traite épi 2x6 FT,  alimentation avec mélangeuse</t>
  </si>
  <si>
    <t>Laufstall, Melkstand Fischgräten 2x10 ME, Fütterung Mischwagen</t>
  </si>
  <si>
    <t>Stabulation libre, salle de traite épi 2x10 FT,  alimentation avec mélangeuse</t>
  </si>
  <si>
    <t>Laufstall, Melkkarusell 20 ME, Fütterung Mischwagen</t>
  </si>
  <si>
    <t>Stabulation libre, carrousel de traite 20 FT, alimentation avec mélangeuse</t>
  </si>
  <si>
    <t>Laufstall, Melkroboter Zweiboxen, Fütterung Mischwagen</t>
  </si>
  <si>
    <t>Stabulation libre, robot de traite 2 postes de traite, alimentation avec mélangeuse</t>
  </si>
  <si>
    <t>Châtaigneraies, noiseraies entret.</t>
  </si>
  <si>
    <t xml:space="preserve">Selven gepflegt, max. 100 Bäume pro ha </t>
  </si>
  <si>
    <t>Schnittblumen, 1-jährig</t>
  </si>
  <si>
    <t>Fleurs coupées, 1an</t>
  </si>
  <si>
    <t>Gemüsekulturen, mehrjährig</t>
  </si>
  <si>
    <t>Légumes, pluriannuelles</t>
  </si>
  <si>
    <t>mit 2 Betrieben</t>
  </si>
  <si>
    <t>Privatausgaben</t>
  </si>
  <si>
    <t>Battage, 1 conservation de fourrage</t>
  </si>
  <si>
    <t>60 vaches, lait ramassé</t>
  </si>
  <si>
    <t>Dauergrünfläche ausser BFF</t>
  </si>
  <si>
    <t>Surfaces herbagères permanentes hors SPB</t>
  </si>
  <si>
    <t>Place assise</t>
  </si>
  <si>
    <t>Lit</t>
  </si>
  <si>
    <t>Sels minéraux</t>
  </si>
  <si>
    <t xml:space="preserve">Besamungen </t>
  </si>
  <si>
    <t>Heuraum</t>
  </si>
  <si>
    <t>Quantità di latte in kg</t>
  </si>
  <si>
    <t>übrigen Fläche</t>
  </si>
  <si>
    <t>Alles/Nichts markieren</t>
  </si>
  <si>
    <t>Titelblatt drucken</t>
  </si>
  <si>
    <t>Drucken</t>
  </si>
  <si>
    <t>imprimer</t>
  </si>
  <si>
    <t>Abbrechen</t>
  </si>
  <si>
    <t>annuler</t>
  </si>
  <si>
    <t>Unité</t>
  </si>
  <si>
    <t>Exploitation</t>
  </si>
  <si>
    <t>Taureaux, 1 à 2 ans</t>
  </si>
  <si>
    <t>Kräuter, Gewürz mittel bis gross</t>
  </si>
  <si>
    <t>Kräuter, Gewürz gross</t>
  </si>
  <si>
    <t>Krautstiel</t>
  </si>
  <si>
    <t>Lauch</t>
  </si>
  <si>
    <t>Melone</t>
  </si>
  <si>
    <t>Zuchtschweine säugend</t>
  </si>
  <si>
    <t>Culture extensive de céréales et de colza</t>
  </si>
  <si>
    <t>Veränderung nettomonetäres Umlaufvermögen</t>
  </si>
  <si>
    <t>Diagramm Finanzplan</t>
  </si>
  <si>
    <t>Anhang 1: Privat</t>
  </si>
  <si>
    <t>avec prise en considération de la réserve d'éléments nutritifs dans le sol</t>
  </si>
  <si>
    <t>18-35%, 2 coupes de conserv., moyen</t>
  </si>
  <si>
    <t>Betriebsfremdes langfristiges Fremdkapital</t>
  </si>
  <si>
    <t>Cashflow vor Zinsen</t>
  </si>
  <si>
    <t>Chanvre</t>
  </si>
  <si>
    <t>Menge total</t>
  </si>
  <si>
    <t>Text 70</t>
  </si>
  <si>
    <t>Text 71</t>
  </si>
  <si>
    <t>Text 72</t>
  </si>
  <si>
    <t>Text 73</t>
  </si>
  <si>
    <t>Text 74</t>
  </si>
  <si>
    <t>Text 75</t>
  </si>
  <si>
    <t>Porcs d'élevage avec porcelets</t>
  </si>
  <si>
    <t>Deuxième, troisième ou culture dérobée</t>
  </si>
  <si>
    <t>Maïs fauché en vert</t>
  </si>
  <si>
    <t>Semis prairie temporaire</t>
  </si>
  <si>
    <t>Coupe de printemps avant labour</t>
  </si>
  <si>
    <t>Moyennes légumes pl. champ</t>
  </si>
  <si>
    <t xml:space="preserve">Le total ci-contre des terres ouvertes (TO) ne </t>
  </si>
  <si>
    <t>Mistlagerplatz</t>
  </si>
  <si>
    <t>Futterlager</t>
  </si>
  <si>
    <t>Programmtyp:</t>
  </si>
  <si>
    <t>Versions-Nummer:</t>
  </si>
  <si>
    <t>Wenig intensiv genutzte Wiesen (Typ 4): davon BFF</t>
  </si>
  <si>
    <t>Hafer</t>
  </si>
  <si>
    <t>Ventes saisies &lt;&gt; ventes saisies dans le Suisse-Bilanz !</t>
  </si>
  <si>
    <t>a par UGB</t>
  </si>
  <si>
    <t>Durée de la période d'affouragement d'hiver, resp. durée nécessaire de stockage du purin en mois:</t>
  </si>
  <si>
    <t>Pulpe de betterave, séchée</t>
  </si>
  <si>
    <t>Zuckerrübenschnitzel, getrocknet</t>
  </si>
  <si>
    <t>Mindesttierbesatz nicht erfüllt</t>
  </si>
  <si>
    <t>Anbindestall:</t>
  </si>
  <si>
    <t>DGVE total</t>
  </si>
  <si>
    <t>DGVE pro ha LN</t>
  </si>
  <si>
    <t>DGVE pro ha DF</t>
  </si>
  <si>
    <t>UGBF / ha SAU</t>
  </si>
  <si>
    <t>UGBF / ha Sfert</t>
  </si>
  <si>
    <t>pro Baum</t>
  </si>
  <si>
    <t>par arbre</t>
  </si>
  <si>
    <t>Nombre de stalles</t>
  </si>
  <si>
    <t>Habitants</t>
  </si>
  <si>
    <t xml:space="preserve">  3 = hors SF</t>
  </si>
  <si>
    <t>Gehalte in kg je m³ Gülle</t>
  </si>
  <si>
    <t>Teneur en kg/m³ de lisier</t>
  </si>
  <si>
    <t>Gülleanfall total (unverdünnt) in m³</t>
  </si>
  <si>
    <t>Hochstamm-Feldobstbäume, standortgerechte Einzelbäume u. Alleen</t>
  </si>
  <si>
    <t>Quantità 1</t>
  </si>
  <si>
    <t>Quantità 2</t>
  </si>
  <si>
    <t>1) PN = pâquier normal = 1 UGBFG estivée pendant 100 jours</t>
  </si>
  <si>
    <t>Lait: vente 1 et ménage</t>
  </si>
  <si>
    <t>Lait: vente 2</t>
  </si>
  <si>
    <t>Désinvestis. selon onglet Projets</t>
  </si>
  <si>
    <t>Total désinvestissements</t>
  </si>
  <si>
    <t>A2: Nährstoffe aus der Tierhaltung</t>
  </si>
  <si>
    <t xml:space="preserve">A2 </t>
  </si>
  <si>
    <t>Nettoyage de poulaillers et soins aux aux volailles à l'engrais</t>
  </si>
  <si>
    <t>Place à fumier, cours d'exercice en dure et non couvertes</t>
  </si>
  <si>
    <t>Vente taureaux reproducteurs</t>
  </si>
  <si>
    <t>retour au bilan MS</t>
  </si>
  <si>
    <t>behornt/
unbehornt</t>
  </si>
  <si>
    <t>Wiesen- und Weidenfutter kann nicht höher sein als GF-Verzehr!</t>
  </si>
  <si>
    <t>Zuckerhut (Convenience)</t>
  </si>
  <si>
    <t>actualiser le tableau</t>
  </si>
  <si>
    <t>g P korr.</t>
  </si>
  <si>
    <t>Mastschweinefutter</t>
  </si>
  <si>
    <t>Berechnung des betriebsspezifischen N-Ausnutzungsgrades</t>
  </si>
  <si>
    <t>Cultures spéciales sans les surf. viticoles en forte pente et en terasses</t>
  </si>
  <si>
    <t>Contingents</t>
  </si>
  <si>
    <t>Sous-total</t>
  </si>
  <si>
    <t>1) CN = carico normale = 1 UGBFG estivato durante 100 giorni</t>
  </si>
  <si>
    <t>Beiträge 2014 in % der heutigen Beiträge</t>
  </si>
  <si>
    <t>Projekte: Investitionen und Finanzierung</t>
  </si>
  <si>
    <t xml:space="preserve">abzüglich Einzelkulturbeiträge </t>
  </si>
  <si>
    <t xml:space="preserve">./. contribution pour des cultures particulières </t>
  </si>
  <si>
    <t>Einmaliger Beitrag für Maschinenanschaffungen bei REB</t>
  </si>
  <si>
    <t xml:space="preserve">Contributions uniques pour l'achat de machines (CER) qui se montent à: </t>
  </si>
  <si>
    <t>Total Direktzahlungen und Beiträge</t>
  </si>
  <si>
    <t>Total paiements directs</t>
  </si>
  <si>
    <t>Le nombre d'animaux dans le système de stabulation 2 dépasse le nombre indiqué sur la feuille "Inventaire bétail" !</t>
  </si>
  <si>
    <t>&amp;réparer les objets</t>
  </si>
  <si>
    <t>Cette fonction repositionne les</t>
  </si>
  <si>
    <t>Tierart bzw. Tierkategorie</t>
  </si>
  <si>
    <t>Zu-</t>
  </si>
  <si>
    <t>kg TS</t>
  </si>
  <si>
    <t>Pâquiers normaux</t>
  </si>
  <si>
    <t>Standardwerte FS</t>
  </si>
  <si>
    <t>Production lisier dilué par mois</t>
  </si>
  <si>
    <t>Volume stockage lisier suffit pour</t>
  </si>
  <si>
    <t>Angabe Gülleanfall fehlt!</t>
  </si>
  <si>
    <t>compagnie</t>
  </si>
  <si>
    <t>conformément à</t>
  </si>
  <si>
    <t>l'art. 15 de l'OMédV</t>
  </si>
  <si>
    <t>Ventes d'immobilisations</t>
  </si>
  <si>
    <t>contributions à fonds perdus</t>
  </si>
  <si>
    <t xml:space="preserve"> = Cash Flow avant intérêts</t>
  </si>
  <si>
    <t>Nouveaux emprunts</t>
  </si>
  <si>
    <t>Apports du privé</t>
  </si>
  <si>
    <t>Zuchtschweine- / Eberfutter</t>
  </si>
  <si>
    <t>Volume hangar</t>
  </si>
  <si>
    <t>Gesamtanfall im Winter (Mist verrottet)</t>
  </si>
  <si>
    <t>Attenzione!</t>
  </si>
  <si>
    <t>Alpakas unter 2-jährig</t>
  </si>
  <si>
    <t>MSP</t>
  </si>
  <si>
    <t>Zuchtschweine inkl. Ferkel</t>
  </si>
  <si>
    <t>Zuchteber</t>
  </si>
  <si>
    <t>/ suppl.</t>
  </si>
  <si>
    <t>Zone de montagne I</t>
  </si>
  <si>
    <t>Zone de montagne II</t>
  </si>
  <si>
    <t>Zone de montagne III</t>
  </si>
  <si>
    <t>Zone de montagne IV</t>
  </si>
  <si>
    <t>quantità</t>
  </si>
  <si>
    <t>prezzo</t>
  </si>
  <si>
    <t>somma</t>
  </si>
  <si>
    <t>Contributions 2014 en % des contributions actuelles</t>
  </si>
  <si>
    <t>Animaux de</t>
  </si>
  <si>
    <t>Contributions pour la protection de la nature (cantonales et communales), contributions pour les terrains en pente (cantonales)</t>
  </si>
  <si>
    <t>Zurück zur Bilanz</t>
  </si>
  <si>
    <t>Versicherungen, Verschiedenes</t>
  </si>
  <si>
    <t>Sprünge, Besamungen</t>
  </si>
  <si>
    <t>Milchpulver</t>
  </si>
  <si>
    <t>Kälber</t>
  </si>
  <si>
    <t>Sömmerung</t>
  </si>
  <si>
    <t>Vente de fourrages grossiers</t>
  </si>
  <si>
    <t>Variable Grundfutterkosten</t>
  </si>
  <si>
    <t>Detaillierte Erfassung</t>
  </si>
  <si>
    <t>estensivo</t>
  </si>
  <si>
    <t>poco intensivo</t>
  </si>
  <si>
    <t>medio intensivo</t>
  </si>
  <si>
    <t>intensivo</t>
  </si>
  <si>
    <t>Superficie inerbita</t>
  </si>
  <si>
    <t>Max. einsetzbarer</t>
  </si>
  <si>
    <t>Grundlagen:</t>
  </si>
  <si>
    <t>Grandeur moyenne des parcelles</t>
  </si>
  <si>
    <t xml:space="preserve"> - grandes cultures</t>
  </si>
  <si>
    <t>Text 63</t>
  </si>
  <si>
    <t>- übrige Weiden</t>
  </si>
  <si>
    <t>- autres pâturages</t>
  </si>
  <si>
    <t>(Auf Dauerwiesen wird mindestens ein Mähschnitt pro Jahr verlangt)</t>
  </si>
  <si>
    <t>(Les prairies permanentes doivent être fauchées au moins une fois par année)</t>
  </si>
  <si>
    <t xml:space="preserve">                                  intensive</t>
  </si>
  <si>
    <t>Regains</t>
  </si>
  <si>
    <t>Coupe  de printemps avant labour</t>
  </si>
  <si>
    <t>Âge 1er vêlage</t>
  </si>
  <si>
    <t>Rotationsbrache TZ und HZ</t>
  </si>
  <si>
    <t>Limite Kostenbeitrag</t>
  </si>
  <si>
    <t>Beitragsstufen</t>
  </si>
  <si>
    <t>Fläche in ha</t>
  </si>
  <si>
    <t>UGB total</t>
  </si>
  <si>
    <t>Part terres assolées</t>
  </si>
  <si>
    <t>Remarques:</t>
  </si>
  <si>
    <t>Sarclées sans lég. en plein champ</t>
  </si>
  <si>
    <t>Légumes en plein champ</t>
  </si>
  <si>
    <t>Protéagineux</t>
  </si>
  <si>
    <t>dt Stroh</t>
  </si>
  <si>
    <t>t Mist</t>
  </si>
  <si>
    <t>dt/Jahr</t>
  </si>
  <si>
    <t>Strohbedarf des Betriebes</t>
  </si>
  <si>
    <t>Strohangebot aus Getreidebau (vgl. Blatt "Fläche")</t>
  </si>
  <si>
    <t>Milchkühe, Milchschafe und Milchziegen</t>
  </si>
  <si>
    <t>Heidelbeeren</t>
  </si>
  <si>
    <t>Aubergine, Erdkultur</t>
  </si>
  <si>
    <t>Bohnen Stangen-</t>
  </si>
  <si>
    <t>Entretien</t>
  </si>
  <si>
    <t>Technische Bilanzen</t>
  </si>
  <si>
    <t>Einheit</t>
  </si>
  <si>
    <t>Soll</t>
  </si>
  <si>
    <t>- Ökologischer Leistungsnachweis ÖLN</t>
  </si>
  <si>
    <t>- Prestations écologiques requises PER</t>
  </si>
  <si>
    <t xml:space="preserve">                               Fortmulari PER</t>
  </si>
  <si>
    <t xml:space="preserve">                               Pagdir</t>
  </si>
  <si>
    <t>Importo al 1.1.</t>
  </si>
  <si>
    <t>Autres SAU</t>
  </si>
  <si>
    <t>Reddito accessorio da attività dipendente</t>
  </si>
  <si>
    <t>Tipo di attività accessoria</t>
  </si>
  <si>
    <t>Assegni per i figli</t>
  </si>
  <si>
    <t>Persone</t>
  </si>
  <si>
    <t>Importo al</t>
  </si>
  <si>
    <t>Imposte immobiliari</t>
  </si>
  <si>
    <t>Riassunto</t>
  </si>
  <si>
    <t>Resa max</t>
  </si>
  <si>
    <t>Rese sopra la media</t>
  </si>
  <si>
    <t>Importo globale</t>
  </si>
  <si>
    <t>Fläche (ha)</t>
  </si>
  <si>
    <t>Saatgut</t>
  </si>
  <si>
    <t>Winterspinat, 1 Schnitt</t>
  </si>
  <si>
    <t>Tomaten</t>
  </si>
  <si>
    <t>txtHinweisUebrigeWiesen</t>
  </si>
  <si>
    <t>Culture dérobée</t>
  </si>
  <si>
    <t>Korr. nach Leistung min/max</t>
  </si>
  <si>
    <t>Total Netto-Grundfutterbedarf</t>
  </si>
  <si>
    <t>Beispiel: Buck, Gewürztraminer</t>
  </si>
  <si>
    <t>kg pro ha</t>
  </si>
  <si>
    <t>kg par ha</t>
  </si>
  <si>
    <t>Standardertrag: Weinreben, Tafeltrauben</t>
  </si>
  <si>
    <t>Rendement élevé, raisin de table</t>
  </si>
  <si>
    <t>Angaben für Mindesttierbesatz</t>
  </si>
  <si>
    <t>Indication de charge minimale en bétail</t>
  </si>
  <si>
    <t xml:space="preserve">Porcs à l'engrais </t>
  </si>
  <si>
    <t>Porcelets</t>
  </si>
  <si>
    <t>Prod. élément nutritifs du fumier</t>
  </si>
  <si>
    <t>Teneurs en kg par t de fumier</t>
  </si>
  <si>
    <t>Fumière 2</t>
  </si>
  <si>
    <t>Quantité totale de fumier en t</t>
  </si>
  <si>
    <t>SAK 2013</t>
  </si>
  <si>
    <t>Auswahl für Berechnung</t>
  </si>
  <si>
    <t>MaÏs avec sous-semi</t>
  </si>
  <si>
    <t>Hilfstab keine BFF, aber ext. Flächen</t>
  </si>
  <si>
    <t>BFF Hilfstab &gt; als Max BFF</t>
  </si>
  <si>
    <t xml:space="preserve">Änderungen sind nur bei den GVE Betrieb und GVE Sömmerung möglich, die Totale sind berechnete Werte und somit nicht veränderbar. </t>
  </si>
  <si>
    <t>N-Be-
darf 7]</t>
  </si>
  <si>
    <t>Besoins en N 7]</t>
  </si>
  <si>
    <t>C1: Zwischentotal Futterflächen</t>
  </si>
  <si>
    <t>Korr. nach Leistung</t>
  </si>
  <si>
    <t>Suppl. TO et cultures pérennes</t>
  </si>
  <si>
    <t>Produzione di latte e carne basata sulla superficie inerbita</t>
  </si>
  <si>
    <t>Sonnenblumen, Eiweisserbsen, Ackerbohnen</t>
  </si>
  <si>
    <t>DGVE</t>
  </si>
  <si>
    <t>UGBF</t>
  </si>
  <si>
    <t xml:space="preserve">   et sauf chanvre, plantes forestières, sapins de Noël, pépinières, plantes ornementales, serres avec fondations permanentes</t>
  </si>
  <si>
    <t>Hangbeitrag*</t>
  </si>
  <si>
    <t>Ø jährliche Milchverwertung des Betriebes</t>
  </si>
  <si>
    <t>Milchproduktion</t>
  </si>
  <si>
    <t>facteur d'endettement *)</t>
  </si>
  <si>
    <t xml:space="preserve">Hypotheken u. Investitionskredite </t>
  </si>
  <si>
    <t>Zins</t>
  </si>
  <si>
    <t>Tilgung</t>
  </si>
  <si>
    <t>Bezeichnung Pachtobjekt</t>
  </si>
  <si>
    <t>Aubergine, plein sol</t>
  </si>
  <si>
    <t>Haricot à rames</t>
  </si>
  <si>
    <t>Terre aperte</t>
  </si>
  <si>
    <t>% della superficie totale C</t>
  </si>
  <si>
    <t>Tipo di concime</t>
  </si>
  <si>
    <t>Tabac Burley</t>
  </si>
  <si>
    <t>Tabac Virginie</t>
  </si>
  <si>
    <t>Jachère tournante</t>
  </si>
  <si>
    <t>Jachère florale</t>
  </si>
  <si>
    <t>Vignes</t>
  </si>
  <si>
    <t>Impianti sanitari semplici</t>
  </si>
  <si>
    <t>Ristorazione</t>
  </si>
  <si>
    <t>Occupazione</t>
  </si>
  <si>
    <t>Vacanze in fattoria 4)</t>
  </si>
  <si>
    <t>hors SPB</t>
  </si>
  <si>
    <t>BFF = Biodiversitätsförderflächen</t>
  </si>
  <si>
    <t>SPB = Surfaces de promotion de la biodiversité</t>
  </si>
  <si>
    <t>fondations permanentes, surfaces à litière, haies, bosquets et berges boisées, zone de berges.</t>
  </si>
  <si>
    <t>Naturallieferungen des Betriebes</t>
  </si>
  <si>
    <t>Mietzinsausgaben</t>
  </si>
  <si>
    <t>Calcul détaillé de la MB vaches mères</t>
  </si>
  <si>
    <t>Löschen einzelne Linien "Mutterkühe"</t>
  </si>
  <si>
    <t>Prélèv. par partenaire pour la 5ème année</t>
  </si>
  <si>
    <t>Prélèvement privé et indemnités pour la 1ère année</t>
  </si>
  <si>
    <t>Prélèvement par partenaire</t>
  </si>
  <si>
    <t>Einheimische  Einzelbäume (Typ 9), 1 Are pro Baum</t>
  </si>
  <si>
    <t>Hecken, Feld- und Ufergehölze (Typ 10)</t>
  </si>
  <si>
    <t>Animaux pour finition par an</t>
  </si>
  <si>
    <t>Sorties prématurées</t>
  </si>
  <si>
    <t>SAK pro Enheit</t>
  </si>
  <si>
    <t>UBGFG effettivi</t>
  </si>
  <si>
    <t>USM x</t>
  </si>
  <si>
    <t>SAK x</t>
  </si>
  <si>
    <t>UMOS x</t>
  </si>
  <si>
    <t>Ponys, Esel</t>
  </si>
  <si>
    <t>Equiden &gt; 900 Tage, &gt; 148 cm</t>
  </si>
  <si>
    <t>Equidés &lt;= 180 jours, &gt; 148 cm</t>
  </si>
  <si>
    <t>Equidés 180-900 jours, &lt;= 148 cm</t>
  </si>
  <si>
    <t>Equidés &lt;= 180 jours, &lt;= 148 cm</t>
  </si>
  <si>
    <t>Prélèvement total</t>
  </si>
  <si>
    <t>Prélèvement total pour travail et capital</t>
  </si>
  <si>
    <t>± Tiere</t>
  </si>
  <si>
    <t>Tage</t>
  </si>
  <si>
    <t>giert</t>
  </si>
  <si>
    <t>h</t>
  </si>
  <si>
    <t>x Tage</t>
  </si>
  <si>
    <t>(&lt;180 Tg)</t>
  </si>
  <si>
    <t>pro Jahr</t>
  </si>
  <si>
    <t>60-90 Tge</t>
  </si>
  <si>
    <t>Fumière (courtine)</t>
  </si>
  <si>
    <t>Production fumier en hiver</t>
  </si>
  <si>
    <t>t x volume nécessaire</t>
  </si>
  <si>
    <t>Hauteur du tas</t>
  </si>
  <si>
    <t>Locaux à machines</t>
  </si>
  <si>
    <t>Volume garage</t>
  </si>
  <si>
    <t>Specie animale /</t>
  </si>
  <si>
    <t>Besoins nets en éléments nutritifs selon le guide Suisse-Bilanz</t>
  </si>
  <si>
    <t>Nährstoffbedarf Reben:</t>
  </si>
  <si>
    <t>kg par are</t>
  </si>
  <si>
    <t>Grundfutterzukäufe</t>
  </si>
  <si>
    <t>Düngemittel</t>
  </si>
  <si>
    <t>Konservierung</t>
  </si>
  <si>
    <t>Arbeit durch Dritte</t>
  </si>
  <si>
    <t>MOh</t>
  </si>
  <si>
    <t>Grandeurs des parcelles</t>
  </si>
  <si>
    <t>Production animale selon données "Animaux"</t>
  </si>
  <si>
    <t>Verkauf Ausmerzkühe</t>
  </si>
  <si>
    <t>Verkauf Rinder über 2 Jahre</t>
  </si>
  <si>
    <t>Verkauf Rinder 1 bis 2 Jahre</t>
  </si>
  <si>
    <t>Verkauf Aufzuchtstiere</t>
  </si>
  <si>
    <t>Verkauf Deckstiere</t>
  </si>
  <si>
    <t>Grünland</t>
  </si>
  <si>
    <t>Futterhackfrüchte</t>
  </si>
  <si>
    <t xml:space="preserve">/Animal </t>
  </si>
  <si>
    <t>Revenu accessoire dépendant</t>
  </si>
  <si>
    <t>Allocation, rentes et assurances</t>
  </si>
  <si>
    <t>Plateformes de silo-couloirs exposées à la pluie dont les eaux sont évacuées par une rigole à jus de silo</t>
  </si>
  <si>
    <t>Bilan main-d'œuvre exploitation</t>
  </si>
  <si>
    <t>dt MS</t>
  </si>
  <si>
    <t>kg lait</t>
  </si>
  <si>
    <t>Deckungsbeitrag Mutterkühe</t>
  </si>
  <si>
    <t>Marge brute vaches mères</t>
  </si>
  <si>
    <t>saisie des données</t>
  </si>
  <si>
    <t>Dialogue_fruits</t>
  </si>
  <si>
    <t>Dialogue_lég2</t>
  </si>
  <si>
    <t>Ständige Behirtung</t>
  </si>
  <si>
    <t>Planungsjahr 2</t>
  </si>
  <si>
    <t>Dünger-Einheiten (SB2)</t>
  </si>
  <si>
    <t>Vollmistsysteme 1</t>
  </si>
  <si>
    <t>Vollmistsysteme 2</t>
  </si>
  <si>
    <t>Umtriebsweide</t>
  </si>
  <si>
    <t>par kg MF</t>
  </si>
  <si>
    <t>par kg MS</t>
  </si>
  <si>
    <t>Porcs 1)</t>
  </si>
  <si>
    <t>Prestiti</t>
  </si>
  <si>
    <t>Ipoteche</t>
  </si>
  <si>
    <t>Media degli anni da</t>
  </si>
  <si>
    <t>Assic.</t>
  </si>
  <si>
    <t>totali</t>
  </si>
  <si>
    <t>Categoria</t>
  </si>
  <si>
    <t>Übersicht Betriebsdaten</t>
  </si>
  <si>
    <t>mehr als 50 % Neigung</t>
  </si>
  <si>
    <t>Betrag / CHF</t>
  </si>
  <si>
    <t>Montant / CHF</t>
  </si>
  <si>
    <t>mehr als 30 % Neigung in Terassenlagen</t>
  </si>
  <si>
    <t>effektive Bestossung</t>
  </si>
  <si>
    <t>charge effective</t>
  </si>
  <si>
    <t>carico annuale effettivo</t>
  </si>
  <si>
    <t xml:space="preserve">  zusätzlich zu den Beiträgen oben</t>
  </si>
  <si>
    <t>Die Winterfütterung muss eine Zahl (ohne Einheit) sein!</t>
  </si>
  <si>
    <t>cases bloquées à la saisie</t>
  </si>
  <si>
    <t>gesperrte Zellen</t>
  </si>
  <si>
    <t>18-35%, 2 coupes de conserv., haut</t>
  </si>
  <si>
    <t>Vache mère, PV 600 kg ou plus, sans veau</t>
  </si>
  <si>
    <t>Autre vache</t>
  </si>
  <si>
    <t>Vache laitière</t>
  </si>
  <si>
    <t>Animaux consommant des fourrages grossiers avec consomm. de concentrés</t>
  </si>
  <si>
    <t>Raufutterverzehrer mit Kraftfutter</t>
  </si>
  <si>
    <t>RGVE-Faktor</t>
  </si>
  <si>
    <t>Eléments nutritifs baies:</t>
  </si>
  <si>
    <t>Bes. nets en élém. nutritifs</t>
  </si>
  <si>
    <t>Eléments nutritifs vignes:</t>
  </si>
  <si>
    <t>Deuxième, troisième culture ou culture dérobée</t>
  </si>
  <si>
    <t>platz</t>
  </si>
  <si>
    <t>Hinweis zur Grundfutter-TS-Bilanz</t>
  </si>
  <si>
    <t>Gräser</t>
  </si>
  <si>
    <t>Buntbrache ansäen</t>
  </si>
  <si>
    <t>Framboises</t>
  </si>
  <si>
    <t>Kleine Wiederkäuer</t>
  </si>
  <si>
    <t>Millet</t>
  </si>
  <si>
    <t>Miglio</t>
  </si>
  <si>
    <t>Reis</t>
  </si>
  <si>
    <t>Riz</t>
  </si>
  <si>
    <t>Riso</t>
  </si>
  <si>
    <t xml:space="preserve">Die Berechnung erfolgt für das im Blatt "Allg" eingestellte Jahr. </t>
  </si>
  <si>
    <t>Le calcul se fait selon l’année définie dans la page „Génér“.</t>
  </si>
  <si>
    <t>&gt; 30 % déclivité en terrasses</t>
  </si>
  <si>
    <t>Weitere Biodiversitätsförderflächen (Typ 16 gemäss sep. Agridea-Formular)</t>
  </si>
  <si>
    <t>Schweine 1)</t>
  </si>
  <si>
    <t xml:space="preserve">Mastschweine </t>
  </si>
  <si>
    <t>Ferkel</t>
  </si>
  <si>
    <t>Text Zelle B1</t>
  </si>
  <si>
    <t>Betvor light</t>
  </si>
  <si>
    <t>Dirzahl</t>
  </si>
  <si>
    <t>Prélèv. par partenaire pour la 1ère année (voir point 1)</t>
  </si>
  <si>
    <t>Concentrés pr animaux inscrits sur 1ère ligne</t>
  </si>
  <si>
    <t>Estimation de la consommation de fourrage grossier des vaches laitières</t>
  </si>
  <si>
    <t>Bases:</t>
  </si>
  <si>
    <t>Futter säugende Sauen</t>
  </si>
  <si>
    <t>Zwischentotal</t>
  </si>
  <si>
    <t>Total ventes (dont "pauvres"</t>
  </si>
  <si>
    <t>aller à la ration d'été</t>
  </si>
  <si>
    <t>consom.</t>
  </si>
  <si>
    <t>journalière</t>
  </si>
  <si>
    <t>choisir les cultures de baies</t>
  </si>
  <si>
    <t>Exemple: groseilles</t>
  </si>
  <si>
    <t>Nährstoffbedarf Beeren:</t>
  </si>
  <si>
    <t>1 - 5 Tiere, Einzelboxen, Vollpension</t>
  </si>
  <si>
    <t>1 - 5 Tiere, Einzelboxen, Halbpension</t>
  </si>
  <si>
    <t>50 Tiere</t>
  </si>
  <si>
    <t>Bisons</t>
  </si>
  <si>
    <t>Hirsche</t>
  </si>
  <si>
    <t>Lamas und Alpakas</t>
  </si>
  <si>
    <t>60 Tiere</t>
  </si>
  <si>
    <t>100 Tiere</t>
  </si>
  <si>
    <t>Label-Betrieb, viel Handarbeit</t>
  </si>
  <si>
    <t>Label-Betrieb, wenig Handarbeit</t>
  </si>
  <si>
    <t>1) Pour ces catégories, les valeurs peuvent être utilisées seulement si le résultat du bilans I/E ne prend pas en compte d'autres catégories de pors.</t>
  </si>
  <si>
    <t>Autres chèvres et moutons, cerfs, lamas et alpagas</t>
  </si>
  <si>
    <t>Coefficient surface</t>
  </si>
  <si>
    <t>dès 2008</t>
  </si>
  <si>
    <t>Zones de production</t>
  </si>
  <si>
    <t xml:space="preserve">kg </t>
  </si>
  <si>
    <t>Anfall</t>
  </si>
  <si>
    <t>je Jahr</t>
  </si>
  <si>
    <t xml:space="preserve">Anzahl Mutterkuhkälber wurde in </t>
  </si>
  <si>
    <t xml:space="preserve"> = Finanzierungsüberschuss, -manko vor Zinsen</t>
  </si>
  <si>
    <t>Concombre 30 pces/m2, plein sol</t>
  </si>
  <si>
    <t>Nur Vollgülle</t>
  </si>
  <si>
    <t>Activités dépendantes</t>
  </si>
  <si>
    <t>Personnes</t>
  </si>
  <si>
    <t>Pensions</t>
  </si>
  <si>
    <t>Dépenses pour pensionnaires</t>
  </si>
  <si>
    <t>Chicorée, rendement haut</t>
  </si>
  <si>
    <t>Autres porcs sans porcelets non sevrés</t>
  </si>
  <si>
    <t>Partie D: Autres engrais</t>
  </si>
  <si>
    <t>Rentes ou primes d'assurance</t>
  </si>
  <si>
    <t>Exigence de la charge min. pour</t>
  </si>
  <si>
    <t>% der GMF-Beiträge</t>
  </si>
  <si>
    <t>Valeurs du bilan I/E  de plusieurs catégories de porcs</t>
  </si>
  <si>
    <t>Valeurs du bilan I/E  pour les catégories de porcs individuel, (avec plusieurs bilans I/E)</t>
  </si>
  <si>
    <t xml:space="preserve"> eingegeben werden und die Fragen über Korrektur Grundfutterverzehr bei Milchkühen beantwortet sein. Haben Sie den Tierbestand Ihres Betriebes dort schon eingetragen und die Fragen beantwortet?</t>
  </si>
  <si>
    <t>Bitte die gemeldeten Fehler in den markierten Zellen korrigieren</t>
  </si>
  <si>
    <t>haies, bosquets champêtres</t>
  </si>
  <si>
    <t>et berges boisées, bandes herbeuses incluses</t>
  </si>
  <si>
    <t>x   Indice</t>
  </si>
  <si>
    <t>Land, ha</t>
  </si>
  <si>
    <t>Netto-Nährstoffbedarf, kg je ha</t>
  </si>
  <si>
    <t xml:space="preserve">Vermarktete Milchmenge </t>
  </si>
  <si>
    <t>Lait commercialisé</t>
  </si>
  <si>
    <t>Milch, vermarktet</t>
  </si>
  <si>
    <t>Rembour-sements</t>
  </si>
  <si>
    <t xml:space="preserve">Disponible de </t>
  </si>
  <si>
    <t>Dürrfutter, unbelüftet</t>
  </si>
  <si>
    <t>Futterrüben, Kartoffeln</t>
  </si>
  <si>
    <t xml:space="preserve">    Für nicht an der I/E-Bilanz beteiligte Kategorien derselben Tiergattung dürfen diese Nummern nicht verwendet werden. </t>
  </si>
  <si>
    <t>1) Utilisation limitée à la ration d'hiver</t>
  </si>
  <si>
    <t xml:space="preserve">composition de la ration journalière </t>
  </si>
  <si>
    <t>Nutzungsarten in Angebot übertragen</t>
  </si>
  <si>
    <t>transférer les types d'utilisations dans l'offre</t>
  </si>
  <si>
    <t>Offene Ackerfläche x 0.15</t>
  </si>
  <si>
    <t>Winterhafer</t>
  </si>
  <si>
    <t>Plan des volumes 2</t>
  </si>
  <si>
    <t>Marges brutes</t>
  </si>
  <si>
    <t>Marge brute bétail laitier</t>
  </si>
  <si>
    <t>Stand</t>
  </si>
  <si>
    <t>Version</t>
  </si>
  <si>
    <t>Beiträge für die Tierhaltung unter erschwerenden Produktionsbedingungen des Referenzjahres*</t>
  </si>
  <si>
    <t>&lt; 18%, 5 coupes de conserv., bas</t>
  </si>
  <si>
    <t>Cerf,  y c. petits, 1u.=2 animaux</t>
  </si>
  <si>
    <t>Testi</t>
  </si>
  <si>
    <t>Häufig verwendete Begriffe</t>
  </si>
  <si>
    <t>Données répétitives</t>
  </si>
  <si>
    <t>1. Unterblattspritztechnik: pro Spritzbalken 75 % der Anschaffungskosten,</t>
  </si>
  <si>
    <t>Exemple: Coteau Sud, Cardinal</t>
  </si>
  <si>
    <t>Production laitière</t>
  </si>
  <si>
    <t>Nombre Ø vaches</t>
  </si>
  <si>
    <t>têtes</t>
  </si>
  <si>
    <t>Kuhzahl ändern</t>
  </si>
  <si>
    <t>Facteurs de correction</t>
  </si>
  <si>
    <t>GVE</t>
  </si>
  <si>
    <t>% du salaire brut</t>
  </si>
  <si>
    <t>Personne</t>
  </si>
  <si>
    <t>Calcul du salaire brut</t>
  </si>
  <si>
    <t>fauche-pâturage      intensif</t>
  </si>
  <si>
    <t>Pacht- und Mietzinsen</t>
  </si>
  <si>
    <t>Pachtzinsen, Personalkosten</t>
  </si>
  <si>
    <t>Neu: Automatische Übernahme in Personalkosten</t>
  </si>
  <si>
    <t>(Tot. généraux de l' explot. C - TAB hors SAU = SAU)</t>
  </si>
  <si>
    <t>Korrektur für Flächen im Ausland</t>
  </si>
  <si>
    <t>Allegato 3: Prestiti</t>
  </si>
  <si>
    <t>Allegato 4: Progetti</t>
  </si>
  <si>
    <t xml:space="preserve">                                   Nachweis</t>
  </si>
  <si>
    <t>Dépenses pour bâtiments</t>
  </si>
  <si>
    <t>Ausgaben Meliorationen</t>
  </si>
  <si>
    <t>Dépenses pour améliorations</t>
  </si>
  <si>
    <t>Quantité fourrage dt MS</t>
  </si>
  <si>
    <t>dont conv.</t>
  </si>
  <si>
    <t>dont bio</t>
  </si>
  <si>
    <t>Sapins de Noël</t>
  </si>
  <si>
    <t>Viticulture avec vinification</t>
  </si>
  <si>
    <t>par année</t>
  </si>
  <si>
    <t xml:space="preserve"> MSP; Tiefstreulaufstall (Offenfront)</t>
  </si>
  <si>
    <t>Unterschrift:</t>
  </si>
  <si>
    <t xml:space="preserve">Lieu et date: </t>
  </si>
  <si>
    <t>Ort und Datum:</t>
  </si>
  <si>
    <t>Vente potentielle de paille</t>
  </si>
  <si>
    <t>30 - 50 % Neigung</t>
  </si>
  <si>
    <t>Direktzahlungen 2</t>
  </si>
  <si>
    <t>Ø Bestand</t>
  </si>
  <si>
    <t>Stiere</t>
  </si>
  <si>
    <t xml:space="preserve">% des contributions PLVH </t>
  </si>
  <si>
    <t>Exigence de la part minimale dans la ration satisfaite</t>
  </si>
  <si>
    <t>pro Einheit</t>
  </si>
  <si>
    <t>Einkommensabzug Veheiratete</t>
  </si>
  <si>
    <t>Teil B: Grundfutterproduktion</t>
  </si>
  <si>
    <t>Heimtier</t>
  </si>
  <si>
    <t>A5: Consommation totale par les animaux consommant des fourrages grossiers</t>
  </si>
  <si>
    <t>A5: Gesamtverzehr der Raufutterverzehrer</t>
  </si>
  <si>
    <t>écrire le mot de passe, s'il vous plaît</t>
  </si>
  <si>
    <t>Quantité de lait en kg</t>
  </si>
  <si>
    <t>Zuckerhut</t>
  </si>
  <si>
    <t>Zuckermais</t>
  </si>
  <si>
    <t>Zwiebeln</t>
  </si>
  <si>
    <t>Mittelwert Freilandgemüse</t>
  </si>
  <si>
    <t>Actualiser les données</t>
  </si>
  <si>
    <t>Baies, plantes aromatiques et médicinales</t>
  </si>
  <si>
    <t>plus Krippenreste (geschätzt)</t>
  </si>
  <si>
    <t>Vérifiez les données saisies dans l’onglet « Surfaces ».</t>
  </si>
  <si>
    <t>Autres Surfaces de promotion de la biodiversité (type 16 selon formulaire AGRIDEA)</t>
  </si>
  <si>
    <t>Asperge blanche</t>
  </si>
  <si>
    <t>Asperge verte</t>
  </si>
  <si>
    <t>Tomates</t>
  </si>
  <si>
    <t>Pensées</t>
  </si>
  <si>
    <t>Contribution pour les terrains en pente*</t>
  </si>
  <si>
    <t>SuiBi: légumes en serre / tunnel</t>
  </si>
  <si>
    <t>SuiBi: fruits et baies</t>
  </si>
  <si>
    <t>Bilan jeunes bovins</t>
  </si>
  <si>
    <t>Bilan lait</t>
  </si>
  <si>
    <t>[FehlerBedingung] und [FehlerMarkieren] unterscheiden sich in der Zellstruktur</t>
  </si>
  <si>
    <t>Potentiel de commercialisation</t>
  </si>
  <si>
    <t xml:space="preserve">Année </t>
  </si>
  <si>
    <t>constr.</t>
  </si>
  <si>
    <t>d'achat</t>
  </si>
  <si>
    <t>Part</t>
  </si>
  <si>
    <t>propriété</t>
  </si>
  <si>
    <t>Prix</t>
  </si>
  <si>
    <t>VR*</t>
  </si>
  <si>
    <t>Remplacé</t>
  </si>
  <si>
    <t>dans les</t>
  </si>
  <si>
    <t xml:space="preserve">Sie erhalten die Beiträge </t>
  </si>
  <si>
    <t>Vous obtenez des contributions PLVH</t>
  </si>
  <si>
    <t>teilweise</t>
  </si>
  <si>
    <t>partielles</t>
  </si>
  <si>
    <t>Total des besoins nets en fourrage</t>
  </si>
  <si>
    <t>Total des fourrages à produire sur l'exploitation (à reporter sous C1)</t>
  </si>
  <si>
    <t>bêtes x jours au parcours x Nstock x 0.1</t>
  </si>
  <si>
    <t>Hangbeiträge für steile Rebflächen</t>
  </si>
  <si>
    <t>Anbaubeiträge</t>
  </si>
  <si>
    <t>Coefficients tabel.</t>
  </si>
  <si>
    <t>Méthode de culture</t>
  </si>
  <si>
    <t>Foin, regain non ventilé</t>
  </si>
  <si>
    <t>SuiBi: rendement et fourrage</t>
  </si>
  <si>
    <t>SuiBi: besoins et bilan</t>
  </si>
  <si>
    <t>Letame equino fresco</t>
  </si>
  <si>
    <t>Letame equino</t>
  </si>
  <si>
    <t>Catégorie de machines</t>
  </si>
  <si>
    <t>du prix d'achat</t>
  </si>
  <si>
    <t>Réparations</t>
  </si>
  <si>
    <t>Lavoro</t>
  </si>
  <si>
    <t>35-50%, 1 Kons.-schnitt, mittel</t>
  </si>
  <si>
    <t>Revenus accessoires / Privé</t>
  </si>
  <si>
    <t>Récapitulation du résultat</t>
  </si>
  <si>
    <t>Flux monétaires pluriannuels</t>
  </si>
  <si>
    <t>Total par ha</t>
  </si>
  <si>
    <t>Saisie globale</t>
  </si>
  <si>
    <t>Achat de fourrages grossiers</t>
  </si>
  <si>
    <t>Conservation</t>
  </si>
  <si>
    <t>Location de machines</t>
  </si>
  <si>
    <t>Travaux par tiers</t>
  </si>
  <si>
    <t>Total coûts variables fourrages grossiers</t>
  </si>
  <si>
    <t>Allocations familiales</t>
  </si>
  <si>
    <t>Aliment pour truies gestantes</t>
  </si>
  <si>
    <t xml:space="preserve">    Ausmastplätze</t>
  </si>
  <si>
    <t>Milchverwertung</t>
  </si>
  <si>
    <t>Total Versorgungssicherheitsbeiträge</t>
  </si>
  <si>
    <t>Pour les récoltes des années antérieures, merci d'utiliser les versions précédentes.</t>
  </si>
  <si>
    <t>Porcs sans porcelets allaités</t>
  </si>
  <si>
    <t>Besoins totaux en volume d'ensilage</t>
  </si>
  <si>
    <t>Winterfütterung von Hand, Entmistung teilmech.</t>
  </si>
  <si>
    <t>Produit secondaire</t>
  </si>
  <si>
    <t>pâturages extensifs et pâturages boisés</t>
  </si>
  <si>
    <t>Der neue Name darf keine Leerschläge oder Sonderzeichen (z.B. .,:/&amp; etc.) enthalten!</t>
  </si>
  <si>
    <t>Dépenses pour voitures d'exploitation</t>
  </si>
  <si>
    <t>Ausgaben Motorfahrzeuge, Zugkraft, Kleinmaterial</t>
  </si>
  <si>
    <t>Dépenses pour machines et équipement</t>
  </si>
  <si>
    <t>Ausgaben Auto Betrieb</t>
  </si>
  <si>
    <t xml:space="preserve">1) Attention: </t>
  </si>
  <si>
    <t>5000 Tiere</t>
  </si>
  <si>
    <t>4. Teil C: Zu- und Wegfuhr Grundfutter</t>
  </si>
  <si>
    <t>Terres ouvertes (TO)</t>
  </si>
  <si>
    <t>veaux pour l'engraissement</t>
  </si>
  <si>
    <t>veaux maigres</t>
  </si>
  <si>
    <t>Lait à d'autres animaux domestiques</t>
  </si>
  <si>
    <t>art-</t>
  </si>
  <si>
    <t>Schwemmentmistung</t>
  </si>
  <si>
    <t>Berechnungsperiode</t>
  </si>
  <si>
    <t>weine</t>
  </si>
  <si>
    <t>grube</t>
  </si>
  <si>
    <t>***)</t>
  </si>
  <si>
    <t xml:space="preserve"> = Landw. Nutzfläche (LN)</t>
  </si>
  <si>
    <t>Jungtiermist</t>
  </si>
  <si>
    <t>Fumier de petits lapins</t>
  </si>
  <si>
    <t>Contrib. pour terrains en pente</t>
  </si>
  <si>
    <t>Eléments nutritifs fruits:</t>
  </si>
  <si>
    <t>Poulets de chair, dindes et lapins</t>
  </si>
  <si>
    <t>nur Hafer als KF</t>
  </si>
  <si>
    <t>Beeren, Heil- u. Gewürzpflanzen</t>
  </si>
  <si>
    <t>Christbaumkulturen</t>
  </si>
  <si>
    <t>Rebbau m. eigener Kelterei</t>
  </si>
  <si>
    <t>Gewächshaus mit festem Fundament</t>
  </si>
  <si>
    <t>Hochtunnel, Treibbeet</t>
  </si>
  <si>
    <t xml:space="preserve">Prod. semences </t>
  </si>
  <si>
    <t>Cultures sous abri avec fondations</t>
  </si>
  <si>
    <t>Total Verbrauch</t>
  </si>
  <si>
    <t>Racines d'endives</t>
  </si>
  <si>
    <t>Kabis Früh-, Folie</t>
  </si>
  <si>
    <t>Kabis Lager</t>
  </si>
  <si>
    <t>Dürrfutter, belüftet</t>
  </si>
  <si>
    <t>Sellerie Suppen-, 40 Stk/m2</t>
  </si>
  <si>
    <t>** SPB herbagères = prairies extensives et peu intensives, pâturages extensifs et pâturages boisés, prairies riveraines d'un cours d'eau</t>
  </si>
  <si>
    <t>2. Partie A: Consommation de fourrages et de concentrés</t>
  </si>
  <si>
    <t xml:space="preserve">      consommés sur l’exploitation à l’année (sans estivage) divisé par le « nombre d’animaux corrigé ».</t>
  </si>
  <si>
    <t>C. Lisier, fumier et production des éléments nutritifs</t>
  </si>
  <si>
    <t>Hanf</t>
  </si>
  <si>
    <t>Solo liquame completo</t>
  </si>
  <si>
    <t>Beitrag pro GVE und Jahr (bis 2021 ausbezahlt)</t>
  </si>
  <si>
    <t>Contribution par UGB et par an (versées jusqu’en 2021)</t>
  </si>
  <si>
    <t>Contributo per UBG e per anno (versamento fino al 2021)</t>
  </si>
  <si>
    <t>Es sind Auflagen nach Artikel 82c der DZV zu erfüllen</t>
  </si>
  <si>
    <t>Les charges figurant à l’art. 82c OPD doivent être remplies</t>
  </si>
  <si>
    <t>Vanno adempiute le condizioni giusta l’articolo 82c OPD</t>
  </si>
  <si>
    <t>Beitrag für Reduktion von Pflanzenschutzmittel***</t>
  </si>
  <si>
    <t>Contribution pour la réduction des produits phytosanitaires***</t>
  </si>
  <si>
    <t>Rebbau: Verzicht auf Fungizide</t>
  </si>
  <si>
    <t>Viticulture: Non-recours total aux fongicides</t>
  </si>
  <si>
    <t>Zuckerrüben: Mechanische Unkrautbekämpfung ab 4-Blatt-Stadium</t>
  </si>
  <si>
    <t>Betteraves sucrières: Désherbage mécanique à partir du stade de 4 feuilles</t>
  </si>
  <si>
    <t>Zuckerrüben: Mechanische Unkrautbekämpfung ab Saat</t>
  </si>
  <si>
    <t xml:space="preserve">Betteraves sucrières: Désherbage mécanique à partir du semis </t>
  </si>
  <si>
    <t>Auswahllisten</t>
  </si>
  <si>
    <t>Cases blanches:</t>
  </si>
  <si>
    <t xml:space="preserve">weisse Zellen: </t>
  </si>
  <si>
    <t>Diminuzione</t>
  </si>
  <si>
    <t>Rimborso dal:</t>
  </si>
  <si>
    <t>Interesse dal:</t>
  </si>
  <si>
    <t>Stato</t>
  </si>
  <si>
    <t>Progetti: Investimenti e finanziamenti</t>
  </si>
  <si>
    <t>Disinvestimenti</t>
  </si>
  <si>
    <t>Creditori, PT</t>
  </si>
  <si>
    <t>Aumento</t>
  </si>
  <si>
    <t>Cereale</t>
  </si>
  <si>
    <t>übrige landwirtschaftliche Nutzfläche</t>
  </si>
  <si>
    <t>Employés</t>
  </si>
  <si>
    <t>Dauerkulturen</t>
  </si>
  <si>
    <t>100 PPI</t>
  </si>
  <si>
    <t>Décompte de la communauté</t>
  </si>
  <si>
    <t>Teneur du fourrage en éléments nutritifs</t>
  </si>
  <si>
    <t>[FehlerBedingung] et [FehlerMeldung] se différencient dans leur structure de cellule</t>
  </si>
  <si>
    <t>Maisuntersaat</t>
  </si>
  <si>
    <t>Maiswiese</t>
  </si>
  <si>
    <t>Veaux pour engraissement bovin</t>
  </si>
  <si>
    <t>Diagramme flux monétaires</t>
  </si>
  <si>
    <t>Annexe 1: privé</t>
  </si>
  <si>
    <t xml:space="preserve">kg pro Jahr </t>
  </si>
  <si>
    <t>Bestand nettomonetäres UV</t>
  </si>
  <si>
    <t>20 Kühe</t>
  </si>
  <si>
    <t>Cerises</t>
  </si>
  <si>
    <t>möglich</t>
  </si>
  <si>
    <t>kultur</t>
  </si>
  <si>
    <t>Plantes arom. &amp; médic.1 an</t>
  </si>
  <si>
    <t>Chanvre pour le fibres</t>
  </si>
  <si>
    <t>Hofdüngertyp</t>
  </si>
  <si>
    <t>Type d'engrais de ferme</t>
  </si>
  <si>
    <t>Kaninchenmist</t>
  </si>
  <si>
    <t>Fumier de lapins</t>
  </si>
  <si>
    <t>Mise en place de prairie temp. au printemps</t>
  </si>
  <si>
    <t>Hypothek</t>
  </si>
  <si>
    <t>IK</t>
  </si>
  <si>
    <t>Hennenmist (Bodenhaltung, Kotgrube) in Gülle</t>
  </si>
  <si>
    <t>Hennenkot (Kotband) in Gülle</t>
  </si>
  <si>
    <t>Kreiselschwader</t>
  </si>
  <si>
    <t>Ladewagen</t>
  </si>
  <si>
    <t>Ballenpresse</t>
  </si>
  <si>
    <t>Kettensäge</t>
  </si>
  <si>
    <t>Utilisation intensive</t>
  </si>
  <si>
    <t>Utilisation moyenne</t>
  </si>
  <si>
    <t>Utilisation extensive</t>
  </si>
  <si>
    <t xml:space="preserve">Récolte manuelle </t>
  </si>
  <si>
    <t>A2: Eléments nutritifs produits par les animaux de l'exploitation</t>
  </si>
  <si>
    <t>Schafe / Ziegen</t>
  </si>
  <si>
    <t>Schweinegülle Mast</t>
  </si>
  <si>
    <t>Standardarbeitskräfte</t>
  </si>
  <si>
    <t>Jachère avec couverture de paille de maïs broyée (sol travaillé)</t>
  </si>
  <si>
    <t>Consommation privée</t>
  </si>
  <si>
    <t>Formulaires PER</t>
  </si>
  <si>
    <t>Déduc.</t>
  </si>
  <si>
    <t>corr.</t>
  </si>
  <si>
    <t>Part aux éléments fertilisants</t>
  </si>
  <si>
    <t>UGB/</t>
  </si>
  <si>
    <t>PP/PPE</t>
  </si>
  <si>
    <t>bête/place</t>
  </si>
  <si>
    <t>100 PP</t>
  </si>
  <si>
    <t>100 PPE</t>
  </si>
  <si>
    <t>PP/PE</t>
  </si>
  <si>
    <t>d'anim.</t>
  </si>
  <si>
    <t>par</t>
  </si>
  <si>
    <t>fumier</t>
  </si>
  <si>
    <t>Vous avez saisi trop d'espèces d'animaux ou trop de cultures pour ce tableau! Vérifiez les données saisies à la page 2 et 3!</t>
  </si>
  <si>
    <t>bungen</t>
  </si>
  <si>
    <t>Surface minimale pour BIO</t>
  </si>
  <si>
    <t>E1: Flüssige Vergärungsprodukte</t>
  </si>
  <si>
    <t>Rotationsbrache</t>
  </si>
  <si>
    <t>Chinaschilf</t>
  </si>
  <si>
    <t>Mittelintensive Wiesen aus Flächen-Blatt</t>
  </si>
  <si>
    <t>Ø Ertrag</t>
  </si>
  <si>
    <t>Erträge</t>
  </si>
  <si>
    <t>Produkt</t>
  </si>
  <si>
    <t>Produktionssysteme</t>
  </si>
  <si>
    <t>Réduction</t>
  </si>
  <si>
    <t>Finanzierungsbereich</t>
  </si>
  <si>
    <t>Elevage</t>
  </si>
  <si>
    <t>Importation</t>
  </si>
  <si>
    <t>Excédent sur opérations courantes (ESO)</t>
  </si>
  <si>
    <t>Exemple: Coteau Sud, Sauvignon blanc</t>
  </si>
  <si>
    <t>Allg!BGIdx</t>
  </si>
  <si>
    <t>Kosten Motorfahrzeuge</t>
  </si>
  <si>
    <t>Fahrzeug</t>
  </si>
  <si>
    <t>Calcolo delle unità standard di manodopera (USM)</t>
  </si>
  <si>
    <t>Fumier de porc</t>
  </si>
  <si>
    <t>Crottes de poules (tapis)</t>
  </si>
  <si>
    <t>Fumier de poule (fosse à crottes, élevage au sol)</t>
  </si>
  <si>
    <t>Biodiversité</t>
  </si>
  <si>
    <t>Qualité du paysage</t>
  </si>
  <si>
    <t>E2: Feste Vergärungsprodukte</t>
  </si>
  <si>
    <t>Fussnote</t>
  </si>
  <si>
    <t>Weitere raufutterverzehrende Tiere</t>
  </si>
  <si>
    <t>GMF_Zone</t>
  </si>
  <si>
    <t>35-50%, 2 Kons.-schnitte, mittel</t>
  </si>
  <si>
    <t>35-50%, 2 Kons.-schnitte, hoch</t>
  </si>
  <si>
    <t>Bovin d'élevage, 1 à 2 ans</t>
  </si>
  <si>
    <t>Bovin d'élevage, moins de 1 an</t>
  </si>
  <si>
    <t>Base de données bilan de travail</t>
  </si>
  <si>
    <t>Coefficients et listes déroulantes</t>
  </si>
  <si>
    <t>Anhang 4: Projekte</t>
  </si>
  <si>
    <t>Poules pondeuses, tapis</t>
  </si>
  <si>
    <t>Poules pondeuses, au sol</t>
  </si>
  <si>
    <t>Amidonnier, engrain</t>
  </si>
  <si>
    <t>Blé, épeautre, amidonnier, engrais</t>
  </si>
  <si>
    <t>Orge</t>
  </si>
  <si>
    <t>Reddito del lavoro per partner</t>
  </si>
  <si>
    <t>Reddito per partner</t>
  </si>
  <si>
    <t>zwischen 800'000 und 1'000'000:</t>
  </si>
  <si>
    <t>Déduction pour la part de fortune</t>
  </si>
  <si>
    <t>entre 800'000 et 1'000'000 :</t>
  </si>
  <si>
    <t>Rindviehmast intensiv &gt; 65 kg, &lt;= 520 kg</t>
  </si>
  <si>
    <t>Rindviehmast, Tränker &lt;= 4 Monate</t>
  </si>
  <si>
    <t>Rindviehmast intensiv &gt; 4 Monate</t>
  </si>
  <si>
    <t>Rindviehmast Weidemast &gt; 4 Monate</t>
  </si>
  <si>
    <t>Bovin à l'engrais pâturage &gt; 4 mois</t>
  </si>
  <si>
    <t>Bovin à l'engrais intensif &gt; 4 mois</t>
  </si>
  <si>
    <t>Revenu non prélevé (+)/ Prélèvement des associés (-)</t>
  </si>
  <si>
    <t>S'il vous plaît, ouvrez d'abord l'année de récolte, dont vous voulez reprendre les données!</t>
  </si>
  <si>
    <t>Lors de la reprise de données de carnets de récolte à partir de Feldbuch,</t>
  </si>
  <si>
    <t>Consommation de fourrages par les animaux</t>
  </si>
  <si>
    <t>Tierbestand</t>
  </si>
  <si>
    <t>Freie Zeile 1</t>
  </si>
  <si>
    <t>Freie Zeile 2</t>
  </si>
  <si>
    <t>Ein-</t>
  </si>
  <si>
    <t xml:space="preserve">Anzahl </t>
  </si>
  <si>
    <t>GVE-</t>
  </si>
  <si>
    <t>Bei-</t>
  </si>
  <si>
    <t>Abzug /</t>
  </si>
  <si>
    <t>UMOS pour améliorations structurelles</t>
  </si>
  <si>
    <t>Contingent laitier</t>
  </si>
  <si>
    <t>Arbres fruitiers à haute tige</t>
  </si>
  <si>
    <t>Utilisation du sol</t>
  </si>
  <si>
    <t>Futter-zukauf konv %</t>
  </si>
  <si>
    <t>Silagebedarf</t>
  </si>
  <si>
    <t>dt TS x Bruttolagerraum</t>
  </si>
  <si>
    <t>Consommation de FG trop haute !</t>
  </si>
  <si>
    <t>Surfaces à litière*</t>
  </si>
  <si>
    <t>Hochstamm</t>
  </si>
  <si>
    <t xml:space="preserve">wenig intensiv </t>
  </si>
  <si>
    <t>Säume auf</t>
  </si>
  <si>
    <t>Ackerschon-</t>
  </si>
  <si>
    <t>Extensoprod.</t>
  </si>
  <si>
    <t>Zone montagne III</t>
  </si>
  <si>
    <t>Zone montagne IV</t>
  </si>
  <si>
    <t>Volumen in lt.</t>
  </si>
  <si>
    <t>Volume en lt.</t>
  </si>
  <si>
    <t>Four. prairies</t>
  </si>
  <si>
    <t>Wiesen- und</t>
  </si>
  <si>
    <t>m³/dt TS</t>
  </si>
  <si>
    <t>m³</t>
  </si>
  <si>
    <t>Reserve</t>
  </si>
  <si>
    <t>Nettolagerraum (ohne Funktionsraum!)</t>
  </si>
  <si>
    <t>noch zu erstellen:</t>
  </si>
  <si>
    <t>Strohraum</t>
  </si>
  <si>
    <t>chk_ExtBGetr</t>
  </si>
  <si>
    <t xml:space="preserve">A7: Consommation de concentrés par les animaux autorisés </t>
  </si>
  <si>
    <t>Exploitation à l'année</t>
  </si>
  <si>
    <t>[+] Consommation durant estivage</t>
  </si>
  <si>
    <t>[+] Verzehr während Sömmerung</t>
  </si>
  <si>
    <t>[+] Futter während Sömmerung</t>
  </si>
  <si>
    <t>[+] Fourrages durant estivage</t>
  </si>
  <si>
    <t>Cash Flow avant prélèvements</t>
  </si>
  <si>
    <t>Réduction des paiements directs en %</t>
  </si>
  <si>
    <t>Mist:</t>
  </si>
  <si>
    <t>Surfaces à litière, tourbières</t>
  </si>
  <si>
    <t>Ces surfaces doivent être saisies sur les lignes jaunes de la feuille « D_Surface » avec rendement par ha. Elles seront reportées dans le Suisse-Bilanz ainsi que leurs besoins standards de fumure azotée.</t>
  </si>
  <si>
    <t>de la SAU</t>
  </si>
  <si>
    <t>schlag</t>
  </si>
  <si>
    <t>je Tag</t>
  </si>
  <si>
    <r>
      <t>P</t>
    </r>
    <r>
      <rPr>
        <vertAlign val="subscript"/>
        <sz val="8"/>
        <rFont val="Arial"/>
        <family val="2"/>
      </rPr>
      <t>2</t>
    </r>
    <r>
      <rPr>
        <sz val="8"/>
        <rFont val="Arial"/>
        <family val="2"/>
      </rPr>
      <t>O</t>
    </r>
    <r>
      <rPr>
        <vertAlign val="subscript"/>
        <sz val="8"/>
        <rFont val="Arial"/>
        <family val="2"/>
      </rPr>
      <t>5</t>
    </r>
  </si>
  <si>
    <r>
      <t>K</t>
    </r>
    <r>
      <rPr>
        <vertAlign val="subscript"/>
        <sz val="8"/>
        <rFont val="Arial"/>
        <family val="2"/>
      </rPr>
      <t>2</t>
    </r>
    <r>
      <rPr>
        <sz val="8"/>
        <rFont val="Arial"/>
        <family val="2"/>
      </rPr>
      <t>O</t>
    </r>
  </si>
  <si>
    <t>Mg</t>
  </si>
  <si>
    <t xml:space="preserve">im </t>
  </si>
  <si>
    <t>auf der</t>
  </si>
  <si>
    <t>Prairie temporaire mi-intensive</t>
  </si>
  <si>
    <t>Grünschnittroggen</t>
  </si>
  <si>
    <t>An nebenstehenden Werten beteiligte Kategorien:</t>
  </si>
  <si>
    <t>Standardanfall der beteiligten Kategorien</t>
  </si>
  <si>
    <t>beteiligt</t>
  </si>
  <si>
    <t>Kategorie</t>
  </si>
  <si>
    <t>Prod. élément nutritifs dans le lisier</t>
  </si>
  <si>
    <t>&gt; 50%, 2 Kons.-schnitte, mittel</t>
  </si>
  <si>
    <t>Disponibilité totale MOh par année</t>
  </si>
  <si>
    <t>[ - ] Besoins totaux de l'exploitation</t>
  </si>
  <si>
    <t>Anzahl</t>
  </si>
  <si>
    <t>5 Plätze</t>
  </si>
  <si>
    <t>Eberfutter</t>
  </si>
  <si>
    <t>Galtsauenfutter</t>
  </si>
  <si>
    <t>Ressourceneffizienzbeiträge (nationale: REB, Art. 77 bis 83 und Anhang 7 DZV)</t>
  </si>
  <si>
    <t>Sie sollten diese nur ausführen, wenn wirklich</t>
  </si>
  <si>
    <t xml:space="preserve">Anlass dazu besteht! Wollen Sie weiterfahren? </t>
  </si>
  <si>
    <t>Zibbenmist</t>
  </si>
  <si>
    <t>Distr. engrais, nettoyer, herser étriller 1 x par année</t>
  </si>
  <si>
    <t>&lt; 18%, bas</t>
  </si>
  <si>
    <t>&lt; 18%, moyen</t>
  </si>
  <si>
    <t>&lt; 18%, haut</t>
  </si>
  <si>
    <t>18-35%, bas</t>
  </si>
  <si>
    <t>18-35%, moyen</t>
  </si>
  <si>
    <t>Investitionsbereich</t>
  </si>
  <si>
    <t>Répartisseur téléscopique</t>
  </si>
  <si>
    <t>PER : remplies</t>
  </si>
  <si>
    <t>Culture biologique</t>
  </si>
  <si>
    <t>CheckFormat</t>
  </si>
  <si>
    <t>Horticulture productrice: serres reposant sur des</t>
  </si>
  <si>
    <t>Fondations en dur et tunnels pour plantes en récipients</t>
  </si>
  <si>
    <t>Cultures d’arbres de Noël</t>
  </si>
  <si>
    <t>Forêt faisant partie de l’exploitation</t>
  </si>
  <si>
    <t xml:space="preserve">Transformation, stockage et vente de produits </t>
  </si>
  <si>
    <t>Landwirtschaftsnahe Tätigkeiten</t>
  </si>
  <si>
    <t>Activités proches de l'agriculture</t>
  </si>
  <si>
    <t>Selbstprodroduzierte landwirtschaftliche Erzeugnisse</t>
  </si>
  <si>
    <t>Pilzproduktion</t>
  </si>
  <si>
    <t>Champignonproduktion</t>
  </si>
  <si>
    <t>Brüsselerproduktion</t>
  </si>
  <si>
    <t>Produzierender Gartenbau</t>
  </si>
  <si>
    <t>Horticulture productrice</t>
  </si>
  <si>
    <t>Semina maggese da rotazione</t>
  </si>
  <si>
    <t>Wassermenge pro Monat</t>
  </si>
  <si>
    <r>
      <t>P</t>
    </r>
    <r>
      <rPr>
        <vertAlign val="subscript"/>
        <sz val="11"/>
        <rFont val="Arial Narrow"/>
        <family val="2"/>
      </rPr>
      <t>2</t>
    </r>
    <r>
      <rPr>
        <sz val="10"/>
        <rFont val="Arial Narrow"/>
        <family val="2"/>
      </rPr>
      <t>O</t>
    </r>
    <r>
      <rPr>
        <vertAlign val="subscript"/>
        <sz val="11"/>
        <rFont val="Arial Narrow"/>
        <family val="2"/>
      </rPr>
      <t>5</t>
    </r>
  </si>
  <si>
    <r>
      <t>K</t>
    </r>
    <r>
      <rPr>
        <vertAlign val="subscript"/>
        <sz val="11"/>
        <rFont val="Arial Narrow"/>
        <family val="2"/>
      </rPr>
      <t>2</t>
    </r>
    <r>
      <rPr>
        <sz val="10"/>
        <rFont val="Arial Narrow"/>
        <family val="2"/>
      </rPr>
      <t>O</t>
    </r>
  </si>
  <si>
    <r>
      <t>m</t>
    </r>
    <r>
      <rPr>
        <vertAlign val="superscript"/>
        <sz val="9"/>
        <rFont val="Arial"/>
        <family val="2"/>
      </rPr>
      <t>2</t>
    </r>
  </si>
  <si>
    <t>Vache laitière / elevage</t>
  </si>
  <si>
    <t>Lisier</t>
  </si>
  <si>
    <t>Purin pauvre en fèces</t>
  </si>
  <si>
    <t>Fumier au tas</t>
  </si>
  <si>
    <t>Fumier de stabulation</t>
  </si>
  <si>
    <t>Evoluzione</t>
  </si>
  <si>
    <t>Bosco aziendale</t>
  </si>
  <si>
    <t>Azienda</t>
  </si>
  <si>
    <t>Intervallo tra i parti</t>
  </si>
  <si>
    <t>Row</t>
  </si>
  <si>
    <t>AnimalNbo</t>
  </si>
  <si>
    <t>Factors</t>
  </si>
  <si>
    <t>Epinards fauchés</t>
  </si>
  <si>
    <t>Zins ab:</t>
  </si>
  <si>
    <t>Bestand</t>
  </si>
  <si>
    <t>Valeurs minimales MF</t>
  </si>
  <si>
    <t>Caisse à crottes ou au sol</t>
  </si>
  <si>
    <t>Ass.</t>
  </si>
  <si>
    <t>Taxe</t>
  </si>
  <si>
    <t>Déduction de la redevance douanière</t>
  </si>
  <si>
    <t>Machines et équipements</t>
  </si>
  <si>
    <t>Année</t>
  </si>
  <si>
    <t xml:space="preserve">Si la fortune déterminante dépasse 1'000'000, </t>
  </si>
  <si>
    <t>Flächen ohne Mindesttierbesatzanforderung</t>
  </si>
  <si>
    <t>Surfaces sans charge minimale en bétail</t>
  </si>
  <si>
    <t>Produktionserschwernisbeitrag</t>
  </si>
  <si>
    <t>Contribution à la production dans des conditions difficiles</t>
  </si>
  <si>
    <t>Beitrag für die offene Ackerfläche und Dauerkulturen</t>
  </si>
  <si>
    <t xml:space="preserve">Rindviehbestand hier erfassen, keine Jungviehbilanz </t>
  </si>
  <si>
    <t>Pruduction de semences, légumineuses</t>
  </si>
  <si>
    <t>Laufhof-</t>
  </si>
  <si>
    <t>parcour</t>
  </si>
  <si>
    <t>3. Zuordnung des Angebotes auf Nutzungsarten</t>
  </si>
  <si>
    <t>Sur cette feuille, il manque [FehlerMarkieren]</t>
  </si>
  <si>
    <t>Zone de plaine</t>
  </si>
  <si>
    <t>Zona di pianura</t>
  </si>
  <si>
    <t>Zona collinare</t>
  </si>
  <si>
    <t>Bergzone I</t>
  </si>
  <si>
    <t>Bergzone II</t>
  </si>
  <si>
    <t>Le rendement maximal est dépassé !</t>
  </si>
  <si>
    <t>Contributo per l'impiego sostenibile delle risorse naturali (art. 77a e 77b Lagr)</t>
  </si>
  <si>
    <t>Veicolo</t>
  </si>
  <si>
    <t>Anni</t>
  </si>
  <si>
    <t>maximale Anteil nach Fläche gewichtet errechnet.</t>
  </si>
  <si>
    <t>Vaches allaitantes y compris veaux</t>
  </si>
  <si>
    <t>31 Zona di pianura</t>
  </si>
  <si>
    <t>41 Zona collinare</t>
  </si>
  <si>
    <t>Sie haben für diese Tabelle zu viele Tiergattungen eingegeben! Überprüfen Sie die Eingaben auf Seite 3 Tierbestand!</t>
  </si>
  <si>
    <t>Herkunft des Verdünnungswassers</t>
  </si>
  <si>
    <t>Gülle-Grube</t>
  </si>
  <si>
    <t>Quotient du niveau des animaux</t>
  </si>
  <si>
    <t>Einmaliger Beitrag pro Maschine</t>
  </si>
  <si>
    <t>Name, Position und Grösse von Zeichnungsobjekten</t>
  </si>
  <si>
    <t>Blattname</t>
  </si>
  <si>
    <t>Name</t>
  </si>
  <si>
    <t>Links</t>
  </si>
  <si>
    <t>Total GVE / MSP</t>
  </si>
  <si>
    <t xml:space="preserve"> LHP; Volierenhaltung</t>
  </si>
  <si>
    <t xml:space="preserve"> LHP; Stall mit Schräggitter oder Kotgrube</t>
  </si>
  <si>
    <t xml:space="preserve"> LHP; Tiefstreuehaltung</t>
  </si>
  <si>
    <t>Total GVE / LHP</t>
  </si>
  <si>
    <t>Raumprogramm 2</t>
  </si>
  <si>
    <t>Flächen für den regelmässigen Auslauf ins Freie (RAUS)</t>
  </si>
  <si>
    <t>Kaninchen: Jungtiere ab ca 35 Tagen</t>
  </si>
  <si>
    <t>Total achats privés</t>
  </si>
  <si>
    <t>Schnittblumen, mittel</t>
  </si>
  <si>
    <t>Schnittblumen, gross</t>
  </si>
  <si>
    <t>Schnittsalat</t>
  </si>
  <si>
    <t>Schnittlauch</t>
  </si>
  <si>
    <t>Schwarzwurzel</t>
  </si>
  <si>
    <t>Sellerie Knollen-</t>
  </si>
  <si>
    <t>il ne s'agit pas d'un fichier PLANETE ou c'est une version antérieure à 8.2</t>
  </si>
  <si>
    <t xml:space="preserve">    - KF-Verzehr während Sömmerung nur möglich für gemolkene Tiere folgender Kategorien: Milchkühe,</t>
  </si>
  <si>
    <t>Bovins à l'engrais pâturage, sans garde permanente en été</t>
  </si>
  <si>
    <t>Bovins à l'engrais intensif, sans pâture en été</t>
  </si>
  <si>
    <t>Tiefstreulaufstall, Fütterung von Hand</t>
  </si>
  <si>
    <t>Tiefstreulaufstall, Fütterung mit Futtermischwagen</t>
  </si>
  <si>
    <t xml:space="preserve">Stabulation libre sur lit. profonde, affour. manuel </t>
  </si>
  <si>
    <t>Stabulation libre sur lit. profonde, affour. avec mélangeuse</t>
  </si>
  <si>
    <t>10 vaches, transport en boilles</t>
  </si>
  <si>
    <t>Brouette à fumier, traite manuelle, affouragement manuel</t>
  </si>
  <si>
    <t>Brouette à fumier, 2 pot trayeur, affouragement manuel</t>
  </si>
  <si>
    <t>Grillage, 2 pots trayeurs, affouragement manuel</t>
  </si>
  <si>
    <t>Etable à stab. entravée, grillage, 2 p. trayeurs, affour. manuel</t>
  </si>
  <si>
    <t>Etable à stab. entravée, grillage, instal. de traite directe 3 griffes, affour. manuel</t>
  </si>
  <si>
    <t>Réduction effective du niveau qualité 1</t>
  </si>
  <si>
    <t>- Onere lavorativo minimo (0.20 USM)</t>
  </si>
  <si>
    <t xml:space="preserve">Fläche Qualitätsstufe II </t>
  </si>
  <si>
    <t>Basisfläche = Landwirtschaftliche Nutzfläche, ohne die Flächen für Baumschulen, Forstpflanzen, Christbäume, Zierpflanzen, Hanf und Gewächshäu-</t>
  </si>
  <si>
    <t>und übrige nicht beitragsberechtigte Acker- und Grünflächen (554,598,594,698), jedoch plus Hecken-, Feld- und Ufergehölze (mit Krautsaum) und</t>
  </si>
  <si>
    <t>0.01 ha je Hochstammfeldobst-, Kastanien- und Nussbaum Qualitätsstufe I; siehe auch Vollzugshilfe Merkblatt Nr.6: Flächenkatalog 2016</t>
  </si>
  <si>
    <t>Massgebende Fläche</t>
  </si>
  <si>
    <t>2/3 Zuchtschweine + 1/3 Ferkel</t>
  </si>
  <si>
    <t>Lege- &amp; Zuchthennen, Zuchthähne</t>
  </si>
  <si>
    <t>normale Verhältnisse (Waschmasch., Dusche/Bad, WC)</t>
  </si>
  <si>
    <t>Aliment pour truies allaitantes</t>
  </si>
  <si>
    <t>Kaninchen: Jungtiere ab ca. 35 Tagen</t>
  </si>
  <si>
    <t>Tiere der Pferdegattung (Equiden)</t>
  </si>
  <si>
    <t>Maultiere, -esel</t>
  </si>
  <si>
    <t>Fohlen</t>
  </si>
  <si>
    <t>Contributo per la riduzione dei prodotti fitosanitari ***</t>
  </si>
  <si>
    <t>Einwohner</t>
  </si>
  <si>
    <t xml:space="preserve">                 </t>
  </si>
  <si>
    <t>einfache sanitäre Einrichtungen</t>
  </si>
  <si>
    <t>Hügelzone</t>
  </si>
  <si>
    <t>F'rüben</t>
  </si>
  <si>
    <t>Differenz</t>
  </si>
  <si>
    <t>Sommerration</t>
  </si>
  <si>
    <t>eingrasen</t>
  </si>
  <si>
    <t>weiden</t>
  </si>
  <si>
    <t>mais</t>
  </si>
  <si>
    <t>Winter</t>
  </si>
  <si>
    <t>Sommer</t>
  </si>
  <si>
    <t>Intensiv</t>
  </si>
  <si>
    <t>Extensiv</t>
  </si>
  <si>
    <t>Durchschnittliche Veränderung in %</t>
  </si>
  <si>
    <t>Evolution moyenne en %</t>
  </si>
  <si>
    <t>Total marges brutes et autres produits/charges</t>
  </si>
  <si>
    <t>L'option de saisie choisie ici est définitive et ne peut plus être changée dans cette variante de planification!</t>
  </si>
  <si>
    <t>je kg FS</t>
  </si>
  <si>
    <t>je kg TS</t>
  </si>
  <si>
    <t>Butt Kuhzahl</t>
  </si>
  <si>
    <t>Getreide-Silage mit u. ohne Legumin.</t>
  </si>
  <si>
    <t>Céréales ensilées avec et sans légumin.</t>
  </si>
  <si>
    <t>Bilan des fourrages non équilibré !</t>
  </si>
  <si>
    <t>Champs sans cultures de couverture</t>
  </si>
  <si>
    <t>Jachère avec couverture de paille de maïs broyée  (sol non trav.)</t>
  </si>
  <si>
    <t>Gruppe a</t>
  </si>
  <si>
    <t>Gruppe b</t>
  </si>
  <si>
    <t>Gruppe c</t>
  </si>
  <si>
    <t>groupe a</t>
  </si>
  <si>
    <t>groupe b</t>
  </si>
  <si>
    <t>groupe c</t>
  </si>
  <si>
    <t>gruppo a</t>
  </si>
  <si>
    <t>gruppo b</t>
  </si>
  <si>
    <t>gruppo c</t>
  </si>
  <si>
    <t>Hangbeiträge</t>
  </si>
  <si>
    <t xml:space="preserve"> - Prairie-maïs avec régulation mécanique de l’enherbement entre les lignes</t>
  </si>
  <si>
    <t>Norme de base de l'azote disponible</t>
  </si>
  <si>
    <t>Kräuter, Gewürz mittel</t>
  </si>
  <si>
    <t>Bio%</t>
  </si>
  <si>
    <t>in CHF</t>
  </si>
  <si>
    <t>annuel en CHF</t>
  </si>
  <si>
    <t>Deckungsbeitrag Mutterkühe total</t>
  </si>
  <si>
    <t>Marge brute total vaches mères</t>
  </si>
  <si>
    <t>Deckungsbeitrag Mutterkühe pro Mutterkuh</t>
  </si>
  <si>
    <t>Marge brute vaches mères par vache</t>
  </si>
  <si>
    <t>Kostgelder</t>
  </si>
  <si>
    <t xml:space="preserve">    - Einzuhalten sind Fütterungsanforderung und Mindestbesatz (abhängig von Produktionszone)</t>
  </si>
  <si>
    <t>Unterschrift :</t>
  </si>
  <si>
    <t>Zusatzformular Korrekturfaktoren Bodenuntersuchung bei Gemüsekulturen</t>
  </si>
  <si>
    <t>Parzelle</t>
  </si>
  <si>
    <t>Systèmes de production</t>
  </si>
  <si>
    <t>Efficience des ressources</t>
  </si>
  <si>
    <t>Transition</t>
  </si>
  <si>
    <t>Réductions</t>
  </si>
  <si>
    <t>Grenzen</t>
  </si>
  <si>
    <t>Milchviehbestand aus Jungviehbilanz übernehmen</t>
  </si>
  <si>
    <t>Imprimer</t>
  </si>
  <si>
    <t>Dialogue_Onglet</t>
  </si>
  <si>
    <t>choisir un onglet</t>
  </si>
  <si>
    <t>Teneur en kg par unité</t>
  </si>
  <si>
    <t>Surface SPB trop haute</t>
  </si>
  <si>
    <t>BG mit 2 Betrieben</t>
  </si>
  <si>
    <t>BG mit 3 Betrieben</t>
  </si>
  <si>
    <t>BG mit 4 Betrieben</t>
  </si>
  <si>
    <t>BG mit 5 Betrieben</t>
  </si>
  <si>
    <t>Calcul de la contribution de transition</t>
  </si>
  <si>
    <t>Übergangsbeitrag ausbezahlt</t>
  </si>
  <si>
    <t>Contribution de transition versée</t>
  </si>
  <si>
    <t>Durchschnitlliche Parzellengrösse:</t>
  </si>
  <si>
    <t xml:space="preserve"> - im Ackerbau</t>
  </si>
  <si>
    <t>Anzahl Melkeinheiten</t>
  </si>
  <si>
    <t>2 surface partielle</t>
  </si>
  <si>
    <t>3 surface partielle</t>
  </si>
  <si>
    <t>chk_Linear</t>
  </si>
  <si>
    <t>Exploitation individuelle ou communauté</t>
  </si>
  <si>
    <t>contribution de base total</t>
  </si>
  <si>
    <t xml:space="preserve">L'effectif des animaux doit être saisi à la page 3 </t>
  </si>
  <si>
    <t xml:space="preserve">Degré de </t>
  </si>
  <si>
    <t>mécanisation</t>
  </si>
  <si>
    <t>par unité</t>
  </si>
  <si>
    <t xml:space="preserve"> - im Futterbau</t>
  </si>
  <si>
    <t>RGVE mit Abzug für abgelieferte Milch</t>
  </si>
  <si>
    <t>Kürzung der Direktzahlungen in %</t>
  </si>
  <si>
    <t>Ökonachweis: nicht erfüllt</t>
  </si>
  <si>
    <t>keine</t>
  </si>
  <si>
    <t>txtSprache</t>
  </si>
  <si>
    <t>Text Anmerk_1</t>
  </si>
  <si>
    <t>Disponible de tous les partenaires de la communauté</t>
  </si>
  <si>
    <t>reprise des données de Feldbuch</t>
  </si>
  <si>
    <t xml:space="preserve">marié </t>
  </si>
  <si>
    <t>Zucchetti, Patisson</t>
  </si>
  <si>
    <t>Die hier aufgeführte Berechnung bezieht sich auf die Situation nach Aufbau der Herde!</t>
  </si>
  <si>
    <t>Contributions à l'efficience des ressources (régionales: Art. 77 a/b LAgr et Art. 62a LEaux)</t>
  </si>
  <si>
    <t>Exploitation:</t>
  </si>
  <si>
    <t>Année:</t>
  </si>
  <si>
    <t>Indemnités pour immeubles et droits de production</t>
  </si>
  <si>
    <t>Prunes, rendement élevé</t>
  </si>
  <si>
    <t>Erfüllung des Anteils … an der Ration</t>
  </si>
  <si>
    <t>Haies, bosquets et berges boisées</t>
  </si>
  <si>
    <t>Fosse</t>
  </si>
  <si>
    <t>reprise automatiquement des données en coûts de main-d'œuvre</t>
  </si>
  <si>
    <t>&lt;50%</t>
  </si>
  <si>
    <t>Betriebszweig Mutterkühe, Stiere, über 2-jährig</t>
  </si>
  <si>
    <t>Dialog beenden</t>
  </si>
  <si>
    <t>transférer les données dans le compte de résultat et le tableaux des flux monétaires</t>
  </si>
  <si>
    <t>Aktion rückgängig machen</t>
  </si>
  <si>
    <t>annuler l'action</t>
  </si>
  <si>
    <t>Remboursements</t>
  </si>
  <si>
    <t>Sonderfälle: dauernd deutlich geringerer Abwasseranfall</t>
  </si>
  <si>
    <t>Die hier gewählte Erfassungsoption ist definitiv und kann in dieser Planungsvariante nicht mehr geändert werden!</t>
  </si>
  <si>
    <t>Utile lordo per unità</t>
  </si>
  <si>
    <t>Produits de la méthanisation</t>
  </si>
  <si>
    <t>FormE</t>
  </si>
  <si>
    <t>Nombre de jours de travail fournis</t>
  </si>
  <si>
    <t>Part par partenaire en %</t>
  </si>
  <si>
    <t>Ammenkühe</t>
  </si>
  <si>
    <t>Schaf- / Ziegenmist</t>
  </si>
  <si>
    <t>typ</t>
  </si>
  <si>
    <t>Dung-</t>
  </si>
  <si>
    <t>PLANETE light</t>
  </si>
  <si>
    <t>Paidir</t>
  </si>
  <si>
    <t>Vente SwissPrimBeef</t>
  </si>
  <si>
    <t>Hecken u. Feldgehölze, Uferwiesen</t>
  </si>
  <si>
    <t>Surface en cultures dérobées</t>
  </si>
  <si>
    <t>Zwischenfutterfläche</t>
  </si>
  <si>
    <t>Surface herbagère</t>
  </si>
  <si>
    <t>Grünfläche</t>
  </si>
  <si>
    <t xml:space="preserve">Mastschweine, Remonten </t>
  </si>
  <si>
    <t>Porcs renouvellement, engrais</t>
  </si>
  <si>
    <t>Animal Names</t>
  </si>
  <si>
    <t>Equiden &gt; 148 cm, über 900-tägig</t>
  </si>
  <si>
    <t>Equiden &lt;= 148 cm, 180-900-tägig</t>
  </si>
  <si>
    <t>Equiden &gt; 148 cm, 180-900-tägig</t>
  </si>
  <si>
    <t>Equiden &lt;= 148 cm, bis 180-tägig</t>
  </si>
  <si>
    <t>Equiden &gt; 148 cm, bis 180-tägig</t>
  </si>
  <si>
    <t>Kaninchen, Jungtiere über ca. 35-tägig</t>
  </si>
  <si>
    <t>Freilandhaltung</t>
  </si>
  <si>
    <t>Cassis, rendement élevé</t>
  </si>
  <si>
    <t>Groseille à maquereau</t>
  </si>
  <si>
    <t>Mp2</t>
  </si>
  <si>
    <t>Rp1</t>
  </si>
  <si>
    <t>Rp2</t>
  </si>
  <si>
    <t>(120*0.1+145*0.3)/365</t>
  </si>
  <si>
    <t xml:space="preserve">Tomaten  1800 kg Ertrag </t>
  </si>
  <si>
    <t xml:space="preserve">Tomaten  2400 kg Ertrag </t>
  </si>
  <si>
    <t xml:space="preserve">Tomaten  3000 kg Ertrag </t>
  </si>
  <si>
    <t xml:space="preserve">actualiser le tableau </t>
  </si>
  <si>
    <t>Drescherbsen</t>
  </si>
  <si>
    <t>Öl-, Faserlein</t>
  </si>
  <si>
    <t>GF total</t>
  </si>
  <si>
    <t>Erfüllung der Mindestanteile der Ration</t>
  </si>
  <si>
    <t>Total Kraftfutterverbrauch für Milchkühe auf Ganzjahresbetrieb</t>
  </si>
  <si>
    <t>Ensilage de maïs</t>
  </si>
  <si>
    <t xml:space="preserve"> + Naturallieferungen</t>
  </si>
  <si>
    <t xml:space="preserve"> + Pensionskasse: Prämie</t>
  </si>
  <si>
    <t>Koordinationsabzug</t>
  </si>
  <si>
    <t>Mastschweine 25-100kg LG</t>
  </si>
  <si>
    <t>con corna</t>
  </si>
  <si>
    <t>senza corna</t>
  </si>
  <si>
    <t>[+] Achats</t>
  </si>
  <si>
    <t>[+] Zufuhr</t>
  </si>
  <si>
    <t>Produktion</t>
  </si>
  <si>
    <t>[+] Pertes et marge d'erreur</t>
  </si>
  <si>
    <t>[+] Verluste und Fehlerbereich</t>
  </si>
  <si>
    <t>Consommation totale</t>
  </si>
  <si>
    <t>Gesamtverzehr</t>
  </si>
  <si>
    <t>Informazioni complementari</t>
  </si>
  <si>
    <t>Contributions à l'efficience des ressources (nationales: CER, Art. 76)</t>
  </si>
  <si>
    <t>Achat veaux maigres</t>
  </si>
  <si>
    <t>Calcul de la charge en bétail</t>
  </si>
  <si>
    <t>Cultures d'automne</t>
  </si>
  <si>
    <t>20 vaches</t>
  </si>
  <si>
    <t>Freilandgemüse, Schnittblumen, Kräuter</t>
  </si>
  <si>
    <t>andere Dauerkulturen</t>
  </si>
  <si>
    <t xml:space="preserve">C3: Zwischentotal Spezialkulturen </t>
  </si>
  <si>
    <t>C3</t>
  </si>
  <si>
    <t>in Nachweis</t>
  </si>
  <si>
    <t>Déduction de la fortune selon UMOS</t>
  </si>
  <si>
    <t>Marge brute vaches laitières et remonte</t>
  </si>
  <si>
    <t xml:space="preserve"> + Streuefläche</t>
  </si>
  <si>
    <t>Rampon, doucette</t>
  </si>
  <si>
    <t>Panais</t>
  </si>
  <si>
    <t>Chou de Bruxelles</t>
  </si>
  <si>
    <t>Legehennen Kotgrube</t>
  </si>
  <si>
    <t xml:space="preserve"> - Maïs avec sous-semi ou semis sous litière après engrais vert ou dérobée</t>
  </si>
  <si>
    <t>15] Report des produits issus de la méthanisation selon les extraits d'Hoduflu.</t>
  </si>
  <si>
    <t>Contribution supplémentaire pour les vaches laitières, les brebis laitières et les chèvres</t>
  </si>
  <si>
    <t>Andere raufutterverzehrende Tiere, ohne Bisons und Hirsche</t>
  </si>
  <si>
    <t>Zusatzbeitrag für Milchkühe, Milchschafe und Milchziegen</t>
  </si>
  <si>
    <t>Montant CHF  / PN</t>
  </si>
  <si>
    <t>Betrag CHF / NST</t>
  </si>
  <si>
    <t>Anteil / CHF</t>
  </si>
  <si>
    <t>Part / CHF</t>
  </si>
  <si>
    <t>Ansatz / CHF</t>
  </si>
  <si>
    <t>Taux / CHF</t>
  </si>
  <si>
    <t>&gt; 50 % declività</t>
  </si>
  <si>
    <t>Hier vorgenommene Anpassungen des Tierbestandes wirken sich nur auf die Berechnungen der Direktzahlungen und der Standard-Arbeitskräfte aus, alle anderen Tabellenblätter beziehen ihre Werte immer aus dem Blatt "Tierbestand".</t>
  </si>
  <si>
    <t>Typ</t>
  </si>
  <si>
    <t>dt TS pro Jahr</t>
  </si>
  <si>
    <t xml:space="preserve">Zwischenwert A1 </t>
  </si>
  <si>
    <t>V1</t>
  </si>
  <si>
    <t>betriebseigenes +</t>
  </si>
  <si>
    <t>Production d'engrais de ferme en hiver et besoins annuels de paille</t>
  </si>
  <si>
    <t>maximal GVE pro ha Mais oder Futterrüben</t>
  </si>
  <si>
    <t>genutzte Wiesen</t>
  </si>
  <si>
    <t xml:space="preserve"> -streifen</t>
  </si>
  <si>
    <t>Tabac Virgine</t>
  </si>
  <si>
    <t>Fleurs coupées</t>
  </si>
  <si>
    <t>35-50%, 2 coupes de conserv., moyen</t>
  </si>
  <si>
    <t>Cultures pérennes</t>
  </si>
  <si>
    <t>Cultures sous abri</t>
  </si>
  <si>
    <t>Autres</t>
  </si>
  <si>
    <t>Forêt</t>
  </si>
  <si>
    <t>Improductif</t>
  </si>
  <si>
    <t>Surface de l'exploitation</t>
  </si>
  <si>
    <t>Total contributions à l'efficience des ressources nationales (unique)</t>
  </si>
  <si>
    <t>Porcs en plein air</t>
  </si>
  <si>
    <t>Gras, eingrasen</t>
  </si>
  <si>
    <t>Gras, weiden</t>
  </si>
  <si>
    <t>Hennenmist (Bodenhaltung, Kotgrube)</t>
  </si>
  <si>
    <t>Hennenkot (Kotband)</t>
  </si>
  <si>
    <t>die Fläche des Nebenprodukts darf nicht grösser sein, als die Fläche des Hauptprodukts</t>
  </si>
  <si>
    <t>Sommerweizen</t>
  </si>
  <si>
    <t>wenig intensiv</t>
  </si>
  <si>
    <t>Hinweis zu Grundfutterkosten</t>
  </si>
  <si>
    <t>betriebes*</t>
  </si>
  <si>
    <t>Strukturen des Referenz-</t>
  </si>
  <si>
    <t>Report des valeurs</t>
  </si>
  <si>
    <t>Sistemi di stabulazione particolarmente rispettosi degli animali (SSRA)</t>
  </si>
  <si>
    <t>cultures spéciales</t>
  </si>
  <si>
    <t>colture speciali</t>
  </si>
  <si>
    <t>Spezialkulturen ohne Rebbau in Hanglagen und Terrassenbau</t>
  </si>
  <si>
    <t>Hochstamm-Feldobstbäume (Typ 8), 1 Are pro Baum</t>
  </si>
  <si>
    <t>Triticale d'automne</t>
  </si>
  <si>
    <t>Grundfutterv. Sömmerung</t>
  </si>
  <si>
    <t>Con. fourr. gross. estivage</t>
  </si>
  <si>
    <t>Fourrages</t>
  </si>
  <si>
    <t>Bodenhaltung, Kotgrube</t>
  </si>
  <si>
    <t>Kotband</t>
  </si>
  <si>
    <t>stockage</t>
  </si>
  <si>
    <t>A répartir</t>
  </si>
  <si>
    <t>Fleurs de coupe bisannuelles, arbustes à tailler</t>
  </si>
  <si>
    <t>Usc. (-)</t>
  </si>
  <si>
    <t>corretto</t>
  </si>
  <si>
    <t>kg SS</t>
  </si>
  <si>
    <t>al giorno</t>
  </si>
  <si>
    <t>all'anno</t>
  </si>
  <si>
    <t xml:space="preserve">Prod. </t>
  </si>
  <si>
    <t>pascolo</t>
  </si>
  <si>
    <t>Tipo</t>
  </si>
  <si>
    <t>Anhang 2: Investitionen</t>
  </si>
  <si>
    <t>Investitionen</t>
  </si>
  <si>
    <t>Informazioni supplementari per v. lattifere</t>
  </si>
  <si>
    <t>Corrispondente a</t>
  </si>
  <si>
    <t>Poules pondeuses, poules et coqs d'élevage, poulets de chair et dindes</t>
  </si>
  <si>
    <t>MOh pour tous</t>
  </si>
  <si>
    <t>les travaux</t>
  </si>
  <si>
    <t>Branche de production</t>
  </si>
  <si>
    <t>kg Schlachtgewicht:</t>
  </si>
  <si>
    <t>kg poids mort:</t>
  </si>
  <si>
    <t>Zukauf Mutterkühe</t>
  </si>
  <si>
    <t>Achats vaches mères</t>
  </si>
  <si>
    <t>Zukauf tragendes Rind</t>
  </si>
  <si>
    <t>Achat génisses portantes</t>
  </si>
  <si>
    <t>Zukauf Kuh mit Kalb</t>
  </si>
  <si>
    <t>Achat vaches avec veaux</t>
  </si>
  <si>
    <t>Zukauf Kalb</t>
  </si>
  <si>
    <t xml:space="preserve">Achat veaux </t>
  </si>
  <si>
    <t>Zukauf Deck- / Zuchtstier</t>
  </si>
  <si>
    <t xml:space="preserve">Zukauf Mastremonten </t>
  </si>
  <si>
    <t>Begrenzungsfaktor</t>
  </si>
  <si>
    <t>****</t>
  </si>
  <si>
    <t>Schwellenfläche SF</t>
  </si>
  <si>
    <t>Effektive Reduktion der Biodiversitätsbeiträge für die Qualitätsstufe I</t>
  </si>
  <si>
    <t>(= Basisfläche / 2)</t>
  </si>
  <si>
    <t>Rebflächen m. natürlicher Artenvielfalt</t>
  </si>
  <si>
    <t>Etable à stab. entravée, affouragement manuel</t>
  </si>
  <si>
    <t>Courette, affouragement manuel</t>
  </si>
  <si>
    <t>Courette, alimentation avec mélangeuse</t>
  </si>
  <si>
    <t>Etable à stab. entravée, seau</t>
  </si>
  <si>
    <t>Igloos, seau</t>
  </si>
  <si>
    <t>Etable à stab. Entravée ou igloos, abreuvoir automatique</t>
  </si>
  <si>
    <t>Fruits à cidre, ramassage manuel</t>
  </si>
  <si>
    <t>Mostobst, Auflesemaschine</t>
  </si>
  <si>
    <t>Fruits à cidre, ramasseuse</t>
  </si>
  <si>
    <t>Kirschen, Handernte</t>
  </si>
  <si>
    <t>Cerises, récolte manuelle</t>
  </si>
  <si>
    <t>Cerises, cerise à distiller</t>
  </si>
  <si>
    <t>Randen, Maschinenernte</t>
  </si>
  <si>
    <t>Betteraves rouges, récolte à la machine</t>
  </si>
  <si>
    <t>Randen, Handernte</t>
  </si>
  <si>
    <t>Betteraves rouges, récolte manuelle</t>
  </si>
  <si>
    <t>Einschneidekabis, Handernte</t>
  </si>
  <si>
    <t>Choux à choucroute, récolte manuelle</t>
  </si>
  <si>
    <t>Karotten, Maschinenernte</t>
  </si>
  <si>
    <t>Carottes, récolte à la machine</t>
  </si>
  <si>
    <t>Karotten, Handernte</t>
  </si>
  <si>
    <t>Carottes, récolte manuelle</t>
  </si>
  <si>
    <t>Rosenkohl, Handernte</t>
  </si>
  <si>
    <t>Choux de Bruxelles, récolte manuelle</t>
  </si>
  <si>
    <t>Rot-, Weisskabis, Handernte</t>
  </si>
  <si>
    <t>Zuckerrüben: Vollständiger Verzicht auf Herbizide</t>
  </si>
  <si>
    <t xml:space="preserve">Betteraves sucrières: Non-recours total aux herbicides </t>
  </si>
  <si>
    <t>Zuckerrüben: Funghizid- und Insektizidverzicht</t>
  </si>
  <si>
    <t>Betteraves sucrières: Réduction des fongicides et des insecticides</t>
  </si>
  <si>
    <t>*** Es sind Auflagen nach Artikel 82e der DZV zu erfüllen</t>
  </si>
  <si>
    <t>Offene Ackerfläche: Voll- oder Teilverzicht auf Herbizide,</t>
  </si>
  <si>
    <t>ab der Saat bzw. der Pflanzung bis zur Ernte der Hauptkultur</t>
  </si>
  <si>
    <t>la plantation jusqu’à la récolte de la culture principale</t>
  </si>
  <si>
    <t>Flächen im Ausland</t>
  </si>
  <si>
    <t>Hilfswerte für Fehlermeldung O74</t>
  </si>
  <si>
    <t>Maximale BFF</t>
  </si>
  <si>
    <t>Summe DG+KW Hilfstab.</t>
  </si>
  <si>
    <t>Summe BFF Hilfstab.</t>
  </si>
  <si>
    <t xml:space="preserve">du 8 avril 2013. La version définitive sera disponible après la mise en vigueur de l'ordonnance sur les </t>
  </si>
  <si>
    <t>Choux rouges/blancs, récolte manuelle</t>
  </si>
  <si>
    <t>Wirz, Handernte</t>
  </si>
  <si>
    <t>Choux frisés, récolte manuelle</t>
  </si>
  <si>
    <t>Sellerie, Handernte</t>
  </si>
  <si>
    <t>Céleris, récolte manuelle</t>
  </si>
  <si>
    <t>Zwiebeln, Maschinenernte</t>
  </si>
  <si>
    <t>Oignons, récolte à la machine</t>
  </si>
  <si>
    <t>Drescherbsen, Lohnernte</t>
  </si>
  <si>
    <t>Pois de conserve, récolte par entreprise</t>
  </si>
  <si>
    <t>Maschinenbohnen, Lohnernte</t>
  </si>
  <si>
    <t>Haricots de conserve, récolte par entreprise</t>
  </si>
  <si>
    <t>Essiggurken, Lohnernte</t>
  </si>
  <si>
    <t>Cornichons, récolte par entreprise</t>
  </si>
  <si>
    <t>Spinat, Maschinenernte</t>
  </si>
  <si>
    <t>Epinards, récolte à la machine</t>
  </si>
  <si>
    <t>Pariserkarotten, Maschinenernte</t>
  </si>
  <si>
    <t>Carottes parisiennes, récolte à la machine</t>
  </si>
  <si>
    <t>Anbindestall, Mistkarren, Handmelken, Fütterung von Hand</t>
  </si>
  <si>
    <t>Anbindestall, Mistkarren, 2 Standeimer, Fütterung von Hand</t>
  </si>
  <si>
    <t>Anbindestall, Gitterrost, 2 Standeimer, Fütterung von Hand</t>
  </si>
  <si>
    <t>Anbindestall, Gitterrost, Rohrmelkanlage 3 ME, Fütterung mech.</t>
  </si>
  <si>
    <t>Laufstall, Melkstand Side by Side 1x4 ME, Fütterung mech.</t>
  </si>
  <si>
    <t>Stabulation libre, salle de traite Side by Side 1x4 FT, alimentation mécan.</t>
  </si>
  <si>
    <t>Laufstall, Melkstand Tandem 1x3 ME, Fütterung Greifer</t>
  </si>
  <si>
    <t>Stabulation libre, salle de traite Tandem 1x3 FT, pont roulant</t>
  </si>
  <si>
    <t>Etable entravée, grilles, traite traite 3 FT,  alimentation mécan.</t>
  </si>
  <si>
    <t>Anbindestall, Gitterrost, Rohrmelkanlage 5 ME, Fütterung mech.</t>
  </si>
  <si>
    <t>Etable entravée, grilles, traite directe 5 FT,  alimentation mécan.</t>
  </si>
  <si>
    <t>[FehlerBedingung] et [FehlerMeldung] n'ont pas autant de parts de surfaces</t>
  </si>
  <si>
    <t>Sellerie Stangen-</t>
  </si>
  <si>
    <t>Spargel Bleich-</t>
  </si>
  <si>
    <t>Spargel Grün-</t>
  </si>
  <si>
    <t>KLB</t>
  </si>
  <si>
    <t>CPC</t>
  </si>
  <si>
    <t>Recettes de la communauté</t>
  </si>
  <si>
    <t>Ndisp (C.f.)</t>
  </si>
  <si>
    <t>Herbages riches, région d'estivage</t>
  </si>
  <si>
    <t>Artenr. Grün- und Streuefl. im SömGeb.</t>
  </si>
  <si>
    <t>Rebflächen mit natürlicher Artenvielfalt</t>
  </si>
  <si>
    <t>Netto-Nährstoffbedarf der Gemüsekulturen gemäss "Handbuch Gemüse"</t>
  </si>
  <si>
    <t>Netto-Nährstoffbedarf</t>
  </si>
  <si>
    <t>in</t>
  </si>
  <si>
    <t>kg pro Are</t>
  </si>
  <si>
    <t>Nmin</t>
  </si>
  <si>
    <t>Beispiel: Karotten Industrie</t>
  </si>
  <si>
    <t xml:space="preserve"> = Cashflow vor Zinsen</t>
  </si>
  <si>
    <t>Veaux pour la remonte du bétail laitier</t>
  </si>
  <si>
    <t>Macchine e attrezzi</t>
  </si>
  <si>
    <t>Anno</t>
  </si>
  <si>
    <t>La version valable est disponible sur www.focus-ap-pa.ch</t>
  </si>
  <si>
    <t>Karotten Verarbeitung-, Lager-, hoher Ertrag</t>
  </si>
  <si>
    <t>Ihre Feldbuch-Version ist älter als 7.4, allfällige Saatgutproduktion im Futterbau wurde zu den intensiven Kunstwiesen gezählt und muss manuell in die richtigen Kategorien eingetragen werden!</t>
  </si>
  <si>
    <t>Sie haben der Güllengrube Nr.</t>
  </si>
  <si>
    <t>Correction</t>
  </si>
  <si>
    <t>Par 100 kg de quantité annuelle de lait &lt; 6500 kg</t>
  </si>
  <si>
    <t>Notwendiger Garageraum</t>
  </si>
  <si>
    <t>Notwendiger Remisenraum</t>
  </si>
  <si>
    <t>Coûts des fourrages grossiers</t>
  </si>
  <si>
    <t>Héritage partiel/avancement d'hoirie</t>
  </si>
  <si>
    <t>Droits</t>
  </si>
  <si>
    <t>Gewicht-Winter:</t>
  </si>
  <si>
    <t>Nährstoffmenge total in kg</t>
  </si>
  <si>
    <t>Wasserzufluss Tierhaltung</t>
  </si>
  <si>
    <t>Messaggio d'errore</t>
  </si>
  <si>
    <t>Total contributions au système de production</t>
  </si>
  <si>
    <t>GMF-Zone:</t>
  </si>
  <si>
    <t>C2: Besoins pour les grandes cultures</t>
  </si>
  <si>
    <t>dt MS produit champ par UGBFG</t>
  </si>
  <si>
    <t>Conditions usuelles (lave-linge, douche/bain et WC)</t>
  </si>
  <si>
    <t>Installations sanitaires simples</t>
  </si>
  <si>
    <t>Limitation par unité de main-d'œuvre standard</t>
  </si>
  <si>
    <t>von der Grenze pro SAK betroffene Direktzahlungen:</t>
  </si>
  <si>
    <t>UGBFG avec déduction pour lait livré</t>
  </si>
  <si>
    <t>Kennziffern Biolandbau</t>
  </si>
  <si>
    <t>Ackerflächenanteile</t>
  </si>
  <si>
    <t>Bemerkungen:</t>
  </si>
  <si>
    <t>Hackfrüchte ohne Freilandgemüse</t>
  </si>
  <si>
    <t>Körnerleguminosen</t>
  </si>
  <si>
    <t>Truies allaitantes 2)</t>
  </si>
  <si>
    <t>Espèces et catégories d'animaux</t>
  </si>
  <si>
    <t>Révision selon les besoins</t>
  </si>
  <si>
    <t>Butt Gemüse1</t>
  </si>
  <si>
    <t>Berechnung des Tierbesatzes</t>
  </si>
  <si>
    <t>Production standarde des catégories participantes</t>
  </si>
  <si>
    <t>Eléments fertilisants du bilans import/export pour les pors</t>
  </si>
  <si>
    <t>Amortissements droits de production, vignes, fruits, baies</t>
  </si>
  <si>
    <t>Heil-, Gewürzpflanzen</t>
  </si>
  <si>
    <t>Groseille à maquereau, rendement élevé</t>
  </si>
  <si>
    <t>Myrtille</t>
  </si>
  <si>
    <t>Myrtille, rendement élevé</t>
  </si>
  <si>
    <t>Cultures du semestre d'hiver</t>
  </si>
  <si>
    <t>*</t>
  </si>
  <si>
    <t>***</t>
  </si>
  <si>
    <t xml:space="preserve"> + Autres achats</t>
  </si>
  <si>
    <t>Kunstwiese vor Sommerkultur</t>
  </si>
  <si>
    <t>Paille de céréales de l'exploitation affouragée</t>
  </si>
  <si>
    <t>Winterroggen, Populationssorten</t>
  </si>
  <si>
    <t>Seigle d'automne, hybride</t>
  </si>
  <si>
    <t>Winterroggen, Hybridsorten</t>
  </si>
  <si>
    <t>Dinkel, Winterkorn</t>
  </si>
  <si>
    <t>Kartoffeln, Speise- u. Industrie-</t>
  </si>
  <si>
    <t>Kartoffeln, Früh-</t>
  </si>
  <si>
    <t>Kartoffeln, Pflanz-</t>
  </si>
  <si>
    <t>Pommes de terre, consomm./industr.</t>
  </si>
  <si>
    <t>Pommes de terre, précoce</t>
  </si>
  <si>
    <t>Pommes de terre, plant</t>
  </si>
  <si>
    <t>Erdbeeren, 1-jährig</t>
  </si>
  <si>
    <t>Heil-, Gewürzpflanzen, 1-j.</t>
  </si>
  <si>
    <t>Gemüsekulturen, mehrj.</t>
  </si>
  <si>
    <t>Erdbeeren, mehrj.</t>
  </si>
  <si>
    <t>Heil-, Gewürzpflanzen, mehrj.</t>
  </si>
  <si>
    <t>Fraises, pluriannuelles</t>
  </si>
  <si>
    <t>Plantes arom. &amp; médic., plurian.</t>
  </si>
  <si>
    <t>Zwischenfutter, kein Kleegras</t>
  </si>
  <si>
    <t>Zwischenfutter, Kleegras</t>
  </si>
  <si>
    <t>Dérobée, sans mélanges fourragers</t>
  </si>
  <si>
    <t>Dérobée, mélanges fourragers</t>
  </si>
  <si>
    <t>Gründüngung, Leguminosen</t>
  </si>
  <si>
    <t>Gründüngung, Nichtleguminosen</t>
  </si>
  <si>
    <t>Zwischenfutter, herbstgesäte Kunstwiesen</t>
  </si>
  <si>
    <t>Zwischenfutter, ohne Kunstwiesen</t>
  </si>
  <si>
    <t>Engrais vert, sans légumineuses</t>
  </si>
  <si>
    <t>Engrais vert, avec légumineuses</t>
  </si>
  <si>
    <t>Légumes plein champ, y.c. fleurs coupées</t>
  </si>
  <si>
    <t>Haies &amp; bosquets, avec bande herbeuse</t>
  </si>
  <si>
    <t>Haies &amp; bosquets, avec bande tampon</t>
  </si>
  <si>
    <t>Hecken u. Feldgehölze, mit Krautsaum</t>
  </si>
  <si>
    <t>Hecken u. Feldgehölze, mit Pufferstreifen</t>
  </si>
  <si>
    <t>Waldweide; Wytweiden, Selven</t>
  </si>
  <si>
    <t>Heuwiesen Sömmerungsgebiet, keine BFF</t>
  </si>
  <si>
    <t>Erdbeeren, mehrjährig</t>
  </si>
  <si>
    <t>Heil-, Gewürzpflanzen, 1-jährig</t>
  </si>
  <si>
    <t>Blé d'automne, fourrager</t>
  </si>
  <si>
    <t>Kartoffeln, Früh- ²</t>
  </si>
  <si>
    <t>Kartoffeln, Pflanz- ²</t>
  </si>
  <si>
    <t>Pommes de terre, précoce ²</t>
  </si>
  <si>
    <t>Pommes de terre, plant ²</t>
  </si>
  <si>
    <t xml:space="preserve">        Nährstoffbedarf  in den Blättern GEM1 oder GEM2 erfassen.                    
***)   Nährstoffbedarf  in den Blättern GEM1 oder GEM2 erfassen. 
****)  Nährstoffbedarf im Blatt OB erfassen
*****) Baumschulen, Ziersträucher, Ziergehölze, Zierstauden</t>
  </si>
  <si>
    <t xml:space="preserve">        bilan de fumure saisi dans feuille Lég1 ou Lég2.                    
***)   Bilan de fumure saisi dans feuille Lég1 ou Lég2. 
****)  Bilan de fumure saisi dans feuille Fruits.
*****) Pépinières forestières, ornementales, etc.</t>
  </si>
  <si>
    <t>Grünmais, Zweitkultur</t>
  </si>
  <si>
    <t>Futterrüben, ohne Blätter</t>
  </si>
  <si>
    <t>Betterave fourragère, sans feuille</t>
  </si>
  <si>
    <t>Maïs à faucher en vert, 2ième culture</t>
  </si>
  <si>
    <t>Verfüttertes Stroh, nur betriebseigenes 8]</t>
  </si>
  <si>
    <t xml:space="preserve">Verfütterte Rübenblätter, nur betriebseigene 8] </t>
  </si>
  <si>
    <t>Dérobées, sans mélanges fourragers</t>
  </si>
  <si>
    <t>Dérobées, mél. fourr.; semis de PA d'été; rompue de printemps</t>
  </si>
  <si>
    <t>Prairies et pâturages peu intensifs, 1-3 utilisations</t>
  </si>
  <si>
    <t>Prairies et pâturages mi-intensifs, 1-5 utilisations</t>
  </si>
  <si>
    <t>Prairies et pâturages intensifs, 2-6 utilisations</t>
  </si>
  <si>
    <t>Total des fourrages à produire sur l'exploitation, selon B au recto</t>
  </si>
  <si>
    <t>Total auf der Futterfläche zu produzierendes Grundfutter (Gfprod),  Übertrag aus B</t>
  </si>
  <si>
    <t>Extensive Wiesen, ohne Weiden</t>
  </si>
  <si>
    <t>Prairies extensives, sans pâturages</t>
  </si>
  <si>
    <t>Gründüngung, nur Nichtleguminosen</t>
  </si>
  <si>
    <t>Engrais vert, non légumineuses</t>
  </si>
  <si>
    <t>Dérobées, semis de PA d'été, rompue de printemps, si récoltés</t>
  </si>
  <si>
    <t>Verfütterte Rübenblätter, nur betriebseigene</t>
  </si>
  <si>
    <t>Verfüttertes Stroh, nur betriebseigenes</t>
  </si>
  <si>
    <t>wenig intensiv, 1-3 Nutzungen</t>
  </si>
  <si>
    <t>mittelintensiv, 1-5 Nutzungen</t>
  </si>
  <si>
    <t>intensive, 2-6 Nutzungen</t>
  </si>
  <si>
    <t>peu intensifs, 1-3 utilisations</t>
  </si>
  <si>
    <t>mi-intensifs, 1-5 utilisations</t>
  </si>
  <si>
    <t>intensifs, 2-6 utilisations</t>
  </si>
  <si>
    <t>Herbe déshydratée, cubes</t>
  </si>
  <si>
    <t>CCM, für Rindviehmast</t>
  </si>
  <si>
    <t>Maïs épi CCM, pour bovins engrais</t>
  </si>
  <si>
    <t>Maïs plante entière déshydraté, cubes</t>
  </si>
  <si>
    <t>Erbsen total</t>
  </si>
  <si>
    <t>Cult. Sensibles à la sclérotiniose total</t>
  </si>
  <si>
    <t>Weizen, Dinkel; Körner</t>
  </si>
  <si>
    <t>Betteraves, sucrières et fourrag.</t>
  </si>
  <si>
    <t>Rüben, Zucker- u. Futter-</t>
  </si>
  <si>
    <t>Sklerotinia-anfällige Kulturen total</t>
  </si>
  <si>
    <t>Lin, huile et fibres</t>
  </si>
  <si>
    <t>Chanvre, huile et fibres</t>
  </si>
  <si>
    <t>Plantes arom. et médic., annuelles</t>
  </si>
  <si>
    <t>Freilandgemüse, inkl.Konserven</t>
  </si>
  <si>
    <t>Fleurs à couper, annuelles</t>
  </si>
  <si>
    <t>Offene Ackerfläche (OA)</t>
  </si>
  <si>
    <t>minimale Anzahl Kulturen, ÖLN-Sollwert bei &gt;3ha OA</t>
  </si>
  <si>
    <t>Nombre min. de cultures, valeur-cible en PER &gt;3 ha TO</t>
  </si>
  <si>
    <t>Getreide total; ohne Hafer, Hirse, Mais</t>
  </si>
  <si>
    <t>Céréales total; sans avoine, millet, maïs</t>
  </si>
  <si>
    <t>SuiBi: Formular E Vergärungsprodukte und Ernterückstände Gemüse</t>
  </si>
  <si>
    <t>Gärgülle und Gärdünngülle, Hofdünger</t>
  </si>
  <si>
    <t>Gärgut und flüssiges Gärgut; Recyclingdünger, CaCI2-Analyse</t>
  </si>
  <si>
    <t>Gärgut und flüssiges Gärgut, Recyclingdünger</t>
  </si>
  <si>
    <t>Digestat et digestat liquide; engrais de recyclage, Analyse-CaCl2</t>
  </si>
  <si>
    <t>Gärmist, Hofdünger</t>
  </si>
  <si>
    <t>Festes Gärgut, Recyclingdünger</t>
  </si>
  <si>
    <t>Fumier méthanisé, engrais de ferme</t>
  </si>
  <si>
    <t>Digestat solide, engrais de recyclage</t>
  </si>
  <si>
    <t>Feste Vergärungsprodukte</t>
  </si>
  <si>
    <t>Flüssige Vergärungsprodukte</t>
  </si>
  <si>
    <t>Ernterückstände Gemüse</t>
  </si>
  <si>
    <t>E3: Ernterückstände Gemüse</t>
  </si>
  <si>
    <t xml:space="preserve">     E3</t>
  </si>
  <si>
    <t>À reporter dans le formulaire principal « Suisse-Bilanz » partie E:</t>
  </si>
  <si>
    <t>Wird ins Hauptformular "Suisse-Bilanz - Formular E" übertragen:</t>
  </si>
  <si>
    <t>Nährstoffmenge in kg pro Jahr</t>
  </si>
  <si>
    <t>Nährstoffgehalt in kg pro Einheit</t>
  </si>
  <si>
    <t>Berechnung des betriebsspezifischen N-Ausnutzungsgrades für flüssige Vergärungsprodukte und Ernterückstände Gemüse</t>
  </si>
  <si>
    <t>14] Betriebsspezifischer N-Ausnutzungsgrad für flüssige Vergärungsprodukte und Ernterückstände Gemüse, siehe Wegleitung.</t>
  </si>
  <si>
    <t>Coûts variables en CHF par ha</t>
  </si>
  <si>
    <t>Variable Kosten in CHF pro ha</t>
  </si>
  <si>
    <t>Alle Milchkühe im Laufstall?</t>
  </si>
  <si>
    <t>TZW in g</t>
  </si>
  <si>
    <t>Ausstall-LG in kg</t>
  </si>
  <si>
    <t>Faktor GF-Verzehr quadratisch</t>
  </si>
  <si>
    <t>Mutterkuhkälber zur Mast, bis 160-tägig</t>
  </si>
  <si>
    <t>bis 200 kg SG</t>
  </si>
  <si>
    <t>über 250 kg SG</t>
  </si>
  <si>
    <t>Mutterkuhkälber schwer, über 250 kg SG</t>
  </si>
  <si>
    <t>Mutterkuhkälber leicht, bis 200 kg SG</t>
  </si>
  <si>
    <t>Mutterkuhkälber mittel, 200 - 250 kg SG</t>
  </si>
  <si>
    <t>Veaux de vaches allait. &lt;= 200 kg</t>
  </si>
  <si>
    <t>Veaux de vaches allait. 200 - 250 kg</t>
  </si>
  <si>
    <t>Veaux de vaches allait. &gt; 250 kg</t>
  </si>
  <si>
    <t>Rindviehmast, bis 160-tägig</t>
  </si>
  <si>
    <t>Rindviehmast, über 160-tägig</t>
  </si>
  <si>
    <t>Equiden &lt;= 148 cm, über 900-tägig</t>
  </si>
  <si>
    <t>Korrektur Zuwachs</t>
  </si>
  <si>
    <t>Korrektur Ausstall-LG</t>
  </si>
  <si>
    <t>Betriebsspezifisch</t>
  </si>
  <si>
    <t>Korrigiert</t>
  </si>
  <si>
    <t>Korrektur Ausstall-LG, je 20 kg mehr als 530 kg LG</t>
  </si>
  <si>
    <t>Rindviehmast über 160-tägig, Standard</t>
  </si>
  <si>
    <t>Korr. Zuwachs, je 100 g pro Tag mehr als 1400 g pro Tag</t>
  </si>
  <si>
    <t>Betriebsspezifisch innerhalb MinMax</t>
  </si>
  <si>
    <t>Nährstoffanfall in kg pro Platz</t>
  </si>
  <si>
    <t>in dt TS pro Jahr pro Platz</t>
  </si>
  <si>
    <t>Min</t>
  </si>
  <si>
    <t>Max</t>
  </si>
  <si>
    <t>Standard</t>
  </si>
  <si>
    <t>TXT</t>
  </si>
  <si>
    <t>Blatt</t>
  </si>
  <si>
    <t>Mutterkuhkälber, über 160 tägig, leicht</t>
  </si>
  <si>
    <t>Mutterkuhkälber, über 160-tägig, mittel</t>
  </si>
  <si>
    <t>Mutterkuhkälber, über 160-tägig, schwer</t>
  </si>
  <si>
    <t>Mutterkuhkälber, bis 160-tägig</t>
  </si>
  <si>
    <t>Mastkälber, 50-200 kg</t>
  </si>
  <si>
    <t>Mastkälber, 50-200 kg, pro Jahr</t>
  </si>
  <si>
    <t>Veaux blancs, 50 - 200 kg</t>
  </si>
  <si>
    <t>Veaux blancs, 50 - 200 kg, par année</t>
  </si>
  <si>
    <t>Jungvieh, über 2-jährig</t>
  </si>
  <si>
    <t>Bovin d'élevage, plus de 2 anni</t>
  </si>
  <si>
    <t>Count</t>
  </si>
  <si>
    <t>MiKu</t>
  </si>
  <si>
    <t>y compris porcelets</t>
  </si>
  <si>
    <t>Fact.</t>
  </si>
  <si>
    <t>norm.</t>
  </si>
  <si>
    <t>red.</t>
  </si>
  <si>
    <t>JV</t>
  </si>
  <si>
    <t>VL</t>
  </si>
  <si>
    <t>JB</t>
  </si>
  <si>
    <t>Futter für Zucht-</t>
  </si>
  <si>
    <t>schweine, inkl. Ferkel</t>
  </si>
  <si>
    <t>Aliment pour truies d'élev.</t>
  </si>
  <si>
    <t>Alle ... im Laufstall?</t>
  </si>
  <si>
    <t>Anfall aus Import- / Exportbilanz</t>
  </si>
  <si>
    <t>Check Box 569</t>
  </si>
  <si>
    <t>Check Box 570</t>
  </si>
  <si>
    <t>Check Box 571</t>
  </si>
  <si>
    <t>Check Box 572</t>
  </si>
  <si>
    <t>chkLaufstallJungvieh</t>
  </si>
  <si>
    <t>chkLaufstallMiKu</t>
  </si>
  <si>
    <t>Straight Connector 5</t>
  </si>
  <si>
    <t>Picture 11</t>
  </si>
  <si>
    <t>Picture 14</t>
  </si>
  <si>
    <t>Diff</t>
  </si>
  <si>
    <t>Kategorien ab 2020</t>
  </si>
  <si>
    <t>Catégories dès 2020</t>
  </si>
  <si>
    <t>Eingegebene Mastdaten entsprechen nicht den Daten in Suisse-Bilanz!</t>
  </si>
  <si>
    <t>Bovins d'élevage, 1 à 2 ans</t>
  </si>
  <si>
    <t xml:space="preserve">Jungvieh, keine Stallhaltung im Sommer </t>
  </si>
  <si>
    <t>Bovins d'élevage, sans garde permanente en été</t>
  </si>
  <si>
    <t>Jungvieh über 2-jährig</t>
  </si>
  <si>
    <t>Jungvieh 1 bis 2-jährig</t>
  </si>
  <si>
    <t>Ganzpflanzen-Sorghum</t>
  </si>
  <si>
    <t>Sorgho, plant entière</t>
  </si>
  <si>
    <t>Ganzpflanzen-Sorghum, Zweitkultur</t>
  </si>
  <si>
    <t>Sorgho, plant entière, 2ième culture</t>
  </si>
  <si>
    <t>Ganzpflanzen-Mais, Silomais</t>
  </si>
  <si>
    <t>Les rendements du mais et du sorghum doivent correspondre au minimum à 125 % des rendements des prairies intensives!</t>
  </si>
  <si>
    <t>Erträge von Silomais bzw. Sorghum müssen mindestens 125 % der Erträge der intensiven Wiesen entsprechen!</t>
  </si>
  <si>
    <t>Alles Jungvieh im Laufstall?</t>
  </si>
  <si>
    <t>MastSW_GF</t>
  </si>
  <si>
    <t>Bald löschen!!!: Wird nicht benötigt, da MuKuK neu auf drei Zeilen verteilt sind</t>
  </si>
  <si>
    <t>Übertrag aus Zusatzformular E</t>
  </si>
  <si>
    <t>Report du formulaire E</t>
  </si>
  <si>
    <t>E: Gesamttotal Vergärungsprodukte und Ernterückstände Gemüse</t>
  </si>
  <si>
    <t>[ + ] Zufuhr von Vergärungsprodukten und Ernterückstände Gemüse</t>
  </si>
  <si>
    <t>Haselnüsse</t>
  </si>
  <si>
    <t>Noisettes</t>
  </si>
  <si>
    <t>CHF total</t>
  </si>
  <si>
    <t>langfristiges Fremdkapital, Angaben in CHF</t>
  </si>
  <si>
    <t>Emprunts à moyen et long terme, valeurs en CHF</t>
  </si>
  <si>
    <t>Créanciers, valeurs en CHF</t>
  </si>
  <si>
    <t>Kreditoren, Angaben in CHF</t>
  </si>
  <si>
    <t>Mittelbedarf total, max. wie oberste Grenze für Projektkosten</t>
  </si>
  <si>
    <t>Finanzierung - Mittelbeschaffung</t>
  </si>
  <si>
    <t>Investitionen - Mittelbedarf</t>
  </si>
  <si>
    <t xml:space="preserve">Investissements - besoins </t>
  </si>
  <si>
    <t>Besoins totaux, max.= limite sup. coûts du projet</t>
  </si>
  <si>
    <t xml:space="preserve">Financements - moyens à disposition </t>
  </si>
  <si>
    <t xml:space="preserve">Mittelbeschaffung totale, Oberste Grenze für Projektkosten </t>
  </si>
  <si>
    <t>Moyens totaux, max. = limite sup. coûts du projet</t>
  </si>
  <si>
    <t>Ertragswert (EW)</t>
  </si>
  <si>
    <t>Valeur de rendement (VR)</t>
  </si>
  <si>
    <t>Bisher</t>
  </si>
  <si>
    <t>Neu</t>
  </si>
  <si>
    <t>future</t>
  </si>
  <si>
    <t>EW, landwirtschaftlich</t>
  </si>
  <si>
    <t>VR agricole</t>
  </si>
  <si>
    <t>EW, nicht-landwirtsch.</t>
  </si>
  <si>
    <t>VR non agricole</t>
  </si>
  <si>
    <t>Nutzwert Zugehör</t>
  </si>
  <si>
    <t>Valeur usage access.</t>
  </si>
  <si>
    <t>EW total</t>
  </si>
  <si>
    <t>VR totale</t>
  </si>
  <si>
    <t>Belastungsgrenze (BG)</t>
  </si>
  <si>
    <t>Charge maximale (CM)</t>
  </si>
  <si>
    <t>En CHF</t>
  </si>
  <si>
    <t>CM agr.</t>
  </si>
  <si>
    <t>CM non-agr</t>
  </si>
  <si>
    <t>BG total</t>
  </si>
  <si>
    <t>CM totale</t>
  </si>
  <si>
    <t xml:space="preserve">En CHF </t>
  </si>
  <si>
    <t xml:space="preserve">BG, nicht-landwirtsch. </t>
  </si>
  <si>
    <t>BG, landwirtschaftlich</t>
  </si>
  <si>
    <t>Résultat est interprétable à cond. que la feuille de chaque partenaire soit remplie correctement !</t>
  </si>
  <si>
    <t>200-250 kg SG</t>
  </si>
  <si>
    <t>Assur. accidents et resp. civile</t>
  </si>
  <si>
    <t>Autres assurances et taxes</t>
  </si>
  <si>
    <t>Electricité</t>
  </si>
  <si>
    <t>Autres énergies et évacuation des déchêts </t>
  </si>
  <si>
    <t>Autres charges d’administration et d‘informatique</t>
  </si>
  <si>
    <t>Haftpflichtversicherung</t>
  </si>
  <si>
    <t>Übrige Sachversicherungen und Gebühren</t>
  </si>
  <si>
    <t>Übrige Energie- und Entsorgungskosten</t>
  </si>
  <si>
    <t>Telekommunikation</t>
  </si>
  <si>
    <t>Übrige Verwaltungs- und Informatikkosten</t>
  </si>
  <si>
    <t>Allgemeine Betriebskosten total</t>
  </si>
  <si>
    <t xml:space="preserve">Coûts généraux total </t>
  </si>
  <si>
    <t>Machines et équipements total</t>
  </si>
  <si>
    <t>Ökonomiegebäude total</t>
  </si>
  <si>
    <t>Meliorationen total</t>
  </si>
  <si>
    <t>Feste Einrichtungen total</t>
  </si>
  <si>
    <t>Wohnhaus total</t>
  </si>
  <si>
    <t>Habitation total</t>
  </si>
  <si>
    <t>Rural total</t>
  </si>
  <si>
    <t>Var. Kosten</t>
  </si>
  <si>
    <t>chk_RW_134</t>
  </si>
  <si>
    <t>chk_RW_137</t>
  </si>
  <si>
    <t>chk_BT_137</t>
  </si>
  <si>
    <t>chk_RW_138</t>
  </si>
  <si>
    <t>chk_BT_138</t>
  </si>
  <si>
    <t>Eigenmiete Geschäftslokalitäten</t>
  </si>
  <si>
    <t>Valeur locative des immeubles d’exploitation</t>
  </si>
  <si>
    <t>Taux</t>
  </si>
  <si>
    <t>Satz</t>
  </si>
  <si>
    <t>Anschaffungswert</t>
  </si>
  <si>
    <t>Valeur d'achat</t>
  </si>
  <si>
    <t>selon les valeurs indicatives agricoles</t>
  </si>
  <si>
    <t>gemäss landw. Richtzahlen</t>
  </si>
  <si>
    <t>Personalkosten total</t>
  </si>
  <si>
    <t>Fermages et locations totales</t>
  </si>
  <si>
    <t>jährlich anpassen</t>
  </si>
  <si>
    <t>gemäss Richtzahlen zur landwirtschaftl. Buchhaltung</t>
  </si>
  <si>
    <t>à ajuster annuellement</t>
  </si>
  <si>
    <t>Schuldzinsen total</t>
  </si>
  <si>
    <t>Intérêts des dettes total</t>
  </si>
  <si>
    <t>en fonction des valeurs indicatives agricoles</t>
  </si>
  <si>
    <t>Eigenmiete Geschäftslokalitäten total</t>
  </si>
  <si>
    <t>Valeur locative des immeubles d’exploitation totale</t>
  </si>
  <si>
    <t>Kosten Motorfahrzeuge total</t>
  </si>
  <si>
    <t>Véhicules à moteur total</t>
  </si>
  <si>
    <t>Maschinen- und Gerätekosten total</t>
  </si>
  <si>
    <t>Charges de personnel</t>
  </si>
  <si>
    <t>Sozialversicherungen Betriebsleitende</t>
  </si>
  <si>
    <t>Charges sociales</t>
  </si>
  <si>
    <t>Sozialversicherungen total pro Person</t>
  </si>
  <si>
    <t>Charges sociales totales par personne</t>
  </si>
  <si>
    <t>Sozialversicherungen Betriebsleitende total</t>
  </si>
  <si>
    <t>Charges sociales des entrepreneurs</t>
  </si>
  <si>
    <t>Angestelltenkosten</t>
  </si>
  <si>
    <t>Charges salariales</t>
  </si>
  <si>
    <t xml:space="preserve"> + Krankenversicherung</t>
  </si>
  <si>
    <t>Angestelltenkosten total</t>
  </si>
  <si>
    <t xml:space="preserve"> = Kosten total</t>
  </si>
  <si>
    <t>Charges salariales totales</t>
  </si>
  <si>
    <t>Charges de personnel totales</t>
  </si>
  <si>
    <t xml:space="preserve"> = Kosten total je Person</t>
  </si>
  <si>
    <t>non monetarie</t>
  </si>
  <si>
    <t>nicht liquiditätswirksam!</t>
  </si>
  <si>
    <t>Part coûts de la voiture, amortissement</t>
  </si>
  <si>
    <t>Part coûts de la voiture, achats</t>
  </si>
  <si>
    <t>Mouvements externes de l'exploitation</t>
  </si>
  <si>
    <t>Anteil Autokosten, Ausgaben</t>
  </si>
  <si>
    <t>Anteil Autokosten, Abschreibungen</t>
  </si>
  <si>
    <t>CHF / VbE</t>
  </si>
  <si>
    <t>Erfolg Nebenbetriebe total</t>
  </si>
  <si>
    <t xml:space="preserve">Revenu des activités annexes et d'immeubles </t>
  </si>
  <si>
    <t>Résultats des activités annexes totaux</t>
  </si>
  <si>
    <t>Loyers pour locaux d'exploitation</t>
  </si>
  <si>
    <t>Loyers des appartements</t>
  </si>
  <si>
    <t>Produits des locations des terres</t>
  </si>
  <si>
    <t>Produits de l'immeuble d'exploitations totaux</t>
  </si>
  <si>
    <t>Erfolg Nebenbetriebe und betriebliche Liegenschaften</t>
  </si>
  <si>
    <t>Unselbständiges Nebeneinkommen total</t>
  </si>
  <si>
    <t>Revenu accessoire total provenant d'activités dépendantes</t>
  </si>
  <si>
    <t>Lieferungen des Betriebes</t>
  </si>
  <si>
    <t>Prestations de l'exploitation</t>
  </si>
  <si>
    <t>non monétaire</t>
  </si>
  <si>
    <t>Zulagen, Renten, Versicherungen total</t>
  </si>
  <si>
    <t>Allocations, rentes et assurances total</t>
  </si>
  <si>
    <t>davon Lieferungen und Abschreibungen</t>
  </si>
  <si>
    <t>dont valeur locative du logement</t>
  </si>
  <si>
    <t>Privatverbrauch total</t>
  </si>
  <si>
    <t>Consommation privée total</t>
  </si>
  <si>
    <t>Revenu hors exploitation total</t>
  </si>
  <si>
    <t>Erfolge ausserhalb der landwirtschaftlichen Buchhaltung</t>
  </si>
  <si>
    <t>Accessoire provenant d'activités indépendantes</t>
  </si>
  <si>
    <t>Hors exploitation</t>
  </si>
  <si>
    <t>Valeurs mobilières</t>
  </si>
  <si>
    <t>Ménage hors exploitation</t>
  </si>
  <si>
    <t>Erfolge ausserhalb der landwirtschaftlichen Buchhaltung total</t>
  </si>
  <si>
    <t>Pauschale Erfassung</t>
  </si>
  <si>
    <t>Zinsanspruch Eigenkapital total</t>
  </si>
  <si>
    <t>Eigenkapital in der Gemeinschaft total</t>
  </si>
  <si>
    <t>Pro Partner total</t>
  </si>
  <si>
    <t>Par partenaire total</t>
  </si>
  <si>
    <t>Capitaux propres de la communauté total</t>
  </si>
  <si>
    <t>Intérêts calculés des capitaux propres total</t>
  </si>
  <si>
    <t>Installations fixes total</t>
  </si>
  <si>
    <t>Kleingeräte und -material</t>
  </si>
  <si>
    <t xml:space="preserve">Nicht zugeteilte Arbeiten durch Dritte und Maschinenmiete aus </t>
  </si>
  <si>
    <t xml:space="preserve">Travaux par tiers et locations machines non imputables de </t>
  </si>
  <si>
    <t xml:space="preserve">Autokosten zu Lasten Betrieb aus </t>
  </si>
  <si>
    <t xml:space="preserve">Coûts de la voiture imputable à l'exploitation de </t>
  </si>
  <si>
    <t>Pacht- und Mietzinsen total</t>
  </si>
  <si>
    <t>Feste Einrichtungen total (B)</t>
  </si>
  <si>
    <t>(B) Installations fixes total</t>
  </si>
  <si>
    <t>Motorfahrzeuge total (C)</t>
  </si>
  <si>
    <t>(C) Véhicules à moteur total</t>
  </si>
  <si>
    <t>Mécanisation et installations fixes total, A+B+C</t>
  </si>
  <si>
    <t>Mechanisierung und Einrichtungen total, A+B+C</t>
  </si>
  <si>
    <t>km total</t>
  </si>
  <si>
    <t>Nicht zuteilbare Arbeiten durch Dritte und</t>
  </si>
  <si>
    <t>Arbeiten für Dritte und Maschinenvermietung</t>
  </si>
  <si>
    <t>Kosten pro km in CHF</t>
  </si>
  <si>
    <t>Coûts par km en CHF</t>
  </si>
  <si>
    <t>AE/ J.</t>
  </si>
  <si>
    <t>UT/ an</t>
  </si>
  <si>
    <t>AE/ J.**</t>
  </si>
  <si>
    <t>UT/ an**</t>
  </si>
  <si>
    <t>*) VR = valeur de remplacement, **) UT/ an = unités travail par an</t>
  </si>
  <si>
    <t>*) WBW = Wiederbeschaffungswert, **) AE/ J. = Arbeitseinheiten pro Jahr</t>
  </si>
  <si>
    <t>Betriebsfremd</t>
  </si>
  <si>
    <t>Act. hors expl.</t>
  </si>
  <si>
    <t>CHF pro Jahr</t>
  </si>
  <si>
    <t>CHF par année</t>
  </si>
  <si>
    <t>CHF per anno</t>
  </si>
  <si>
    <t>Maschinen und Geräte total (A)</t>
  </si>
  <si>
    <t>Maschinenmiete in CHF</t>
  </si>
  <si>
    <t>non imputables en CHF</t>
  </si>
  <si>
    <t>parUT</t>
  </si>
  <si>
    <t xml:space="preserve">Übertrag aus </t>
  </si>
  <si>
    <t xml:space="preserve">Report de </t>
  </si>
  <si>
    <t xml:space="preserve">Riporto da </t>
  </si>
  <si>
    <t>Maschinen und Geräte</t>
  </si>
  <si>
    <t>Autre arbustes à baies ²</t>
  </si>
  <si>
    <t>Vaches taries ou v. de réforme engraisséé</t>
  </si>
  <si>
    <t>Ous‐produits de la mouture et du décorticage</t>
  </si>
  <si>
    <t>Einnahmen betriebliche Liegenschaften total</t>
  </si>
  <si>
    <t>Einnahmen betriebliche Liegenschaften</t>
  </si>
  <si>
    <t>Eigenmietwert der Privatwohnung</t>
  </si>
  <si>
    <t>davon Eigenmietwert der Privatwohnung</t>
  </si>
  <si>
    <t>dont mouvements externes et amortissements</t>
  </si>
  <si>
    <t>Erfolg Selbständiges Nebeneinkommen</t>
  </si>
  <si>
    <t>Erfolg Wertschriften</t>
  </si>
  <si>
    <t>Direktzahlungen AP 2014-17, ohne Beiträge für einzelne Kulturen</t>
  </si>
  <si>
    <t>Paiements directs PA 201-17, sans contrib. pour des cultures particulières</t>
  </si>
  <si>
    <t>Bruttoergebnis 1</t>
  </si>
  <si>
    <t>Résultat brut de l'exploitation 1</t>
  </si>
  <si>
    <t>Betriebszweige, 3000er und 4000er Konten</t>
  </si>
  <si>
    <t>Branches de production, comptes 3000 et 4000</t>
  </si>
  <si>
    <t>Arbeit für Dritte, Maschinenvermietung</t>
  </si>
  <si>
    <t>Paiements directs et autres contributions, sans contributions à la culture des champs</t>
  </si>
  <si>
    <t>Direktzahlungen und andere Beiträge, ohne Anbaubeiträge</t>
  </si>
  <si>
    <t>Dont charges sociales du chef d‘exploitation</t>
  </si>
  <si>
    <t>Locations et fermages d'immeubles</t>
  </si>
  <si>
    <t>Valeur locative des immeubles commerciaux</t>
  </si>
  <si>
    <t>URE mobile Sachanlagen</t>
  </si>
  <si>
    <t>ERR machines et équipements</t>
  </si>
  <si>
    <t>davon Auto Betrieb</t>
  </si>
  <si>
    <t>Versicherungen und Gebühren</t>
  </si>
  <si>
    <t>Assurances et taxes</t>
  </si>
  <si>
    <t>Energie und Entsorgung</t>
  </si>
  <si>
    <t>Energie et évacuation des déchêts </t>
  </si>
  <si>
    <t>Verwaltung und Informatik</t>
  </si>
  <si>
    <t>Abschreibungen mobile Sachanlage</t>
  </si>
  <si>
    <t>Amortissement et ajustement des postes sur immobilisations corporelles</t>
  </si>
  <si>
    <t>Erfolg betriebliche Finanzanlagen</t>
  </si>
  <si>
    <t>Produits financiers</t>
  </si>
  <si>
    <t>Loyers internes des locaux d'exploitation</t>
  </si>
  <si>
    <t>Loyers des appartements </t>
  </si>
  <si>
    <t>Intérêts hypothécaires</t>
  </si>
  <si>
    <t>Pour la saisie globaleentrez les montants par exploitation !</t>
  </si>
  <si>
    <t>URE</t>
  </si>
  <si>
    <t>ERR</t>
  </si>
  <si>
    <t>davon ext.</t>
  </si>
  <si>
    <t>dont ext.</t>
  </si>
  <si>
    <t>Kosten Gebäude</t>
  </si>
  <si>
    <t>Coûts bâtiments</t>
  </si>
  <si>
    <t>Résultat de l'agriculture, bénéfice annuel</t>
  </si>
  <si>
    <t>Erfolg Landwirtschaft, Jahresgewinn</t>
  </si>
  <si>
    <t>Résultats des activités annexes de l'exploitation, comptes 7000</t>
  </si>
  <si>
    <t>Résultat d'immeubles, comptes 7500</t>
  </si>
  <si>
    <t>dont voiture exploitation</t>
  </si>
  <si>
    <t>Administration et informatique</t>
  </si>
  <si>
    <t>Espace pour propre critère</t>
  </si>
  <si>
    <t>Erfolg Nebenbetriebe, 7000er Konten</t>
  </si>
  <si>
    <t>Erfolg betriebliche Liegenschaften, 7500er Konten</t>
  </si>
  <si>
    <t>EBITDA – Ergebnis vor Zinsen, Steuern und Abschreibungen</t>
  </si>
  <si>
    <t>EBITDA – résultat avant int., impôts, amort.</t>
  </si>
  <si>
    <t>EBIT – résultat avant intérêts et impôts</t>
  </si>
  <si>
    <t>EBT – résultat avant impôts</t>
  </si>
  <si>
    <t>EBT – Ergebnis vor Steuern</t>
  </si>
  <si>
    <t>Livraisons</t>
  </si>
  <si>
    <t>Formation des capitaux propres</t>
  </si>
  <si>
    <t>Kapitaleinlagen und -rückzüge</t>
  </si>
  <si>
    <t> Apports / retraits en capital</t>
  </si>
  <si>
    <t>Eigenkapitalveränderung</t>
  </si>
  <si>
    <t> Modification des capitaux propres</t>
  </si>
  <si>
    <t>Privatausgaben pro VbE</t>
  </si>
  <si>
    <t>Achats privés par UC</t>
  </si>
  <si>
    <t>Privatausgaben total</t>
  </si>
  <si>
    <t>VbE total</t>
  </si>
  <si>
    <t>davon Sozialversicherungen Betriebsleitende</t>
  </si>
  <si>
    <t>Eigenmietwert Geschäftlokalitäten</t>
  </si>
  <si>
    <t>Erfolge ausserhalb der landw. Buchhaltung</t>
  </si>
  <si>
    <t>Betriebsfremder, ausserordentlicher, einmaliger oder periodenfremder Ertrag u. Aufwand, 8000er Konten</t>
  </si>
  <si>
    <t>Produits et charges hors exploitation, exceptionnels, uniques ou hors période, comptes 8000</t>
  </si>
  <si>
    <t>Hypothekarzinsen</t>
  </si>
  <si>
    <t>Erfolg Gesamtsystem – Unternehmen und Haushalt</t>
  </si>
  <si>
    <t> Résultat de l’ensemble du système – exploitation et ménage</t>
  </si>
  <si>
    <t> Résultats en dehors de la comptabilité agricole</t>
  </si>
  <si>
    <t>Eigenmietwert Geschäftslokalitäten</t>
  </si>
  <si>
    <t>Eigenmietwert Privatwohnung</t>
  </si>
  <si>
    <t>Folgekosten Investition und Korrekturen</t>
  </si>
  <si>
    <t>Coûts inhérents à l'investissement et corr.</t>
  </si>
  <si>
    <t>Erfolg Haushalt ausserh. landw. Buchhalt.</t>
  </si>
  <si>
    <t>Einnahmen betriebliche Liegenschaften, 7500er Konten</t>
  </si>
  <si>
    <t>Revenu des activités annexes, comptes 7000</t>
  </si>
  <si>
    <t>Produits de l'immeuble d'exploitations, comptes 7500</t>
  </si>
  <si>
    <t>URE mobile und immobile Sachanlagen</t>
  </si>
  <si>
    <t>Externe Lieferungen an Nebenbetriebe und ausserlandw. Bereich</t>
  </si>
  <si>
    <t>Betriebliche Nebenerfolge, 7000er Konten</t>
  </si>
  <si>
    <t>Paiements directs, sans contrib. à des c.p.</t>
  </si>
  <si>
    <t>Direktzahlungen, ohne Einzelkulturbeiträge</t>
  </si>
  <si>
    <t>Zukauf Anlagevermögen, vor Abzug der Investitionsbeiträge</t>
  </si>
  <si>
    <t>Investitionsbeiträge, à fonds perdu</t>
  </si>
  <si>
    <t>Nebenbetriebe</t>
  </si>
  <si>
    <t>Activ. annexes</t>
  </si>
  <si>
    <t>Ausgaben für Fremdkapital: Schuldzinsen, Spesen</t>
  </si>
  <si>
    <t>Dépenses pour dettes: intérêts, frais</t>
  </si>
  <si>
    <t>Unterhalt Geschäftslokalitäten</t>
  </si>
  <si>
    <t>NUR Pächter</t>
  </si>
  <si>
    <t>ERR immeubles</t>
  </si>
  <si>
    <t>Charges fermier</t>
  </si>
  <si>
    <t>chkZAEK</t>
  </si>
  <si>
    <t>chkGebäude</t>
  </si>
  <si>
    <t>chkMelioration</t>
  </si>
  <si>
    <t>chkEinrichtungen</t>
  </si>
  <si>
    <t>chkProduktionsrechte</t>
  </si>
  <si>
    <t>chkArbeitDritte</t>
  </si>
  <si>
    <t>chkAllgKosten</t>
  </si>
  <si>
    <t>chkErfolgNE</t>
  </si>
  <si>
    <t>chkEinnahmen_Li</t>
  </si>
  <si>
    <t>chkDBMilch</t>
  </si>
  <si>
    <t>chkDBMuKu</t>
  </si>
  <si>
    <t>chkEigenmieteP_Li</t>
  </si>
  <si>
    <t>chkEigenmieteG_Li</t>
  </si>
  <si>
    <t>chkErfolg_nLW</t>
  </si>
  <si>
    <t>chkFuVerkauf</t>
  </si>
  <si>
    <t>chkStrohVerkauf</t>
  </si>
  <si>
    <t>chkEigenmieteG</t>
  </si>
  <si>
    <t>chkUnterhaltG_P</t>
  </si>
  <si>
    <t>chkUREmobS</t>
  </si>
  <si>
    <t>chkAbMobS</t>
  </si>
  <si>
    <t>chkHypothekarzinsen_Li</t>
  </si>
  <si>
    <t>chkWald</t>
  </si>
  <si>
    <t>Check Box 54</t>
  </si>
  <si>
    <t>Check Box 55</t>
  </si>
  <si>
    <t>Beiträge à fonds perdus: Bund, Kanton</t>
  </si>
  <si>
    <t>Beiträge à fonds perdus: Übrige</t>
  </si>
  <si>
    <t>Contributions à fonds perdus: confédération, canton</t>
  </si>
  <si>
    <t>Contributions à fonds perdus: autres</t>
  </si>
  <si>
    <t>Einnahmen betriebliche Finanzanlagen</t>
  </si>
  <si>
    <t>Mutterkuhkälber, Mast über 160-tägig</t>
  </si>
  <si>
    <t>Veaux de vaches allait. &lt;= 160 j.</t>
  </si>
  <si>
    <t>Mutterkuhkälber bis 160-tägig</t>
  </si>
  <si>
    <t>Rindviehmast bis 160-tägig</t>
  </si>
  <si>
    <t>Bovin à l'engrais &lt;= 160 j.</t>
  </si>
  <si>
    <t>Veaux de vaches allait. &gt; 160 j.</t>
  </si>
  <si>
    <t>Mutterkuhkälber über 160-tägig</t>
  </si>
  <si>
    <t>Tiefstwerte</t>
  </si>
  <si>
    <t>Valeurs minimales</t>
  </si>
  <si>
    <t>Lapines mère, y c. petits jusqu'à env. 35 jours</t>
  </si>
  <si>
    <t>Bald LÖSCHEN!!!</t>
  </si>
  <si>
    <t>Pachtzinseinnahmen</t>
  </si>
  <si>
    <t>Mietzinseinnahmen Wohnungen</t>
  </si>
  <si>
    <t>Mietzinseinnahmen Geschäftslokalitäten</t>
  </si>
  <si>
    <t>Privateinnahmen</t>
  </si>
  <si>
    <t>Einkommen der Gemeinschaft</t>
  </si>
  <si>
    <t>Revenu de la communauté</t>
  </si>
  <si>
    <t>Reddito della comunità</t>
  </si>
  <si>
    <t>Geerntetes Futterrübenlaub</t>
  </si>
  <si>
    <t>alte Formeln zum Vergleich</t>
  </si>
  <si>
    <t>Wenig intensive Wiesen aus Flächen-Blatt</t>
  </si>
  <si>
    <t>Verkauf Natura-Veal</t>
  </si>
  <si>
    <t xml:space="preserve"> Vente Natura-Veal</t>
  </si>
  <si>
    <t>Le nbr de places d'engrais. n'est pas reporter automatiquement dans  "Animaux".</t>
  </si>
  <si>
    <t>Anzahl Tiere im Überblick, Stück</t>
  </si>
  <si>
    <t>Résumé du nbre d'animaux, bête</t>
  </si>
  <si>
    <t>Riassunto del numero di poste</t>
  </si>
  <si>
    <t>Résumé du nbre de places</t>
  </si>
  <si>
    <t>Anzahl Plätze im Überblick</t>
  </si>
  <si>
    <t>200 bis 250 kg SG</t>
  </si>
  <si>
    <t>200 – 250 kg PC</t>
  </si>
  <si>
    <t>Animal Nbr</t>
  </si>
  <si>
    <t>duration of stay on the farm</t>
  </si>
  <si>
    <t>136, 137, 138</t>
  </si>
  <si>
    <t>year-factor:</t>
  </si>
  <si>
    <t>1 place * g = 1 piece</t>
  </si>
  <si>
    <t>1 piece * f  = 1 place</t>
  </si>
  <si>
    <t>Betriebszweig Mutterkühe, Jungvieh, bis 1-jährig</t>
  </si>
  <si>
    <t>Betriebszweig Mutterkühe, Jungvieh, 1 bis 2-jährig</t>
  </si>
  <si>
    <t>Betriebszweig Mutterkühe, Jungvieh, über  2-jährig</t>
  </si>
  <si>
    <t>Mutterkühe, Jungvieh, 1 bis 2-jährig</t>
  </si>
  <si>
    <t>Mutterkühe, Jungvieh, über  2-jährig</t>
  </si>
  <si>
    <t>Kraftfutter Kälber, inkl. Kühe</t>
  </si>
  <si>
    <t>Kosten für Ausmast: Kraftfutter, Tierarzt etc.</t>
  </si>
  <si>
    <t>Concentrés veaux, y c. vaches</t>
  </si>
  <si>
    <t>Coûts spéc. pour l'engraissement: concentrés, vétérinaire etc.</t>
  </si>
  <si>
    <t>Verschiedene Kosten:  MKS Dienstleistungen etc.</t>
  </si>
  <si>
    <t>Lohnarbeit Metzgerei: schlachten, verpacken etc.</t>
  </si>
  <si>
    <t>Frais de boucherie: abattage, préparation etc.</t>
  </si>
  <si>
    <t>Variable Kosten total</t>
  </si>
  <si>
    <t>Leistung total, Ertrag</t>
  </si>
  <si>
    <t>Coûts variables totale</t>
  </si>
  <si>
    <t>Rindviehmast über 160-tägig</t>
  </si>
  <si>
    <t>Bovin à l'engrais &gt; 160 j.</t>
  </si>
  <si>
    <t>Zucht-, Nutzkühe bzw. Deckstiere</t>
  </si>
  <si>
    <t>Aufzuchtkälber für Grossviehmast, siehe oben</t>
  </si>
  <si>
    <t>Veaux pour engraissement bovin, voir ci-dessus)</t>
  </si>
  <si>
    <t>Anfall ausgemästete Tier pro Umtrieb</t>
  </si>
  <si>
    <t>Animaux engraissés per cycle</t>
  </si>
  <si>
    <t xml:space="preserve">    Animaux engraissés per cycle</t>
  </si>
  <si>
    <t>kg pro Tag x 365 Tage</t>
  </si>
  <si>
    <t>k par jour x 365 jours</t>
  </si>
  <si>
    <t>kg pro Jahr</t>
  </si>
  <si>
    <t>kg par an</t>
  </si>
  <si>
    <t>jours par 365 jours</t>
  </si>
  <si>
    <t>Ø Milchleistung pro Kuh pro Jahr</t>
  </si>
  <si>
    <t>kg per giorno x 365 gg</t>
  </si>
  <si>
    <t>Tage pro 365 Tage</t>
  </si>
  <si>
    <t>Bovins d'élevage &gt; 2 ans</t>
  </si>
  <si>
    <t>Taureaux &gt; 2 ans</t>
  </si>
  <si>
    <t>Equidés &gt; 900 jours &lt;= 148 cm</t>
  </si>
  <si>
    <t>Bovin à l'engrais &lt;= 4 mois</t>
  </si>
  <si>
    <t>Mulet et bardot &lt;= 180 jours</t>
  </si>
  <si>
    <t>Poney, petit cheval, âne &lt;= 148 cm</t>
  </si>
  <si>
    <t>Lamas &lt; 2 ans</t>
  </si>
  <si>
    <t>Lama &lt; 2 anni</t>
  </si>
  <si>
    <t>Alpagas &lt; 2 ans</t>
  </si>
  <si>
    <t>Alpaca &lt; 2 anni</t>
  </si>
  <si>
    <t>Bovin à l'engrais &lt; 160 jours</t>
  </si>
  <si>
    <t>Poney, petit cheval, âne, de tout âge &lt;= 148 cm</t>
  </si>
  <si>
    <t>Lamas &lt;= 2 ans</t>
  </si>
  <si>
    <t>Alpagas &lt;= 2 ans</t>
  </si>
  <si>
    <t>Noix de Grenoble &lt; 185 arbres / ha</t>
  </si>
  <si>
    <t>Mulet et bardot &gt; 180 jours</t>
  </si>
  <si>
    <t>Bisons &gt; 900 jours</t>
  </si>
  <si>
    <t>Lamas &gt; 2 ans</t>
  </si>
  <si>
    <t>Lama &gt; 2 anni</t>
  </si>
  <si>
    <t>Alpagas &gt; 2 ans</t>
  </si>
  <si>
    <t>Alpaca &gt; 2 anni</t>
  </si>
  <si>
    <t>Truies non allaitantes &gt; 6 mois</t>
  </si>
  <si>
    <t>Vente génisses &gt; 2 ans</t>
  </si>
  <si>
    <t>Achat génisses &gt; 2 ans</t>
  </si>
  <si>
    <t>Bovin à l'engrais, intensif &gt; 160 jours</t>
  </si>
  <si>
    <t>Bovin à l'engrais, pâturage &gt; 160 jours</t>
  </si>
  <si>
    <t>Bovins à l'engrais intensif &gt; 160 jours</t>
  </si>
  <si>
    <t>Bovins à l'engrais pâturage &gt; 160 jours</t>
  </si>
  <si>
    <t>Ziegenplatz, inkl. Juntiere und Anteil Bock</t>
  </si>
  <si>
    <t>Schafplatz, inkl. Jungtiere und Anteil Bock</t>
  </si>
  <si>
    <t>Milchschafe, inkl.Jungtiere</t>
  </si>
  <si>
    <t>Bisons bis 900-tägig, Zucht u. Mast</t>
  </si>
  <si>
    <t>Bovin à l'engrais finition, intensive</t>
  </si>
  <si>
    <t>Mutterkühe schwer, &gt;= 600 kg</t>
  </si>
  <si>
    <t>Mutterkühe leicht, 450 kg</t>
  </si>
  <si>
    <t>Stute inkl. Fohlen, Hafer als KF, max. 700 kg</t>
  </si>
  <si>
    <t>Jument avec poulain, concentré avoine, max. 700 kg</t>
  </si>
  <si>
    <t>Raufutterverzehrer ohne Kraftfutter, gem. GMF</t>
  </si>
  <si>
    <t>Aufzuchtkälber, bis 160-tägig</t>
  </si>
  <si>
    <t>Anfall Erstlaktierende bzw. Deckstiere pro Jahr</t>
  </si>
  <si>
    <t>Verkauf Tiere</t>
  </si>
  <si>
    <t>Zukauf Tiere</t>
  </si>
  <si>
    <t>bis 160-tägig</t>
  </si>
  <si>
    <t>160 bis 365-tägig</t>
  </si>
  <si>
    <t>1 bis 2-jährig</t>
  </si>
  <si>
    <t>über 2-jährig</t>
  </si>
  <si>
    <t xml:space="preserve">    Anfall ausgemästete Tiere pro Umtrieb</t>
  </si>
  <si>
    <t>Anfall Tiere zur Ausmast pro Jahr</t>
  </si>
  <si>
    <t>Kälber pro Kuh pro Jahr</t>
  </si>
  <si>
    <t>Veaux par vache par année</t>
  </si>
  <si>
    <t>Bedarf Remonten pro Jahr</t>
  </si>
  <si>
    <t>Besoin de remonte per an</t>
  </si>
  <si>
    <t xml:space="preserve">kg Ø </t>
  </si>
  <si>
    <t xml:space="preserve">kg im Ø </t>
  </si>
  <si>
    <t>ausgemästete Tiere pro Jahr</t>
  </si>
  <si>
    <t>w               +</t>
  </si>
  <si>
    <t>w               –</t>
  </si>
  <si>
    <t>w               =</t>
  </si>
  <si>
    <t>f               +</t>
  </si>
  <si>
    <t>f               –</t>
  </si>
  <si>
    <t>f               =</t>
  </si>
  <si>
    <t>kg pro Tier</t>
  </si>
  <si>
    <t>Verkauf Zucht- oder Nutzkühe</t>
  </si>
  <si>
    <t>Verkauf Aufzuchtkälber, 160 bis 365-tägig, w + m</t>
  </si>
  <si>
    <t>Bovins &lt;= 160 jours</t>
  </si>
  <si>
    <t>Veaux d'élevage  &lt;= 160 jours</t>
  </si>
  <si>
    <t>&lt;= 160 jours</t>
  </si>
  <si>
    <t>animaux 160 à 365 jours</t>
  </si>
  <si>
    <t>Vente veaux d'élevage 160 - 365 j., f + m</t>
  </si>
  <si>
    <t>Achat veaux d'élevage 160 - 365 j., f + m</t>
  </si>
  <si>
    <t>Zukauf Aufzuchtkälber, 160 bis 365-tägig, w + m</t>
  </si>
  <si>
    <t>Zukauf Aufzuchtkälber, bis 160-tägig, w + m</t>
  </si>
  <si>
    <t>Verkauf Aufzuchtkälber, bis 160-tägig, w + m</t>
  </si>
  <si>
    <t>Vente veaux d'élevage &lt;=160 j., f + m</t>
  </si>
  <si>
    <t>Achat veaux d'élevage &lt;= 160 j., f + m</t>
  </si>
  <si>
    <t>Vente remontes d'engraiss. &lt;=160 j., f + m</t>
  </si>
  <si>
    <t>Vente remontes d'engraiss. &gt; 160 j., f + m</t>
  </si>
  <si>
    <t>Achat remontes d'engraiss. &lt;=160 j., f + m</t>
  </si>
  <si>
    <t>Achat remontes d'engraiss. &gt; 160 j., f + m</t>
  </si>
  <si>
    <t>Zukauf Mastremonten &lt; 160-t. w + m</t>
  </si>
  <si>
    <t>Zukauf Mastremonten &gt; 160-t. w + m</t>
  </si>
  <si>
    <t>Verkauf Mastremonten &lt; 160-t. w + m</t>
  </si>
  <si>
    <t>Verkauf Mastremonten &gt; 160-t. w + m</t>
  </si>
  <si>
    <t>Erträge, verschiedene</t>
  </si>
  <si>
    <t>Milch: Verkauf 1 und Haushalt</t>
  </si>
  <si>
    <t>Milch: Verkauf 2</t>
  </si>
  <si>
    <t>Leist.total, Ertrag / Einheit</t>
  </si>
  <si>
    <t>Coûts variables total</t>
  </si>
  <si>
    <t>Part Co-produits et Concentrés</t>
  </si>
  <si>
    <t>PGO/PPI</t>
  </si>
  <si>
    <t>Toutes les VL en stab. libre?</t>
  </si>
  <si>
    <t>Tous les JB en stab. libre?</t>
  </si>
  <si>
    <t>Bovin à l'engrais, &gt; 160 jours</t>
  </si>
  <si>
    <t>GMQ moyen (g)</t>
  </si>
  <si>
    <t>Poids vif final (kg)</t>
  </si>
  <si>
    <t>Fossa per liquami</t>
  </si>
  <si>
    <t>Condizioni normali: lavatrice, doccia/bagno e WC</t>
  </si>
  <si>
    <t>Casi particolari con deflusso regolarmente inferiore alla norma</t>
  </si>
  <si>
    <t>Abitante</t>
  </si>
  <si>
    <t>Cellulare</t>
  </si>
  <si>
    <t>Sup. agricola utile</t>
  </si>
  <si>
    <t>Toutes les vaches laitières en stabulation libre?</t>
  </si>
  <si>
    <t>Tous les bovins d'élevage en stabulation libre?</t>
  </si>
  <si>
    <t>GMQ moyen, g</t>
  </si>
  <si>
    <t>Poids vif final, kg</t>
  </si>
  <si>
    <t>Veau allaité &gt; 160 j, léger, &lt; 200 kg PM</t>
  </si>
  <si>
    <t>Veau allaité &gt; 160 j, moyen, 200-250 kg PM</t>
  </si>
  <si>
    <t>Veau allaité &gt; 160 j, lourd, &gt; 250 kg PM</t>
  </si>
  <si>
    <t>A8: jours d'estivage selon AniCalc (BDTA)</t>
  </si>
  <si>
    <t>q</t>
  </si>
  <si>
    <t>Insilato di cereali</t>
  </si>
  <si>
    <t>Cet instrument sert à prouver que les exigences du bilan fourrager sont remplies pour le programme PLVH.</t>
  </si>
  <si>
    <t>SS/giorno</t>
  </si>
  <si>
    <t>SS/anno</t>
  </si>
  <si>
    <t>Coefficienti</t>
  </si>
  <si>
    <t>1 capo</t>
  </si>
  <si>
    <t>1 posta</t>
  </si>
  <si>
    <t>Tous …. en stabulation libre</t>
  </si>
  <si>
    <t>Vache tarie</t>
  </si>
  <si>
    <t>Vache de réforme</t>
  </si>
  <si>
    <t>Bovins d'élevage, 160 à 365 jours</t>
  </si>
  <si>
    <t>Bovins d'élevage, &gt; 2 ans</t>
  </si>
  <si>
    <t>Taureaux, &gt; 2 ans</t>
  </si>
  <si>
    <t>Veaux allaités, jusqu'à 160 jours</t>
  </si>
  <si>
    <t>Veaux allaités, &gt; 160 jours</t>
  </si>
  <si>
    <t>Veaux à l'engrais, 60 à 220 kg</t>
  </si>
  <si>
    <t>Veaux à l'engrais, 60 à 220 kg, par année</t>
  </si>
  <si>
    <t>Bovin à l'engrais, jusqu'à 160 jours</t>
  </si>
  <si>
    <t>Cheval jusqu'à 180 jours, &gt; 148 cm</t>
  </si>
  <si>
    <t>Mulet et bardot, &gt; 180 jours, indépendant d'hauteur</t>
  </si>
  <si>
    <t>Mulet et bardot, jusqu'à 180 jours, indépendant d'hauteur</t>
  </si>
  <si>
    <t>26 porcelets sevrés par truie et an</t>
  </si>
  <si>
    <t>Porcs, à l'engrais et remonte, 3.32 rotations/an</t>
  </si>
  <si>
    <t>Truies non allaitantes, &gt; 6 mois</t>
  </si>
  <si>
    <t>Porcelets sevrés jusqu'à 8-26 kg, 9.61 rotations</t>
  </si>
  <si>
    <t>Porcs (provenant du bilan import/export)</t>
  </si>
  <si>
    <t>Poulettes, 2.25 rotations</t>
  </si>
  <si>
    <t>Dindes avancement, jusqu'à 1.5 kg PV, 6 rotations</t>
  </si>
  <si>
    <t>Dindes finition, 1.5-13 kg PV, 2.9 rotations</t>
  </si>
  <si>
    <t>Dindes à l'engrais, 2.8 rotations</t>
  </si>
  <si>
    <t>Chou kale, plume</t>
  </si>
  <si>
    <t>Rampon: mâche, doucette</t>
  </si>
  <si>
    <t>Roquette, 1 coupe</t>
  </si>
  <si>
    <t>Roquette, 2 coupe</t>
  </si>
  <si>
    <t>jusqu' à 200 kg PM</t>
  </si>
  <si>
    <t>&lt; 200 kg PM</t>
  </si>
  <si>
    <t>200-250 kg PM</t>
  </si>
  <si>
    <t>&gt; 250 kg PM</t>
  </si>
  <si>
    <t>Vaches de réformes ou taries</t>
  </si>
  <si>
    <t>Formulaire E - Produits méthanisés et déchets de légumes</t>
  </si>
  <si>
    <t>Calcul de la part d'azote spécifique à l'exploitation disponible dans les lisier méthanisés et déchets de légumes exportés à la récolte</t>
  </si>
  <si>
    <t>Lisier méthanisé et lisier méthanisé séparé (engrais de ferme)</t>
  </si>
  <si>
    <t>Digestat et digestat liquide (engrais de recyclage)</t>
  </si>
  <si>
    <t>Produits solides</t>
  </si>
  <si>
    <t>Déchets de légumes exportés à la récolte</t>
  </si>
  <si>
    <t>E3: Déchets de légumes exportés à la récolte</t>
  </si>
  <si>
    <t>14] Calcul de la part d'azote spécifique à l'explotation dans les produits liquides issus de la méthanisation e dans les déchets de légumes exportés à la récolte (voir guide).</t>
  </si>
  <si>
    <t>E: Total des apports par les produits méthanisés et des déchets de légumes exportés à la récolte</t>
  </si>
  <si>
    <t>[ + ] Apports produits méthanisés et déchets de légumes exportés à la récolte</t>
  </si>
  <si>
    <t>Festes Gärgut: Recyclingdünger, CaCI2-Analyse</t>
  </si>
  <si>
    <t>Digestat solide: engrais de recyclage, analyse-CaCl2</t>
  </si>
  <si>
    <t xml:space="preserve">Bilan import / export </t>
  </si>
  <si>
    <t>TS-Verbrauch</t>
  </si>
  <si>
    <t>pro Tag und Tier</t>
  </si>
  <si>
    <t>Ganzpfl.</t>
  </si>
  <si>
    <t>Sorghum</t>
  </si>
  <si>
    <t>Sorgho</t>
  </si>
  <si>
    <t>plante entière</t>
  </si>
  <si>
    <t>EBITDA</t>
  </si>
  <si>
    <t>EBIT</t>
  </si>
  <si>
    <t>EBT</t>
  </si>
  <si>
    <t>Erfolg Landwirtschaft</t>
  </si>
  <si>
    <t>Erfolg Gesamtsystem</t>
  </si>
  <si>
    <t xml:space="preserve"> Résultat brut de l'exploitation 1</t>
  </si>
  <si>
    <t>Eigenkapitalbildung, -verzehr</t>
  </si>
  <si>
    <t>Résultat du système global</t>
  </si>
  <si>
    <t>Résultat de l'agriculture</t>
  </si>
  <si>
    <t>Résultat d'immeubles</t>
  </si>
  <si>
    <t>Erfolg Liegenschaften</t>
  </si>
  <si>
    <t>Erfolg Nebenbetriebe</t>
  </si>
  <si>
    <t>Résultat d'activités annexes</t>
  </si>
  <si>
    <t>Gemüsebau und Diverses</t>
  </si>
  <si>
    <t>Cultures maraîchères et divers</t>
  </si>
  <si>
    <t>Total produits méthanisés et déchets de légumes exportés à la récolte</t>
  </si>
  <si>
    <t>Fehler in Grundfutterbilanz</t>
  </si>
  <si>
    <t>Erreur</t>
  </si>
  <si>
    <t>Résultat brut de l'explotation</t>
  </si>
  <si>
    <t> Résultat du système global</t>
  </si>
  <si>
    <t>Eigenkapitalbildung, -verlust</t>
  </si>
  <si>
    <t>Berechnung des landwirtschaftlichen Einkommens</t>
  </si>
  <si>
    <t>Calcul du revenu agricole</t>
  </si>
  <si>
    <t>Direktzahlungen</t>
  </si>
  <si>
    <t>Paiements directs</t>
  </si>
  <si>
    <t>Deckungsbeiträge Nebenbetriebe</t>
  </si>
  <si>
    <t>Marge brut des activitées annexes</t>
  </si>
  <si>
    <t>Marge brut de l'explotation</t>
  </si>
  <si>
    <t>Résultat de l'agriculture, CoFi</t>
  </si>
  <si>
    <t>Prestations d'immeubles</t>
  </si>
  <si>
    <t xml:space="preserve"> ± Korrekturzeile nach Bedarf</t>
  </si>
  <si>
    <t xml:space="preserve"> ± Correction si besoin</t>
  </si>
  <si>
    <t xml:space="preserve"> + Résultat de l'agriculture hors CoFi</t>
  </si>
  <si>
    <t>Erfolg Landwirtschaft aus FiBu</t>
  </si>
  <si>
    <t>Deckungsbeitrag Betrieb</t>
  </si>
  <si>
    <t>MB branches de production + autres produits, charges</t>
  </si>
  <si>
    <t xml:space="preserve"> + Erfolg Landwirtschaft ausserhalb FiBu</t>
  </si>
  <si>
    <t>AHV, IV, EO - 1.Säule</t>
  </si>
  <si>
    <t>AVS, AI, APG - 1er pilier</t>
  </si>
  <si>
    <t>Ordentliche Beiträge BV - 2. Säule</t>
  </si>
  <si>
    <t>Übrige Beiträge für Sozialversicherungen</t>
  </si>
  <si>
    <t>Cotisations ordinaires à la PP - 2ème pilier</t>
  </si>
  <si>
    <t>Autres charges sociales</t>
  </si>
  <si>
    <t>Versicherungen ohne AHV, IV, EO</t>
  </si>
  <si>
    <t>Assurances sauf AVS, AI, APG</t>
  </si>
  <si>
    <t xml:space="preserve">Assicurazioni senza AVS, AI, APG </t>
  </si>
  <si>
    <t>Autres prestations et coûts</t>
  </si>
  <si>
    <t>Übrige Erträge und Kosten</t>
  </si>
  <si>
    <t>Betriebliche Nebenerfolge ohne Erfolge betrieblicher Finanzanlagen</t>
  </si>
  <si>
    <t>Activités accessoires sans revenus des placements de l'entreprise</t>
  </si>
  <si>
    <t>Evolution moyenne en % sans MB bétail laitier</t>
  </si>
  <si>
    <t>Durchschnittliche Veränderung in % ohne DB Milchvieh</t>
  </si>
  <si>
    <t>Deckungs- beitrag,  Ausgaben</t>
  </si>
  <si>
    <t>Marge brute, Dépenses</t>
  </si>
  <si>
    <t>Utile lordo,  spese</t>
  </si>
  <si>
    <t>Betriebszweige  total + Übrige Erträge und Kosten</t>
  </si>
  <si>
    <t>Nebenerfolge total</t>
  </si>
  <si>
    <t>Produits annexes total</t>
  </si>
  <si>
    <t>Strukturausgaben 1 total</t>
  </si>
  <si>
    <t>Dépenses de structure 1 total</t>
  </si>
  <si>
    <t>Pachtzinsen, Personalausgaben total</t>
  </si>
  <si>
    <t>Fermages, dépenses salariées total</t>
  </si>
  <si>
    <t>DB Betriebszweige + Übrige Erträge und Kosten</t>
  </si>
  <si>
    <t>Landwirtschaftliches Einkommen</t>
  </si>
  <si>
    <t>Revenu agricole</t>
  </si>
  <si>
    <t xml:space="preserve"> Résultat de l'agriculture</t>
  </si>
  <si>
    <t>Liegenschaften: Einnahmen + Eigenmietwert Privatwohnung</t>
  </si>
  <si>
    <t>± Korrekturzeile nach Bedarf</t>
  </si>
  <si>
    <t>± Correction si besoin</t>
  </si>
  <si>
    <t>Ihre Daten wurden bestmöglich übertragen.</t>
  </si>
  <si>
    <t>Comment 21</t>
  </si>
  <si>
    <t>lbl_Ausmastplätze</t>
  </si>
  <si>
    <t>chkEigentümer</t>
  </si>
  <si>
    <t>covEigentümer</t>
  </si>
  <si>
    <t>2. Offre, y compris achat et vente</t>
  </si>
  <si>
    <t>Möglicher Zu- (+) oder Verkauf (-)</t>
  </si>
  <si>
    <t>GVE, Raufutterverzehrer</t>
  </si>
  <si>
    <t>UGB, fourrage grossier</t>
  </si>
  <si>
    <t>2. Angebot, inkl. Zukauf und Verkauf</t>
  </si>
  <si>
    <t xml:space="preserve">                                             Erfolgsrechnung</t>
  </si>
  <si>
    <t xml:space="preserve">                                             Produktionsplanung</t>
  </si>
  <si>
    <t xml:space="preserve">                                             Finanzplan</t>
  </si>
  <si>
    <t xml:space="preserve">                                           Plans techniques</t>
  </si>
  <si>
    <t xml:space="preserve">                                           Compte de résultat</t>
  </si>
  <si>
    <t xml:space="preserve">                                           Plan de financement</t>
  </si>
  <si>
    <t xml:space="preserve">                                           Piano di finanziamento</t>
  </si>
  <si>
    <t>806 kg Kraftfutter</t>
  </si>
  <si>
    <t>806 kg d'aliments concentrés</t>
  </si>
  <si>
    <t>Korr. KF: +/- 0.012 pro kg Kraftfutter</t>
  </si>
  <si>
    <t>Corr. concentré : +/- 0,012 par kg conc</t>
  </si>
  <si>
    <t>Lingua</t>
  </si>
  <si>
    <t xml:space="preserve">                                           Conto economico</t>
  </si>
  <si>
    <t>Consiglio Federale precedente la sessione invernale. Il calcolo si esegue in base all'anno definito nella pagina «Generale»</t>
  </si>
  <si>
    <t>Il calcolo si riferisce alla campagna (anno) definita nel foglio «Generale»</t>
  </si>
  <si>
    <t>AGRIDEA declina ogni responsabilità derivante dall'utilizzo dei risultati ottenuti utilizzando questo foglio di calcolo.</t>
  </si>
  <si>
    <t>Aggiorna i dati</t>
  </si>
  <si>
    <t>USM per i pagamenti diretti</t>
  </si>
  <si>
    <t>USM per le migliorie strutturali</t>
  </si>
  <si>
    <t>Dati aziendali generali</t>
  </si>
  <si>
    <t>Albero da frutto ad alto fusto</t>
  </si>
  <si>
    <t>Tipo di produzione</t>
  </si>
  <si>
    <t>Bestiame</t>
  </si>
  <si>
    <t>N° di unità</t>
  </si>
  <si>
    <t>Coltura foraggera sarchiata</t>
  </si>
  <si>
    <t>Ortaggio/coltura diversa</t>
  </si>
  <si>
    <t>Coltura perenne</t>
  </si>
  <si>
    <t>Coltura protetta</t>
  </si>
  <si>
    <t>Terreno da strame, torbiera</t>
  </si>
  <si>
    <t>Siepe, boschetto campestre e prato rivierasco</t>
  </si>
  <si>
    <t>Superficie improduttiva</t>
  </si>
  <si>
    <t>Bilancio della manodopera aziendale</t>
  </si>
  <si>
    <t>hMO</t>
  </si>
  <si>
    <t>Bilancio del foraggio grezzo (SS)</t>
  </si>
  <si>
    <t>Bilancio lattiero</t>
  </si>
  <si>
    <t>Concimi aziendali</t>
  </si>
  <si>
    <t>Concimaia</t>
  </si>
  <si>
    <t>foraggio grezzo</t>
  </si>
  <si>
    <t>Parametri finanziari noti</t>
  </si>
  <si>
    <t>Utile lordo aziendale</t>
  </si>
  <si>
    <t>Utile lordo agricolo</t>
  </si>
  <si>
    <t>Reddito da lavoro della comunità</t>
  </si>
  <si>
    <t>Cash flow senza interessi</t>
  </si>
  <si>
    <t>Var. sost. monetaria netta circ.</t>
  </si>
  <si>
    <t>Importa</t>
  </si>
  <si>
    <t>Campagna (anno)</t>
  </si>
  <si>
    <t>Altro bestiame che consuma for. grezzo</t>
  </si>
  <si>
    <t>Pollame</t>
  </si>
  <si>
    <t>Fabb. complessivo di manodopera</t>
  </si>
  <si>
    <t>aziendale+a. accessorie+gest. domestica</t>
  </si>
  <si>
    <t>Utile lordo dell'azienda 1</t>
  </si>
  <si>
    <t>Risultato dell'attività accessoria</t>
  </si>
  <si>
    <t>Risultato degli immobili</t>
  </si>
  <si>
    <t>Risultato complessivo del sistema</t>
  </si>
  <si>
    <t>Interessi sul capitale proprio</t>
  </si>
  <si>
    <t>Flusso monetario medio pluriennale</t>
  </si>
  <si>
    <t>Cash flow ante interessi</t>
  </si>
  <si>
    <t>Saldo delle attività d'investimento</t>
  </si>
  <si>
    <t>Saldo dell'attività di finanziamento</t>
  </si>
  <si>
    <t>Var. sostanza monetaria netta circolante</t>
  </si>
  <si>
    <t>Sostanza monetaria netta circolante</t>
  </si>
  <si>
    <t>Fattore d'indebitamento *)</t>
  </si>
  <si>
    <t>* indica il fattore con il quale bisogna moltiplicare il cash flow per azzerare i debiti</t>
  </si>
  <si>
    <t>Commento</t>
  </si>
  <si>
    <t>Autocorrezione dati inseriti per errore</t>
  </si>
  <si>
    <t>Aggiorna tutti i fogli</t>
  </si>
  <si>
    <t>Crea  la versione light di BetVor</t>
  </si>
  <si>
    <t>Crea le schede PER</t>
  </si>
  <si>
    <t>Crea le schede PD</t>
  </si>
  <si>
    <t>N° aziendale</t>
  </si>
  <si>
    <t>Riprendi i dati da Feldbuch</t>
  </si>
  <si>
    <t>Cognome/Nome</t>
  </si>
  <si>
    <t>Fax/e-mail</t>
  </si>
  <si>
    <t>For. invernale</t>
  </si>
  <si>
    <t>Zona di produz.</t>
  </si>
  <si>
    <t>Zona d'insilam.</t>
  </si>
  <si>
    <t>Prodotto regolato</t>
  </si>
  <si>
    <t>da un contratto</t>
  </si>
  <si>
    <t>Barbabietola da zucchero</t>
  </si>
  <si>
    <t>Superficie edificabile senza diritto ai contributi</t>
  </si>
  <si>
    <t>Il(I) gestore(i) firmatario(i) conferma(no) la correttezza dei dati riportati in questo bilancio preventivo</t>
  </si>
  <si>
    <t>Rese medie effettive superiori alle rese standard ¹</t>
  </si>
  <si>
    <t>Resa in</t>
  </si>
  <si>
    <t>campo (SS)</t>
  </si>
  <si>
    <t>La superficie del prodotto secondario non può superare quella del prodotto principale</t>
  </si>
  <si>
    <t>Frumento panificabile autunnale</t>
  </si>
  <si>
    <t>Frumento foraggero autunnale</t>
  </si>
  <si>
    <t>Segale ibrida autunnale</t>
  </si>
  <si>
    <t>Farro, frumento monococco</t>
  </si>
  <si>
    <t>Resa (SS)</t>
  </si>
  <si>
    <t>Colza da olio invernale</t>
  </si>
  <si>
    <t>Patata per il consumo e l'industria ²</t>
  </si>
  <si>
    <t>Patata precoce ²</t>
  </si>
  <si>
    <t>Patata da seme ²</t>
  </si>
  <si>
    <t xml:space="preserve"> - mais coltivato con altre tecniche</t>
  </si>
  <si>
    <t>Pisello proteico</t>
  </si>
  <si>
    <t>Ortaggio in campo aperto</t>
  </si>
  <si>
    <t>Fragola annuale</t>
  </si>
  <si>
    <t>Fiore reciso annuale</t>
  </si>
  <si>
    <t>Lino da olio</t>
  </si>
  <si>
    <t>Canapa da olio</t>
  </si>
  <si>
    <t>Colza EMC (est. metilico di colza )</t>
  </si>
  <si>
    <t>Striscia su superficie coltiva</t>
  </si>
  <si>
    <t>Vite</t>
  </si>
  <si>
    <t>Frutteto</t>
  </si>
  <si>
    <t>Ortaggio pluriennale</t>
  </si>
  <si>
    <t>Fragola pluriennale</t>
  </si>
  <si>
    <t>Piccoli frutti</t>
  </si>
  <si>
    <t>Piccoli frutti alternativi ²</t>
  </si>
  <si>
    <t>Erba aromatica/medic. pluriennale</t>
  </si>
  <si>
    <t>Miscanto</t>
  </si>
  <si>
    <t>Alberello di Natale</t>
  </si>
  <si>
    <t>Selva castanile curata (&lt; 100 alb./ha)</t>
  </si>
  <si>
    <t>Altra coltura perenne</t>
  </si>
  <si>
    <t>Prato permanente</t>
  </si>
  <si>
    <t>Superficie inerbita diversa con divieto di concimazione</t>
  </si>
  <si>
    <t>Prato da sfalcio in zona d'estivazione</t>
  </si>
  <si>
    <t>Pascolo boschivo</t>
  </si>
  <si>
    <t>Prato-pascolo per.</t>
  </si>
  <si>
    <t>Prato temporaneo</t>
  </si>
  <si>
    <t>Foraggere da seme</t>
  </si>
  <si>
    <t>leguminose</t>
  </si>
  <si>
    <t>graminacee</t>
  </si>
  <si>
    <t>Pascolo per maiali</t>
  </si>
  <si>
    <t xml:space="preserve"> - mais su prato con regolazione meccanica della vegetazione dell'interfila</t>
  </si>
  <si>
    <t>Sorgo (insilato di pianta intera)</t>
  </si>
  <si>
    <t>Colture protette senza fondamenta fisse</t>
  </si>
  <si>
    <t>Colture protette con fondamenta fisse</t>
  </si>
  <si>
    <t>Siepe e boschetto camp. con bande erbose</t>
  </si>
  <si>
    <t>Siepe e boschetto camp.con bande tampone</t>
  </si>
  <si>
    <t>SAU + sup. edificabile senza diritto ai contributi</t>
  </si>
  <si>
    <t>Prato rivierasco lungo i corsi d'acqua</t>
  </si>
  <si>
    <t>Controlla la SAU!</t>
  </si>
  <si>
    <t>Seconda coltura, terza coltura o coltura intercalare</t>
  </si>
  <si>
    <t>Coltura intercalare (senza prato temporaneo)</t>
  </si>
  <si>
    <t>Semina estiva del prato temporaneo</t>
  </si>
  <si>
    <t>Sfalcio primaverile e distruzione del prato</t>
  </si>
  <si>
    <t>Sovescio (senza leguminose)</t>
  </si>
  <si>
    <t>Fascia colt. estensiva in campicoltura</t>
  </si>
  <si>
    <t>Albero indigeno isolato</t>
  </si>
  <si>
    <t>Registra qui l'inventario dei bovini senza il bilancio del bestiame giovane</t>
  </si>
  <si>
    <t>Mostra gli UBG bovini e bufalini secondo le nuove categorie</t>
  </si>
  <si>
    <t>Specie e categoria di bestiame</t>
  </si>
  <si>
    <t>Tipo di</t>
  </si>
  <si>
    <t>Fatt.</t>
  </si>
  <si>
    <t>compu-</t>
  </si>
  <si>
    <t>tabili</t>
  </si>
  <si>
    <t xml:space="preserve"> supplemento</t>
  </si>
  <si>
    <t>± capi</t>
  </si>
  <si>
    <t>gg</t>
  </si>
  <si>
    <t>retti</t>
  </si>
  <si>
    <t>Area</t>
  </si>
  <si>
    <t>d'esercizio</t>
  </si>
  <si>
    <t>n°capi</t>
  </si>
  <si>
    <t>capo</t>
  </si>
  <si>
    <t>posta</t>
  </si>
  <si>
    <t>100 po.</t>
  </si>
  <si>
    <t>Vacca da latte</t>
  </si>
  <si>
    <t>Prod. di latte Ø</t>
  </si>
  <si>
    <t>Equino &gt; 900 giorni, &gt; 148 cm</t>
  </si>
  <si>
    <t>Equino 180-900 giorni, &gt; 148 cm</t>
  </si>
  <si>
    <t>Equino &lt;= 180 giorni, &gt; 148 cm</t>
  </si>
  <si>
    <t>Equino &gt; 900 giorni, &lt;= 148 cm</t>
  </si>
  <si>
    <t>Equino 180-900 giorni, &lt;= 148 cm</t>
  </si>
  <si>
    <t>Equino &lt;= 180 giorni, &lt;= 148 cm</t>
  </si>
  <si>
    <t>Somma degli UBG per il calcolo dei contributi</t>
  </si>
  <si>
    <t>Somma degli UBG</t>
  </si>
  <si>
    <t>Prato estensivo (senza pascolo)</t>
  </si>
  <si>
    <t>Siepe e boschetto campestre e rivierasco</t>
  </si>
  <si>
    <t>Fascia tamp. lungo i corsi d'acqua, bosco, siepe e boschetto campestre e rivier.</t>
  </si>
  <si>
    <t>Quote delle colture speciali e della SAU restante annunciate come superficie per il promovimento della biodiversità</t>
  </si>
  <si>
    <t>[per il rilevamento dettagliato utilizza lo specifico modulo di AGRIDEA]</t>
  </si>
  <si>
    <t>Risultato aziendale</t>
  </si>
  <si>
    <t>(ha)</t>
  </si>
  <si>
    <t>SAU restante</t>
  </si>
  <si>
    <t>Prato estensivo (tipo 1): di cui SPB</t>
  </si>
  <si>
    <t>Prato poco intensivo (tipo 4): di cui SPB</t>
  </si>
  <si>
    <t>Terreno da strame, torbiera (tipo 5)</t>
  </si>
  <si>
    <t>Pascolo estensivo (tipo 2): di cui SPB</t>
  </si>
  <si>
    <t>Pascolo boschivo (tipo 3): di cui SPB</t>
  </si>
  <si>
    <t>Fascia colturale estensiva in campicoltura (tipo 6)</t>
  </si>
  <si>
    <t>Maggese fiorito (tipo 7A)</t>
  </si>
  <si>
    <t>Maggese da rotazione (tipo 7B)</t>
  </si>
  <si>
    <t>Striscia colturale estensiva (tipo 7c)</t>
  </si>
  <si>
    <t>Siepe e boschetto campestre e rivierasco (tipo 10)</t>
  </si>
  <si>
    <t>Vigneto con elevata biodiversità naturale (tipo 15)</t>
  </si>
  <si>
    <t>Altra superficie per il promovimento della biodiversità (tipi 11-13)</t>
  </si>
  <si>
    <t>Altra superficie per il promovimento della biodiversità (tipo 16 vedi modulo Agridea))</t>
  </si>
  <si>
    <t>Totale aziendale</t>
  </si>
  <si>
    <t>Quota degli elementi «estensivi» delle superfici prative e da strame</t>
  </si>
  <si>
    <t>Superficie inerbita e terreni da strame (ha)</t>
  </si>
  <si>
    <t>+ superficie da strame</t>
  </si>
  <si>
    <t>Prato e pascolo estensivo (tipi 1A, 1B e 2): di cui SPB</t>
  </si>
  <si>
    <t>Pascolo boschivo (tipo 3)</t>
  </si>
  <si>
    <t xml:space="preserve">Carico in UBGFG </t>
  </si>
  <si>
    <t>Somma UBGFG</t>
  </si>
  <si>
    <t>Somma UBGF</t>
  </si>
  <si>
    <t>Somma</t>
  </si>
  <si>
    <t>Gli UBG saranno indicate una volta calcolato SuisseBilanz!</t>
  </si>
  <si>
    <t>Quota di terre aperte</t>
  </si>
  <si>
    <t>Sarchiata mercantile (ortaggi esclusi)</t>
  </si>
  <si>
    <t>Leguminosa da granella</t>
  </si>
  <si>
    <t>Prato temp. e maggese da rotazione</t>
  </si>
  <si>
    <t>Altra coltura</t>
  </si>
  <si>
    <t>Coltura intercalare e sovescio</t>
  </si>
  <si>
    <t>Rotazione colturale</t>
  </si>
  <si>
    <t>Bilancio el. nutritivi, intensità prod. foraggera, stoccaggio liquami</t>
  </si>
  <si>
    <t>q SS prodotti in campo per UBGFG</t>
  </si>
  <si>
    <t>ha sup. foraggera princ. per UBGFG</t>
  </si>
  <si>
    <t>Concimi in entrata (espressi in UBGF)</t>
  </si>
  <si>
    <t>azoto</t>
  </si>
  <si>
    <t>fosforo</t>
  </si>
  <si>
    <t>Prod. mensile di liquami non diluiti</t>
  </si>
  <si>
    <t>Prod. mensile di liquami diluiti</t>
  </si>
  <si>
    <t>Acquisto di foraggio %</t>
  </si>
  <si>
    <t>convenz.</t>
  </si>
  <si>
    <t>Vacca da latte con rimonta</t>
  </si>
  <si>
    <t>Vacca madre e bovino da ingrasso</t>
  </si>
  <si>
    <t>Altre categorie di UBGFG</t>
  </si>
  <si>
    <t>Altro bestiame</t>
  </si>
  <si>
    <t>Suino da ingrasso</t>
  </si>
  <si>
    <t>Gallina ovaiola</t>
  </si>
  <si>
    <t>SPB sulla SAU</t>
  </si>
  <si>
    <t>SPB sulla sup. inerbita</t>
  </si>
  <si>
    <t>(% SS)</t>
  </si>
  <si>
    <t>Quantità di foraggio         (q SF)</t>
  </si>
  <si>
    <t>Quantità di foraggio         (q SS)</t>
  </si>
  <si>
    <t>di cui con-venzionale                 (q SS)</t>
  </si>
  <si>
    <t>di cui bio             (q SS)</t>
  </si>
  <si>
    <t>Consumo di foraggio              (q SS)</t>
  </si>
  <si>
    <t>Acquisto di foraggio convenz.     (%)</t>
  </si>
  <si>
    <t>Acquisto di foraggio bio              (%)</t>
  </si>
  <si>
    <t>Acquisto complessivo di foraggio         (%)</t>
  </si>
  <si>
    <t>Altre categorie di bestiame che consumano foraggio grezzo</t>
  </si>
  <si>
    <t>Gallina ovaiola e pollastrella</t>
  </si>
  <si>
    <t>N° e quota delle colture</t>
  </si>
  <si>
    <t>Esigenza PER ( &gt; 1 ha TA)</t>
  </si>
  <si>
    <t>Quota delle</t>
  </si>
  <si>
    <t>terre di ro-</t>
  </si>
  <si>
    <t>tazione (TR)</t>
  </si>
  <si>
    <t>Somma sup.</t>
  </si>
  <si>
    <t>minori del 10 %</t>
  </si>
  <si>
    <t>delle TR</t>
  </si>
  <si>
    <t>Quota max</t>
  </si>
  <si>
    <t>di terre</t>
  </si>
  <si>
    <t>di rotazione</t>
  </si>
  <si>
    <t>Esigenza</t>
  </si>
  <si>
    <t>rispettata?</t>
  </si>
  <si>
    <t>Frumento e spelta</t>
  </si>
  <si>
    <t>Farro, frum. monococco</t>
  </si>
  <si>
    <t>Frumento, spelta, farro, frum. monococco</t>
  </si>
  <si>
    <t>Barbabietola (da zucchero e da foraggio)</t>
  </si>
  <si>
    <t>Patata</t>
  </si>
  <si>
    <t>Pisello da conservazione</t>
  </si>
  <si>
    <t>Somma pisello</t>
  </si>
  <si>
    <t>Colture sensibili alla sclerotinia</t>
  </si>
  <si>
    <t>Lino (da olio e da fibra)</t>
  </si>
  <si>
    <t>Canapa (da olio e da fibra)</t>
  </si>
  <si>
    <t>Striscia colturale estensiva</t>
  </si>
  <si>
    <t>Erba aromatica/medic. annuale</t>
  </si>
  <si>
    <t>Ortaggio</t>
  </si>
  <si>
    <t>N° di famiglie</t>
  </si>
  <si>
    <t>di cereali e colza</t>
  </si>
  <si>
    <t>Terre di rotazione (TR)</t>
  </si>
  <si>
    <t>Somma delle superfici minori del 10 % delle TR</t>
  </si>
  <si>
    <t>Da 1 a 3 colture in più, se somma precedente &gt; 10 %</t>
  </si>
  <si>
    <t>Numero complessivo di colture</t>
  </si>
  <si>
    <t>Numero di colture raggiunto?</t>
  </si>
  <si>
    <t>Mais: CCM o insilato di granella umida</t>
  </si>
  <si>
    <t>Mais da silo (trinciato di pianta intera)</t>
  </si>
  <si>
    <t>con le diverse tecniche eventualmente presenti in azienda</t>
  </si>
  <si>
    <t>Coltura precedente l'intercalare</t>
  </si>
  <si>
    <t>Coltura erbacea da pieno campo</t>
  </si>
  <si>
    <t>tra il 15.11 e il 15.02</t>
  </si>
  <si>
    <t>dopo il 15,2</t>
  </si>
  <si>
    <t xml:space="preserve"> = totale</t>
  </si>
  <si>
    <t>Pisello prot. autunnale</t>
  </si>
  <si>
    <t>Semina primaverile di prato temporaneo</t>
  </si>
  <si>
    <t>L'adiacente somma delle terre aperte (TA)</t>
  </si>
  <si>
    <t>L'indice di protezione del suolo dell'azienda è</t>
  </si>
  <si>
    <t>(compresa la semina primaverile del prato temporaneo)</t>
  </si>
  <si>
    <t>Colture erbacee da pieno campo (incluso prato temp.)</t>
  </si>
  <si>
    <t>Ortaggio (inclusi fragola annuale e fiore reciso)</t>
  </si>
  <si>
    <t>Indice di protezione del suolo richiesto per l'azienda</t>
  </si>
  <si>
    <t>SuisseBilanz</t>
  </si>
  <si>
    <t>Cognome</t>
  </si>
  <si>
    <t>via/Azienda</t>
  </si>
  <si>
    <t>CAP/Località</t>
  </si>
  <si>
    <t>Terre aperte (ha)</t>
  </si>
  <si>
    <t>Sup. fertilizzabile (ha)</t>
  </si>
  <si>
    <t>Correzione lineare</t>
  </si>
  <si>
    <t>Moduli colture speciali</t>
  </si>
  <si>
    <t>Piano di concim.</t>
  </si>
  <si>
    <t>Modulo A :Consumo di foraggio e produzione di elementi nutritivi</t>
  </si>
  <si>
    <t>Foraggio concentrato consumato annualmente dalle vacche da latte</t>
  </si>
  <si>
    <t>Tutte le VLatte in StLibera?</t>
  </si>
  <si>
    <t>q/anno</t>
  </si>
  <si>
    <t>kg/capo/anno</t>
  </si>
  <si>
    <t>Tutto il BGiov in StLibera?</t>
  </si>
  <si>
    <t>Bovino da ingrasso &gt; 160 giorni</t>
  </si>
  <si>
    <t>IncrMedioGior (g)</t>
  </si>
  <si>
    <t>Peso vivo finale (kg)</t>
  </si>
  <si>
    <t>Aziendale</t>
  </si>
  <si>
    <t>Aziendale tra Min e Max</t>
  </si>
  <si>
    <t>Correzione sulla crescita</t>
  </si>
  <si>
    <t>Correzione PV finale</t>
  </si>
  <si>
    <t>Consumo di foraggio grezzo</t>
  </si>
  <si>
    <t>Correzione del peso vivo finale per ogni 20 kg oltre 530 kg di PV</t>
  </si>
  <si>
    <t>Entr. (+)</t>
  </si>
  <si>
    <t>Consumo ForGrezzo</t>
  </si>
  <si>
    <t>area</t>
  </si>
  <si>
    <t>Let StabLibera</t>
  </si>
  <si>
    <t>Modifica i valori per suini e pollame se utilizzi alimenti NPr</t>
  </si>
  <si>
    <t>Consumo di foraggio e produzione di elementi nutritivi</t>
  </si>
  <si>
    <t>.</t>
  </si>
  <si>
    <t>Deduzione per l'impiego di foraggio povero di elementi nutritivi</t>
  </si>
  <si>
    <t>Acquisito</t>
  </si>
  <si>
    <t>Ceduto</t>
  </si>
  <si>
    <t>Deduzioni Nstock per area d'usc. e pascolo</t>
  </si>
  <si>
    <t>A2: Elementi nutritivi prodotti dal bestiame aziendale</t>
  </si>
  <si>
    <t>Produzione di elementi nutritivi</t>
  </si>
  <si>
    <t>Let.</t>
  </si>
  <si>
    <t>Liq.</t>
  </si>
  <si>
    <t>A3 : Cessione e ritiro concimi aziendali</t>
  </si>
  <si>
    <t>Modulo B : Produzione di foraggio grezzo aziendale</t>
  </si>
  <si>
    <t>Consumo di foraggio grezzo aziendale</t>
  </si>
  <si>
    <t>Foraggio grezzo ceduto, ritirato e/o prodotto in azienda al di fuori della superficie foraggera</t>
  </si>
  <si>
    <t>(q SF)</t>
  </si>
  <si>
    <t>Cessione</t>
  </si>
  <si>
    <t>Ritiro</t>
  </si>
  <si>
    <t>Produz. ForGrez</t>
  </si>
  <si>
    <t>al di fuori</t>
  </si>
  <si>
    <t>della SupFor</t>
  </si>
  <si>
    <t>Fieno povero di el. nutritivi</t>
  </si>
  <si>
    <t>Trebbia di birreria essiccata</t>
  </si>
  <si>
    <t>Ritiro di paglia da foraggio</t>
  </si>
  <si>
    <t>Tot. cessioni (di cui «povero»</t>
  </si>
  <si>
    <t>Tot. ritiri (di cui «povero»</t>
  </si>
  <si>
    <t>Somma della produzione di foraggio grezzo al di fuori della superficie foraggera (SupFor)</t>
  </si>
  <si>
    <t>Fabbisogno netto di foraggio grezzo</t>
  </si>
  <si>
    <t>Foraggio grezzo da produrre sulla superficie foraggera aziendale</t>
  </si>
  <si>
    <t>n° capi x giorni d'uscita x Nstock x 0.1</t>
  </si>
  <si>
    <t>Zona</t>
  </si>
  <si>
    <t>Modulo C: Fabbisogno aziendale complessivo</t>
  </si>
  <si>
    <t>C1: Fabbisogno per la produzione foraggera</t>
  </si>
  <si>
    <t>(q SS/ha)</t>
  </si>
  <si>
    <t>Resa reale</t>
  </si>
  <si>
    <t>Resa compl.</t>
  </si>
  <si>
    <t>Fabb. N 7]</t>
  </si>
  <si>
    <t>Foraggio grezzo da produrre sulla superficie foraggera aziendale (valore ripreso dal punto B)</t>
  </si>
  <si>
    <t>Mais</t>
  </si>
  <si>
    <t>Barbabietola da foraggio (senza foglie)</t>
  </si>
  <si>
    <t>Paglia di produzione aziendale usata come foraggio 8]</t>
  </si>
  <si>
    <t xml:space="preserve">Foglie di barbabietola da foraggio di produzione aziendale 8] </t>
  </si>
  <si>
    <t>Colt. interc., prato temporaneo seminato in estate, scasso primaverile del prato</t>
  </si>
  <si>
    <t>Foraggere da seme: leguminose in purezza</t>
  </si>
  <si>
    <t>Foraggere da seme: graminacee in purezza</t>
  </si>
  <si>
    <t>Prato estensivo</t>
  </si>
  <si>
    <t>Pascolo estensivo e boschivo</t>
  </si>
  <si>
    <t>Prato e pascolo poco intensivo, 1-3 sfruttamenti</t>
  </si>
  <si>
    <t>Prato e pascolo medio intensivo, 1-5 sfruttamenti</t>
  </si>
  <si>
    <t>Prato e pascolo intensivo, 2-6 sfruttamenti</t>
  </si>
  <si>
    <t>Foraggio grezzo povero di el. nutritivi</t>
  </si>
  <si>
    <t>Adatta la resa in SS dei prati o ripresa e cessione!</t>
  </si>
  <si>
    <t>Mais «verde» o erbaio di mais (2a coltura)</t>
  </si>
  <si>
    <t>C2: Fabbisogno per le colture erbacee da pieno campo</t>
  </si>
  <si>
    <t>Siepe, boschetto e terreno da strame</t>
  </si>
  <si>
    <t>C2: Somma dei fabbisogni per campi, siepi e terreni da strame</t>
  </si>
  <si>
    <t>C1: Somma dei fabbisogni per le colture foraggere</t>
  </si>
  <si>
    <t>(senza colture intercalari)</t>
  </si>
  <si>
    <t>C3: Fabbisogno per le colture speciali e perenni</t>
  </si>
  <si>
    <t>prendendo in considerazione la riserva di elementi nutritivi del terreno</t>
  </si>
  <si>
    <t>Fattore di correzione della norma</t>
  </si>
  <si>
    <t>Ortaggio in campo aperto, fiore reciso, erba aromatica e medicinale</t>
  </si>
  <si>
    <t>C3: Somma dei fabbisogni per le colture speciali e perenni</t>
  </si>
  <si>
    <t>(sup. totale C - sup. edificabili fuori dalla SAU)</t>
  </si>
  <si>
    <t>Fabbisogno aziendale totale C</t>
  </si>
  <si>
    <t>Modulo D: Apporto di altri concimi</t>
  </si>
  <si>
    <t>Quantità distribuita</t>
  </si>
  <si>
    <t>Concimi minerali e organici del commercio</t>
  </si>
  <si>
    <t>Tecniche di distribuzione a emissioni ridotte</t>
  </si>
  <si>
    <t>Ritiro di paglia per la lettiera</t>
  </si>
  <si>
    <t>D Somma degli apporti di altri concimi</t>
  </si>
  <si>
    <t>Modulo F: Bilancio di concimazione</t>
  </si>
  <si>
    <t>Calcolo della % di N dei concimi aziendali effettivamente disponibile per l'azienda</t>
  </si>
  <si>
    <t>% standard di azoto disponibile (Ndisp)</t>
  </si>
  <si>
    <t>% di azoto disponibile per l'azienda</t>
  </si>
  <si>
    <t>Bilancio aziendale</t>
  </si>
  <si>
    <t>Elementi nutritivi prodotti dal bestiame aziendale (% autoapprov.)</t>
  </si>
  <si>
    <t>[ - ] Fabbisogno delle colture in elementi nutritivi</t>
  </si>
  <si>
    <t>[ + ] Ritiro ecessione di concimi aziendali</t>
  </si>
  <si>
    <t xml:space="preserve">[ + ] Apporto di altri concimi  </t>
  </si>
  <si>
    <t xml:space="preserve">[ - ] Trasferimento interno di el. nutr. da foraggio di prati non concimati </t>
  </si>
  <si>
    <t>Bilancio finale di tutti gli elementi nutritivi</t>
  </si>
  <si>
    <t>Modulo supplementare Fattori di correzione analisi suolo orticoltura</t>
  </si>
  <si>
    <t>Parcella</t>
  </si>
  <si>
    <t>Trasferimento dal modulo «CHBZ2»</t>
  </si>
  <si>
    <t>Fabbisogno netto di elementi nutritivi per vite e luppolo (guida SuisseBilanz)</t>
  </si>
  <si>
    <t>Resa standard di vite da vino e vite da tavola</t>
  </si>
  <si>
    <t>Resa elevata: uva da tavola</t>
  </si>
  <si>
    <t>Es: luppolo</t>
  </si>
  <si>
    <t>Fabbisogno el. nutr. vite</t>
  </si>
  <si>
    <t>Modulo aggiuntivo «ortaggi in campo aperto»</t>
  </si>
  <si>
    <t>Fabbisogno netto di elementi nutritivi per gli ortaggi in campo aperto (PRIC 2017)</t>
  </si>
  <si>
    <t>Scegli l'ortaggio</t>
  </si>
  <si>
    <t>Fabbisogno netto di el. nutr.</t>
  </si>
  <si>
    <t>Es: carota per la trasformazione industriale</t>
  </si>
  <si>
    <t>Fabbisogno elementi nutritivi ortaggi in campo aperto</t>
  </si>
  <si>
    <t>Es: melanzana</t>
  </si>
  <si>
    <t>Fabbisogno elementi nutritivi ortaggi sotto protezione</t>
  </si>
  <si>
    <t>Modulo aggiuntivo «Frutta e iccoli frutti»</t>
  </si>
  <si>
    <t>Fabbisogno netto di elementi nutritivi per la frutta (guida SuisseBilanz)</t>
  </si>
  <si>
    <t>Scegli la frutta</t>
  </si>
  <si>
    <t>Es: kiwi</t>
  </si>
  <si>
    <t>Superficie coltivata (ha)</t>
  </si>
  <si>
    <t>Fabbisogno el. nutr. frutta</t>
  </si>
  <si>
    <t>Fabbisogno netto di elementi nutritivi per i piccoli frutti (PRIC 2017)</t>
  </si>
  <si>
    <t>Scegli i piccoli frutti</t>
  </si>
  <si>
    <t>Es: lampone</t>
  </si>
  <si>
    <t>Fabb. el. nutr. piccoli frutti</t>
  </si>
  <si>
    <t>La superficie coltivata non corrisponde al dato del foglio «Superfici»</t>
  </si>
  <si>
    <t>Rimonta</t>
  </si>
  <si>
    <t>Ritorna al foglio «Bestiame», riporta i dati in altri fogli</t>
  </si>
  <si>
    <t>Numero di capi</t>
  </si>
  <si>
    <t>N° Ø di vacche</t>
  </si>
  <si>
    <t>Età Ø al 1° parto</t>
  </si>
  <si>
    <t>kg Ø</t>
  </si>
  <si>
    <t>f                 +</t>
  </si>
  <si>
    <t>f                 –</t>
  </si>
  <si>
    <t>f                 =</t>
  </si>
  <si>
    <t>Acquisto vitello magro</t>
  </si>
  <si>
    <t>Vendita vitello magro</t>
  </si>
  <si>
    <t>Vitello da rimonta &lt;= 160 giorni</t>
  </si>
  <si>
    <t>Vitello da ingrasso (vitellone)</t>
  </si>
  <si>
    <t>&lt;= 160 giorni</t>
  </si>
  <si>
    <t>60-365 giorni</t>
  </si>
  <si>
    <t>&gt; 2 anni</t>
  </si>
  <si>
    <t>N° Ø di …</t>
  </si>
  <si>
    <t xml:space="preserve">Carriera (durata Ø) </t>
  </si>
  <si>
    <t>Bovino da ingrasso</t>
  </si>
  <si>
    <t>Vitello da ingrasso (vedi sopra)</t>
  </si>
  <si>
    <t>Acquisto rimonta da ingrasso</t>
  </si>
  <si>
    <t>Vendita rimonta da ingrasso</t>
  </si>
  <si>
    <t>Perdita capo da ingrasso</t>
  </si>
  <si>
    <t>Capo ingrassato in un anno</t>
  </si>
  <si>
    <t xml:space="preserve">    Posta da ingrasso</t>
  </si>
  <si>
    <t>Quantità aggiuntiva 1</t>
  </si>
  <si>
    <t>Quantità aggiuntiva 2</t>
  </si>
  <si>
    <t>Latte potenzialmente commercializzabile</t>
  </si>
  <si>
    <t>Latte per l'economia domestica</t>
  </si>
  <si>
    <t>Vitello da rimonta</t>
  </si>
  <si>
    <t>Vitello da ingrasso</t>
  </si>
  <si>
    <t>Vitello magro</t>
  </si>
  <si>
    <t>Latte destinato ad altre specie di bestiame</t>
  </si>
  <si>
    <t>Quantità di latte utilizzato come foraggio</t>
  </si>
  <si>
    <t>Quantità annuale di latte aziendale valorizzato (Ø)</t>
  </si>
  <si>
    <t>Produzione lattiera</t>
  </si>
  <si>
    <t>Modifica il n° di vacche</t>
  </si>
  <si>
    <t>Modifica la produzione di latte</t>
  </si>
  <si>
    <t>Produzione di latte aziendale annuale Ø</t>
  </si>
  <si>
    <t>Aggiorna la tabella</t>
  </si>
  <si>
    <t>Vai alla tabella «Consumo vacche da latte»</t>
  </si>
  <si>
    <t>Vai alla tabella «Razione foraggera»</t>
  </si>
  <si>
    <t>N° di giorni di</t>
  </si>
  <si>
    <t>Consumo di SS</t>
  </si>
  <si>
    <t>per giorno e capo</t>
  </si>
  <si>
    <t>(quota max)</t>
  </si>
  <si>
    <t>Consumo di SS (q)</t>
  </si>
  <si>
    <t>Stima del consumo di foraggio grezzo da parte delle vacche da latte</t>
  </si>
  <si>
    <t>Dati di base</t>
  </si>
  <si>
    <t>806 kg di foraggio concentrato</t>
  </si>
  <si>
    <t>Corr. PrLatte : +/- (0,14 * differenza-0,03 * differenza²) per ogni 100 kg latte</t>
  </si>
  <si>
    <t>Per ogni 100 kg di latte all'anno al di sotto di 7'000 kg</t>
  </si>
  <si>
    <t>± eventuali correzioni</t>
  </si>
  <si>
    <t>Consumo complessivo di foraggio grezzo</t>
  </si>
  <si>
    <t>Fabbisogno complessivo di foraggio grezzo</t>
  </si>
  <si>
    <t>1) Utilizzo limitato alla razione invernale</t>
  </si>
  <si>
    <t>Composizione della razione giornaliera</t>
  </si>
  <si>
    <t>Trasferisci i tipi di utilizzazione nell'offerta</t>
  </si>
  <si>
    <t>Torna al bilancio della SS</t>
  </si>
  <si>
    <t>Vai alla raz. estiva</t>
  </si>
  <si>
    <t>invernale</t>
  </si>
  <si>
    <t xml:space="preserve">Fieno </t>
  </si>
  <si>
    <t>essiccato</t>
  </si>
  <si>
    <t>al suolo</t>
  </si>
  <si>
    <t>da silo</t>
  </si>
  <si>
    <t>disidratata</t>
  </si>
  <si>
    <t>Polpa di</t>
  </si>
  <si>
    <t>bietola for.</t>
  </si>
  <si>
    <t>Vai alla raz. invernale</t>
  </si>
  <si>
    <t>estivo</t>
  </si>
  <si>
    <t>foraggiata</t>
  </si>
  <si>
    <t>fresca</t>
  </si>
  <si>
    <t>Consumo complessivo</t>
  </si>
  <si>
    <t>2. Offerta  (ritiri e cessioni compresi)</t>
  </si>
  <si>
    <t>3. Classificazione dell'offerta in base al tipo d'utilizzo</t>
  </si>
  <si>
    <t>offerta netta di SS</t>
  </si>
  <si>
    <t>Tipo d'utilizzo</t>
  </si>
  <si>
    <t>di stocc.</t>
  </si>
  <si>
    <t>Erba fresca in stalla</t>
  </si>
  <si>
    <t>Erba disidratata</t>
  </si>
  <si>
    <t>Erba insilata</t>
  </si>
  <si>
    <t>Fieno ventilato</t>
  </si>
  <si>
    <t>Fieno essiccato al suolo</t>
  </si>
  <si>
    <t>Bietola da foraggio, patata</t>
  </si>
  <si>
    <t>Offerta complessiva</t>
  </si>
  <si>
    <t>- perdita Ø di stoccaggio</t>
  </si>
  <si>
    <t>= offerta netta</t>
  </si>
  <si>
    <t>Consumo di SS del bestiame</t>
  </si>
  <si>
    <t>Fogli per il calcolo dettagliato di quantità e tenori dei concimi aziendali</t>
  </si>
  <si>
    <t>Produzione invernale di concime aziendale e fabbisogno annuale di paglia</t>
  </si>
  <si>
    <t>Tipo di stabulazione</t>
  </si>
  <si>
    <t>UBGF</t>
  </si>
  <si>
    <t>fattore</t>
  </si>
  <si>
    <t>Fabb.</t>
  </si>
  <si>
    <t>q paglia</t>
  </si>
  <si>
    <t>t letame</t>
  </si>
  <si>
    <t>m³ liq.</t>
  </si>
  <si>
    <t>Liquami</t>
  </si>
  <si>
    <t>Fabbisogno aziendale di paglia</t>
  </si>
  <si>
    <t>Possibile vendita di paglia</t>
  </si>
  <si>
    <t>Paglia da acquistare (mancante)</t>
  </si>
  <si>
    <t>+ resti presenti in mangiatoia (stima)</t>
  </si>
  <si>
    <t>Produzione invernale complessiva di letame maturo</t>
  </si>
  <si>
    <t>Produzione di liquami (m³)</t>
  </si>
  <si>
    <t>Produzione invernale complessiva di liquami non diluiti</t>
  </si>
  <si>
    <t>Tipo di acqua esausta</t>
  </si>
  <si>
    <t>Pulizia della stalla e cura del bestiame (bovini)</t>
  </si>
  <si>
    <t>Evacuazione liquida del letame (bovini)</t>
  </si>
  <si>
    <t>Pulizia della stalla e cura del bestiame (suini)</t>
  </si>
  <si>
    <t>Pulizia del pollaio (gallina ovaiola)</t>
  </si>
  <si>
    <t>Pulizia del pollaio (pollame da ingrasso)</t>
  </si>
  <si>
    <t>Percolato della concimaia, deflussi da aree d'uscita scoperte con fondo consolidato e impermeabile</t>
  </si>
  <si>
    <t>scoperto, con deflusso di acque chiare + acque grigie</t>
  </si>
  <si>
    <t>scoperto, con canaletta per la raccolta del percolato
(solo acque grigie)</t>
  </si>
  <si>
    <t>del locale latte</t>
  </si>
  <si>
    <t>della cisterna di raffreddamento</t>
  </si>
  <si>
    <t>dell'impianto di mungitura a secchio</t>
  </si>
  <si>
    <t>dell'impianto di mungitura a condotta</t>
  </si>
  <si>
    <t>delle poste nella sala di mungitura</t>
  </si>
  <si>
    <t>degli impianti automatici di mungitura automatici (robot)</t>
  </si>
  <si>
    <t>Ec. domestica</t>
  </si>
  <si>
    <t>(attività accessoria; solo se svolta anche durante la stagione invernale)</t>
  </si>
  <si>
    <t>Catering, sala per feste e ricevimenti 3)</t>
  </si>
  <si>
    <t>N° GM</t>
  </si>
  <si>
    <t>N° poste</t>
  </si>
  <si>
    <t>Produzione di liquami diluiti</t>
  </si>
  <si>
    <t>Produzione invernale complessiva (diluita)</t>
  </si>
  <si>
    <t>Capacità di stoccaggio attuale</t>
  </si>
  <si>
    <t>2) Gruppo di mungitura</t>
  </si>
  <si>
    <t>3) La norma vale per le aziende annuali; per quelle stagionali, va corretta in base alla % d'occupazione</t>
  </si>
  <si>
    <t>Mostra il foglio «Prod. di ConcAz» (solo calcolo vol. di stoccaggio)</t>
  </si>
  <si>
    <t>Mesi estivi</t>
  </si>
  <si>
    <t>Mesi invernali</t>
  </si>
  <si>
    <t>Ø di latte</t>
  </si>
  <si>
    <t>Foragg.</t>
  </si>
  <si>
    <t>povero</t>
  </si>
  <si>
    <t>Categ.</t>
  </si>
  <si>
    <t>best.</t>
  </si>
  <si>
    <t>Evacuazione liquida del letame</t>
  </si>
  <si>
    <t>Tipo No</t>
  </si>
  <si>
    <t>letame</t>
  </si>
  <si>
    <t>liquami</t>
  </si>
  <si>
    <t>Tipo di stabulazione 1</t>
  </si>
  <si>
    <t>Giorni durante i quali</t>
  </si>
  <si>
    <t>capi/periodo</t>
  </si>
  <si>
    <t>Deduzione pascolo</t>
  </si>
  <si>
    <t>ore</t>
  </si>
  <si>
    <t>Li-</t>
  </si>
  <si>
    <t>quami</t>
  </si>
  <si>
    <t>suini</t>
  </si>
  <si>
    <t>Fossa</t>
  </si>
  <si>
    <t>per liq.</t>
  </si>
  <si>
    <t>Conci-</t>
  </si>
  <si>
    <t>maia</t>
  </si>
  <si>
    <t>Tipo di stabulazione 2</t>
  </si>
  <si>
    <t>Vitello da rimonta 0-1 anno</t>
  </si>
  <si>
    <t>Manzetta da rimonta 1-2 anni</t>
  </si>
  <si>
    <t>Manza da rimonta &gt; 2 anni</t>
  </si>
  <si>
    <t>Toro 1-2 anni</t>
  </si>
  <si>
    <t>Toro &gt;2 anni</t>
  </si>
  <si>
    <t>Vacca madre (VM)</t>
  </si>
  <si>
    <t>Vacca madre (VM) &gt; 700 kg</t>
  </si>
  <si>
    <t>Vacca madre (VM) 600-700 kg</t>
  </si>
  <si>
    <t>Vacca madre (VM) &lt; 600 kg</t>
  </si>
  <si>
    <t>Bestiame giovane di VM 1 -2 anni</t>
  </si>
  <si>
    <t>Bestiame giovane di VM &gt; 2 anni</t>
  </si>
  <si>
    <t>Toro di VM &gt; 2 anni</t>
  </si>
  <si>
    <t>Vitello da ingrasso (50-200 kg)</t>
  </si>
  <si>
    <t>Vitello da ingrasso (50-200 kg) all'anno</t>
  </si>
  <si>
    <t>Bovino da ingrasso &lt;= 4 mesi</t>
  </si>
  <si>
    <t>Bovino da ingrasso intensivo &gt; 4 mesi</t>
  </si>
  <si>
    <t>Bovino da ingrasso al pascolo &gt; 4 mesi</t>
  </si>
  <si>
    <t>Bovino da ingrasso con finissaggio intensivo</t>
  </si>
  <si>
    <t>Cavallo &gt; 180 giorni, &gt; 148 cm</t>
  </si>
  <si>
    <t>Cavallo &lt;= 180 giorni, &gt; 148 cm</t>
  </si>
  <si>
    <t>Mulo e bardotto &gt; 180 giorni</t>
  </si>
  <si>
    <t>Mulo e bardotto &lt;= 180 giorni</t>
  </si>
  <si>
    <t>Pony, cavallo piccolo, asino, &lt;= 148 cm</t>
  </si>
  <si>
    <t>Pecora (inclusi agnelli &lt;= 1 anno)</t>
  </si>
  <si>
    <t>Pecora munta (inclusi agnelli &lt;= 1 anno)</t>
  </si>
  <si>
    <t>Capra munta (inclusi capretti &lt;= 1 anno)</t>
  </si>
  <si>
    <t>Altra capra &gt; 1 anno</t>
  </si>
  <si>
    <t>Altro bestiame che consuma foraggio grezzo</t>
  </si>
  <si>
    <t>Bisonte &gt; 900 giorni</t>
  </si>
  <si>
    <t>Daino (qualsiasi età)</t>
  </si>
  <si>
    <t>Cervo (qualsiasi età)</t>
  </si>
  <si>
    <t>Coniglia madre (inclusi coniglietti &lt;±35 gg)</t>
  </si>
  <si>
    <t>Coniglietto &gt;± 35 gg</t>
  </si>
  <si>
    <t>Suinetto svezzato</t>
  </si>
  <si>
    <t>Verro da riproduzione</t>
  </si>
  <si>
    <t>Gallina ovaiola e da riproduzione</t>
  </si>
  <si>
    <t>Gallina ovaiola (nastro per deiezioni)</t>
  </si>
  <si>
    <t>Gallina ovaiola (all. al suolo, cassone per deiezioni)</t>
  </si>
  <si>
    <t>Pollastrella</t>
  </si>
  <si>
    <t>Pollo da ingrasso</t>
  </si>
  <si>
    <t>Tacchino da ingrasso</t>
  </si>
  <si>
    <t>Tacchino in preingr. (&lt;= 1,5 kg PV, 6 cicli)</t>
  </si>
  <si>
    <t>Tacchino in finiss. (1,5-13 kg PV, 2,9 cicli)</t>
  </si>
  <si>
    <t>Categoria di acque reflue</t>
  </si>
  <si>
    <t>Quantità (m³)</t>
  </si>
  <si>
    <t>Area d'esercizio scoperta con fondo consolidato e impermeabile</t>
  </si>
  <si>
    <t>Silo a trincea scoperto con scarico dei reflui collegato alla fossa per liquami</t>
  </si>
  <si>
    <t>Silo a trincea scoperto con canaletta per la raccolta del percolato</t>
  </si>
  <si>
    <t>Altre superfici con scarico dei reflui collegato alla fossa per liquami</t>
  </si>
  <si>
    <t>Casi particolari: acque reflue regolarmente inferiori alla norma</t>
  </si>
  <si>
    <t>Gastronomia, sala ricevimenti, feste 1)</t>
  </si>
  <si>
    <t>Vacanze in fattoria 2)</t>
  </si>
  <si>
    <t>Dormire sulla paglia 2)</t>
  </si>
  <si>
    <t>N° di letti</t>
  </si>
  <si>
    <t xml:space="preserve">1) La norma vale per le aziende annuali; per quelle stagionali, va corretta in base alla % d'occupazione </t>
  </si>
  <si>
    <t>Inserire la produzione di letame e liquami</t>
  </si>
  <si>
    <t>Categoria di bestiame</t>
  </si>
  <si>
    <t>Contenuti per kg di foraggio</t>
  </si>
  <si>
    <t>EDS (MJ)</t>
  </si>
  <si>
    <t>PG (g)</t>
  </si>
  <si>
    <t>P (g)</t>
  </si>
  <si>
    <t>Suino da ingrasso, 26-100 kg PV</t>
  </si>
  <si>
    <t>Produzione di elmenti nutritivi importati dal bilancio import/export</t>
  </si>
  <si>
    <t>Liquame suino/letame suino</t>
  </si>
  <si>
    <t>Letame di coniglio</t>
  </si>
  <si>
    <t>Quantità annuale di elementi nutritivi</t>
  </si>
  <si>
    <t>Stoccaggio 1</t>
  </si>
  <si>
    <t>Tipo di concime aziendale</t>
  </si>
  <si>
    <t>Ndisp (campi)</t>
  </si>
  <si>
    <t>Ndisp (prati)</t>
  </si>
  <si>
    <t>Questi numeri non vanno utilizzati per categorie di bestiame della stessa specie non considerate nel bilancio import/export</t>
  </si>
  <si>
    <t>Fossa  per liquami 1</t>
  </si>
  <si>
    <t>Suppl./</t>
  </si>
  <si>
    <t>deduz.</t>
  </si>
  <si>
    <t>Deduz.</t>
  </si>
  <si>
    <t>a. uscita</t>
  </si>
  <si>
    <t>Corr.</t>
  </si>
  <si>
    <t>Conv.</t>
  </si>
  <si>
    <t>cat.</t>
  </si>
  <si>
    <t>bestiame</t>
  </si>
  <si>
    <t>Paglia</t>
  </si>
  <si>
    <t>per</t>
  </si>
  <si>
    <t>capo/posta</t>
  </si>
  <si>
    <t>al mese</t>
  </si>
  <si>
    <t>Acqua in</t>
  </si>
  <si>
    <t>UBG/PO/PPI</t>
  </si>
  <si>
    <t>liquame</t>
  </si>
  <si>
    <t>% di el. nutritivi provenienti dai liquami</t>
  </si>
  <si>
    <t>liquida</t>
  </si>
  <si>
    <t>del</t>
  </si>
  <si>
    <t>Liquame</t>
  </si>
  <si>
    <t>suino</t>
  </si>
  <si>
    <t>Prod. tot.</t>
  </si>
  <si>
    <t>Tenori dei liquami (kg/m³)</t>
  </si>
  <si>
    <t>(campi)</t>
  </si>
  <si>
    <t>(prati)</t>
  </si>
  <si>
    <t>El. nutritivi complessivi presenti nei liquami (kg)</t>
  </si>
  <si>
    <t>Acqua per</t>
  </si>
  <si>
    <t>pulizia</t>
  </si>
  <si>
    <t>stalla+cura</t>
  </si>
  <si>
    <t>Fabbisogno d'acqua per UBG</t>
  </si>
  <si>
    <t>Quota estiva</t>
  </si>
  <si>
    <t>Quota invernale</t>
  </si>
  <si>
    <t>Quantità complessiva di elementi nutritivi (kg)</t>
  </si>
  <si>
    <t>Produzione di liquami non diluiti (m³)</t>
  </si>
  <si>
    <t>Apporto d'acqua per la produzione animale (m³)</t>
  </si>
  <si>
    <t>Apporto d'acqua secondo il modulo B (m³)</t>
  </si>
  <si>
    <t>Correzione libera</t>
  </si>
  <si>
    <t>Produzione complessiva di liquami diluiti (m³)</t>
  </si>
  <si>
    <t>Tenori di elementi nutritivi presenti nei liquami diluiti</t>
  </si>
  <si>
    <t>(kg/m³)</t>
  </si>
  <si>
    <t>Fossa per liquami 2</t>
  </si>
  <si>
    <t>Fossa pe liquami 3</t>
  </si>
  <si>
    <t>Concimaia 1</t>
  </si>
  <si>
    <t>Tenori di el. nutritivi nel letame (kg/t)</t>
  </si>
  <si>
    <t>El. nutritivi complessivi presenti nel letame (kg)</t>
  </si>
  <si>
    <t>Produzione totale di letame (t)</t>
  </si>
  <si>
    <t>Resti presenti in mangiatoia (t)</t>
  </si>
  <si>
    <t>Produzione complessiva di letame, resti di foraggiamento compresi</t>
  </si>
  <si>
    <t>Tenori di elementi nutritivi presenti nel letame</t>
  </si>
  <si>
    <t>(kg/t)</t>
  </si>
  <si>
    <t>Concimaia 2</t>
  </si>
  <si>
    <t>- colt. erbacee pieno campo</t>
  </si>
  <si>
    <t>- superfici prative</t>
  </si>
  <si>
    <t>Ore di manodopera (hMO) e di forza di trazione (hT) necessarie</t>
  </si>
  <si>
    <t>Ore di manodop. (hMO)</t>
  </si>
  <si>
    <t>per tutti i lavori</t>
  </si>
  <si>
    <t>delle quali per la</t>
  </si>
  <si>
    <t>gestione e i</t>
  </si>
  <si>
    <t>lavori complementari</t>
  </si>
  <si>
    <t>Ore di trattore (hT)</t>
  </si>
  <si>
    <t xml:space="preserve">Livello di </t>
  </si>
  <si>
    <t>Attività gestionali supplementari non atribuibili a specifici settori aziendali (PER/PI/BIO)</t>
  </si>
  <si>
    <t>Lavori domestici</t>
  </si>
  <si>
    <t>Cura dei bambini</t>
  </si>
  <si>
    <t>di cui per i lavori domestici</t>
  </si>
  <si>
    <t>Forza lavoro</t>
  </si>
  <si>
    <t>Fattore di conversione</t>
  </si>
  <si>
    <t>Disponibilità annua di hMO</t>
  </si>
  <si>
    <t>Fabbisogno annuo di hMO</t>
  </si>
  <si>
    <t>Anno di</t>
  </si>
  <si>
    <t>costruz.</t>
  </si>
  <si>
    <t>acquisto</t>
  </si>
  <si>
    <t>Quota in</t>
  </si>
  <si>
    <t>Prezzo di</t>
  </si>
  <si>
    <t>VS*</t>
  </si>
  <si>
    <t>Sostituzione</t>
  </si>
  <si>
    <t>entro i 6 anni</t>
  </si>
  <si>
    <t>succ. (CHF)</t>
  </si>
  <si>
    <t>Livello</t>
  </si>
  <si>
    <t>d'usura</t>
  </si>
  <si>
    <t>(UL/a**)</t>
  </si>
  <si>
    <t>per UL</t>
  </si>
  <si>
    <t>Equipaggiamento supplementare</t>
  </si>
  <si>
    <t>Botte a pressione per liquami</t>
  </si>
  <si>
    <t>Imballatrice</t>
  </si>
  <si>
    <t>Impianti fissi</t>
  </si>
  <si>
    <t>Fienile ventilato</t>
  </si>
  <si>
    <t>Gru per movimentazione fieno</t>
  </si>
  <si>
    <t>Distributore telescopico fieno</t>
  </si>
  <si>
    <t>Miscelatore fossa per liquami</t>
  </si>
  <si>
    <t>(B) Somma relativa alle installazioni fisse</t>
  </si>
  <si>
    <t>Veicoli a motore, marca, kW (CV)</t>
  </si>
  <si>
    <t>(C) Somma relativa ai veicoli a motore</t>
  </si>
  <si>
    <t>Somma meccanizz. e impianti fissi A+B+C</t>
  </si>
  <si>
    <t>Ripartizione dei km percorsi in automobile</t>
  </si>
  <si>
    <t>Att. aziendali</t>
  </si>
  <si>
    <t>Att. accessorie</t>
  </si>
  <si>
    <t>Att. Extra-aziendali</t>
  </si>
  <si>
    <t>Costi/km (CHF)</t>
  </si>
  <si>
    <t>km complessivi</t>
  </si>
  <si>
    <t>Lavori eseguiti da terzi</t>
  </si>
  <si>
    <t>e macchinari noleggiati</t>
  </si>
  <si>
    <t>Lavori eseguiti per terzi e macchinari noleggiati a terzi</t>
  </si>
  <si>
    <t>UL/a</t>
  </si>
  <si>
    <t>CHF/UL</t>
  </si>
  <si>
    <t>Somma CHF</t>
  </si>
  <si>
    <t>Sistemi di detenzione</t>
  </si>
  <si>
    <t>del bestiame:</t>
  </si>
  <si>
    <t>Stabulazione fissa:</t>
  </si>
  <si>
    <t>UBG; stalla con griglia post. (liquame completo)</t>
  </si>
  <si>
    <t>UBG; stalla con canaletta per il letame</t>
  </si>
  <si>
    <t>UBG; vecchia stalla delle regioni di montagna</t>
  </si>
  <si>
    <t>Stabulazione libera:</t>
  </si>
  <si>
    <t>UBG; stalla con sup. unica su lettiera profonda</t>
  </si>
  <si>
    <t>UBG; stalla con 2 settori (lettiera profonda e</t>
  </si>
  <si>
    <t>UBG; stalla con più settori</t>
  </si>
  <si>
    <t>UBG; stalla con cuccette (vacche da latte) o</t>
  </si>
  <si>
    <t>pavimento grigliato (bovino da ingrasso, rimonta)</t>
  </si>
  <si>
    <t>UBG; StabLIb comune o in box singolo (su lettiera)</t>
  </si>
  <si>
    <t>UBG; cuccetta allungata su lettiera</t>
  </si>
  <si>
    <t>UBG; stalla con superficie unica su</t>
  </si>
  <si>
    <t>lettiera profonda (solo letame)</t>
  </si>
  <si>
    <t>UBG; semplice riparo sul pascolo</t>
  </si>
  <si>
    <t>PSI; grigliato integrale o parziale, box parto</t>
  </si>
  <si>
    <t>e corsia di raccolta delle deiezioni</t>
  </si>
  <si>
    <t xml:space="preserve">PSI; stalla su lettiera prof. con corsia di raccolta </t>
  </si>
  <si>
    <t>delle deiezioni; stalla su lettiera profonda e area</t>
  </si>
  <si>
    <t>di foraggiamento su grigliato o pavimento in duro</t>
  </si>
  <si>
    <t>PSI; stalla su lettiera profonda a fronte aperto</t>
  </si>
  <si>
    <t>PGO; allevamento in voliera</t>
  </si>
  <si>
    <t>PGO; allevamento su grigliato o fossa di raccolta</t>
  </si>
  <si>
    <t>N° unità presenti in inverno</t>
  </si>
  <si>
    <t>Volume per lo stoccaggio del fieno (fienile)</t>
  </si>
  <si>
    <t>Fabbisogno di fieno</t>
  </si>
  <si>
    <t>q SS x fabbisogno di volume</t>
  </si>
  <si>
    <t>m³/q SS</t>
  </si>
  <si>
    <t>Volume necessario per lo stoccaggio del fieno (senza volumi di servizio)</t>
  </si>
  <si>
    <t>Disponibile:</t>
  </si>
  <si>
    <t>Mancante:</t>
  </si>
  <si>
    <t>Volume per lo stoccaggio della paglia</t>
  </si>
  <si>
    <t>Fabbisogno di paglia</t>
  </si>
  <si>
    <t>Volume necessario per lo stoccaggio della paglia (senza volumi di servizio)</t>
  </si>
  <si>
    <t>Volume per lo stoccaggio del foraggio insilato</t>
  </si>
  <si>
    <t>Insilato d'erba per l'inverno</t>
  </si>
  <si>
    <t>Insilato d'erba per l'estate</t>
  </si>
  <si>
    <t>Volume necessario per lo stoccaggio del foraggio insilato</t>
  </si>
  <si>
    <t>q SS x vol. lordo di stocc.</t>
  </si>
  <si>
    <t>Volume per lo stoccaggio dei liquami (volume della fossa per liquami)</t>
  </si>
  <si>
    <t xml:space="preserve">Volume necessario per lo stoccaggio dei liquami durante </t>
  </si>
  <si>
    <t>Volume per lo stoccaggio del letame (volume della concimaia)</t>
  </si>
  <si>
    <t>Produzione di letame in inverno</t>
  </si>
  <si>
    <t>Volume necessario per la manutenzione, la riparazione e il ricovero dei macchinari</t>
  </si>
  <si>
    <t>Volume necessario per l'officina</t>
  </si>
  <si>
    <t>Volume necessario per l'hangar macchinari</t>
  </si>
  <si>
    <t>Unità/settore produttivo</t>
  </si>
  <si>
    <t>importo</t>
  </si>
  <si>
    <t>Prodotto lordo/unità</t>
  </si>
  <si>
    <t>Costi specifici/unità</t>
  </si>
  <si>
    <t>Utile lordo/Unità</t>
  </si>
  <si>
    <t>Utile lordo vacca da latte con rimonta</t>
  </si>
  <si>
    <t>Somma UBG</t>
  </si>
  <si>
    <t>Prodotto lordo</t>
  </si>
  <si>
    <t>Importo/CHF</t>
  </si>
  <si>
    <t>CHF/UGB</t>
  </si>
  <si>
    <t>Latte: vendita 1 + ec. domestica</t>
  </si>
  <si>
    <t>Latte: vendita 2</t>
  </si>
  <si>
    <t>Vendita vacca in produzione</t>
  </si>
  <si>
    <t>Vendita vacca a fine carriera</t>
  </si>
  <si>
    <t>Vendita manza &gt; 2 anni</t>
  </si>
  <si>
    <t>Vendita manzetta 1-2 anni</t>
  </si>
  <si>
    <t>Vendita toro da rimonta</t>
  </si>
  <si>
    <t>Vendita toro da riproduzione</t>
  </si>
  <si>
    <t>Vendita vitello da rimonta &lt;= 160 giorni (F+M)</t>
  </si>
  <si>
    <t>Vendita vitello da rimonta 160-365 giorni (F+M)</t>
  </si>
  <si>
    <t>Vendita bovino da ingrasso</t>
  </si>
  <si>
    <t>Bovino in pensione</t>
  </si>
  <si>
    <t>Entrate diverse</t>
  </si>
  <si>
    <t>Costi specifici</t>
  </si>
  <si>
    <t>Acquisto vacca</t>
  </si>
  <si>
    <t>Acquisto manza &gt; 2 anni</t>
  </si>
  <si>
    <t>Acquisto manzetta 1-2 anni</t>
  </si>
  <si>
    <t>Acquisto toro da rimonta</t>
  </si>
  <si>
    <t>Acquisto toro da riproduzione</t>
  </si>
  <si>
    <t>Acquisto vitello da rimonta &lt;= 160 giorni (F+M)</t>
  </si>
  <si>
    <t>Acquisto vitello da rimonta 160-365 giorni (F+M)</t>
  </si>
  <si>
    <t>Acquisto vitello da ingrasso</t>
  </si>
  <si>
    <t>Acquisto rimonta da ingr. &lt;= 160 gg (F+M)</t>
  </si>
  <si>
    <t>Acquisto rimonta da ingr. &gt; 160 gg (F+M)</t>
  </si>
  <si>
    <t>Foraggio concentrato per vacca da latte</t>
  </si>
  <si>
    <t>Foraggio concentrato per altre categorie di bestiame</t>
  </si>
  <si>
    <t>Veterinario, medicinali</t>
  </si>
  <si>
    <t>Assicurazione, spese diverse</t>
  </si>
  <si>
    <t>Monta, inseminazione</t>
  </si>
  <si>
    <t>UL vacca da latte senza costi per l'acquisto/affitto del contingente lattiero</t>
  </si>
  <si>
    <t>Affitto quantità di latte supplementare</t>
  </si>
  <si>
    <t>Ammortamento del contingente lattiero acquistato</t>
  </si>
  <si>
    <t>Somma dei costi specifici</t>
  </si>
  <si>
    <t>vitello</t>
  </si>
  <si>
    <t>kg/capo</t>
  </si>
  <si>
    <t>Costi specifici dei foraggi grezzi</t>
  </si>
  <si>
    <t>Elenco dettagliato</t>
  </si>
  <si>
    <t>Costi specifici (CHF/ha)</t>
  </si>
  <si>
    <t>Semente</t>
  </si>
  <si>
    <t>Importo/ha</t>
  </si>
  <si>
    <t>Dati riassuntivi</t>
  </si>
  <si>
    <t>Noleggio macchinari</t>
  </si>
  <si>
    <t>Somma dei costi specifici foraggio grezzo</t>
  </si>
  <si>
    <t>Consigli d'utilizzo</t>
  </si>
  <si>
    <t xml:space="preserve"> In base a quanto riportato nel foglio «Generale» l'azienda si trova nella :</t>
  </si>
  <si>
    <t>Caselle verdi</t>
  </si>
  <si>
    <t>Caselle gialle</t>
  </si>
  <si>
    <t>Caselle bianche</t>
  </si>
  <si>
    <t>Elenchi a discesa</t>
  </si>
  <si>
    <t>rilevamento dati</t>
  </si>
  <si>
    <t>Iter da seguire</t>
  </si>
  <si>
    <t>Principio di base: i dati di questo foglio devono corrispondere a quelli riportati in CHBZ!</t>
  </si>
  <si>
    <t>2. Parte A: consumo di foraggio grezzo e concentrato (fabbisogno)</t>
  </si>
  <si>
    <t xml:space="preserve">    - Inserisci tutto il bestiame che consuma foraggio grezzo (foglio «Bestiame»)</t>
  </si>
  <si>
    <t xml:space="preserve">    - Inserisci il foraggio concentrato consumato annualmente in azienda (estivazione esclusa)</t>
  </si>
  <si>
    <t xml:space="preserve">      da ogni categoria di bestiame, in kg di SF/unità (numero di animali corretto) (foglio «PLCSI»)</t>
  </si>
  <si>
    <t xml:space="preserve">    - Estivazione:</t>
  </si>
  <si>
    <t xml:space="preserve">          - durante l'estivazione, si possono distribuire foraggi concentrati solo a vacche</t>
  </si>
  <si>
    <t xml:space="preserve">             capre e pecore in lattazione (inserisci le quantità effettive)</t>
  </si>
  <si>
    <t xml:space="preserve">    - Le definizioni riportate nell'all. 5 dell’OPD valgono anche per</t>
  </si>
  <si>
    <t xml:space="preserve">      i foraggi grezzi e i foraggi concentrati distribuiti durante l'estivazione</t>
  </si>
  <si>
    <t>3. Parte B: produzione di foraggio grezzo</t>
  </si>
  <si>
    <t xml:space="preserve">    - Inserisci superfici e rese delle colture (foglio «Superfici»)</t>
  </si>
  <si>
    <t xml:space="preserve">    - Le rese massime di prati e pascoli sono limitate</t>
  </si>
  <si>
    <t xml:space="preserve">    - Se le rese annunciate superano questi valori massimi, è necessario commissionare una stima a un esperto del settore</t>
  </si>
  <si>
    <t>4. Parte C: ritiro e cessione di foraggio grezzo</t>
  </si>
  <si>
    <t xml:space="preserve">    - Inserisci ritiri e cessioni di foraggio grezzo</t>
  </si>
  <si>
    <t>5. Informazioni complementari</t>
  </si>
  <si>
    <t xml:space="preserve">   - Inserisci dati per calcolare la densità effettiva di animali</t>
  </si>
  <si>
    <t xml:space="preserve">   - I dati compaiono automaticamente</t>
  </si>
  <si>
    <t xml:space="preserve">   - In caso si coltivino superfici all'estero, inserisci il dato corrispondente nell'ultima riga in basso e correggi nella prima in alto</t>
  </si>
  <si>
    <t>5.  Parte D: bilancio foraggero</t>
  </si>
  <si>
    <t xml:space="preserve">    - Il bilancio foraggero indica, per ogni zona di produzione, se le esigenze poste dalla PLCSI</t>
  </si>
  <si>
    <t xml:space="preserve">      in fatto di % nella razione foraggera sono rispettate o meno:</t>
  </si>
  <si>
    <t xml:space="preserve">      verde = esigenze rispettate</t>
  </si>
  <si>
    <t xml:space="preserve">      rosso = esigenze non rispettate</t>
  </si>
  <si>
    <t>Indicazioni:</t>
  </si>
  <si>
    <t>Questo strumento serve da giustificativo e si basa su documenti dell'8.4.2013</t>
  </si>
  <si>
    <t>in consultazione. La versione finale sarà disponibile una volta entrata in</t>
  </si>
  <si>
    <t>vigore l'Ordinanza sui pagamenti diretti</t>
  </si>
  <si>
    <t>Dopo l'entrata in vigore dell'OPD 2014-2017, i fornitori di programmi informatici</t>
  </si>
  <si>
    <t>potranno inserire questo bilancio foraggero nei loro prodotti.</t>
  </si>
  <si>
    <t>Bilancio foraggero per il calcolo della PLCSI (Produzione</t>
  </si>
  <si>
    <t>di latte e carne dalla superficie inerbita</t>
  </si>
  <si>
    <t>Zona di montagna I</t>
  </si>
  <si>
    <t>Zona di montagna II</t>
  </si>
  <si>
    <t>Zona di montagna III</t>
  </si>
  <si>
    <t>Zona di montagna IV</t>
  </si>
  <si>
    <t>Superfici all'estero</t>
  </si>
  <si>
    <t>Superficie SPB eccessiva</t>
  </si>
  <si>
    <t>Differenza di superficie pari a:</t>
  </si>
  <si>
    <t>Esigenze PER non rispettate</t>
  </si>
  <si>
    <t>Esigenze PER rispettate</t>
  </si>
  <si>
    <t>Parte A: consumo di for. grezzo e concentrato (fabb.)</t>
  </si>
  <si>
    <t>Consumo eccessivo di foraggio grezzo!</t>
  </si>
  <si>
    <t>Foraggio concentrato per il betiame inserito nella 1a riga</t>
  </si>
  <si>
    <t>Dati inseriti ≠ da quelli di CHBZ!</t>
  </si>
  <si>
    <t>corrispondente a</t>
  </si>
  <si>
    <t>Bovino da ingrasso &gt; 160 gg</t>
  </si>
  <si>
    <t>Vai alle spiegazioni</t>
  </si>
  <si>
    <t>Torna al bilancio foraggero</t>
  </si>
  <si>
    <t>Deduz./</t>
  </si>
  <si>
    <t>suppl.</t>
  </si>
  <si>
    <t>Consumo di</t>
  </si>
  <si>
    <t>foraggio concentrato</t>
  </si>
  <si>
    <t>kg SF/q</t>
  </si>
  <si>
    <t>N°/capo</t>
  </si>
  <si>
    <t>giornalieri</t>
  </si>
  <si>
    <t>Consumo durante l'estivazione di</t>
  </si>
  <si>
    <t>for. grezzo</t>
  </si>
  <si>
    <t>for. conc.</t>
  </si>
  <si>
    <t>Bestiame che consuma sia foraggio grezzo sia concentrato</t>
  </si>
  <si>
    <t>Altra vacca</t>
  </si>
  <si>
    <t>Vacca madre (VM) pesante &gt;= 600 kg</t>
  </si>
  <si>
    <t>Vacca madre leggera = 450 kg</t>
  </si>
  <si>
    <t>Vacca nutrice, 2 vitelli/anno (vitelli esclusi)</t>
  </si>
  <si>
    <t>Vitello da ingrasso 50-200 kg</t>
  </si>
  <si>
    <t>Vitello leggero di VM &gt; 160 gg, &lt; 200 kg PV</t>
  </si>
  <si>
    <t>Vitello medio di VM &gt; 160 gg, 200-250 kg PV</t>
  </si>
  <si>
    <t>Vitello pesante di VM &gt; 160 gg, &gt; 250 kg PV</t>
  </si>
  <si>
    <t>Bovino da ingrasso, intensivo, 65-520 kg</t>
  </si>
  <si>
    <t>Vitello da ingrasso &lt; 160 giorni</t>
  </si>
  <si>
    <t>Bovino da ingrasso intensivo &gt; 160 giorni</t>
  </si>
  <si>
    <t>Bovino da ingrasso al pascolo &gt; 160 giorni</t>
  </si>
  <si>
    <t>Bovino da ingrasso con finissaggio int. &gt; ± 300 kg PV</t>
  </si>
  <si>
    <t>Toro da riproduzione</t>
  </si>
  <si>
    <t>Animali che consumano solo foraggio grezzo (nessun foraggio concentrato)</t>
  </si>
  <si>
    <t>Giumenta da riproduzione (incluso puledro)</t>
  </si>
  <si>
    <t>Giumenta (incluso puledro), avena come FC (max 700 kg)</t>
  </si>
  <si>
    <t xml:space="preserve">Equino &gt; 3 anni, &gt; 148 cm </t>
  </si>
  <si>
    <t>Puledro 0,5-3 anni</t>
  </si>
  <si>
    <t>Mulo o bardotto di qualsiasi età</t>
  </si>
  <si>
    <t>Capra (inclusi capretti e parte del becco)</t>
  </si>
  <si>
    <t>Pecora da carne (inclusi agnelli e parte dell’ariete)</t>
  </si>
  <si>
    <t>Agnello e capretto da ingrasso al pascolo</t>
  </si>
  <si>
    <t>Pecora da latte (inclusi agnelli e parte dell’ariete)</t>
  </si>
  <si>
    <t>Daino di qualsiasi età (madre e piccolo = 2 animali)</t>
  </si>
  <si>
    <t>Cervo di qualsiasi età (madre e piccolo = 2 animali)</t>
  </si>
  <si>
    <t>Wapiti di qualsiasi età (madre e piccolo = 2 animali)</t>
  </si>
  <si>
    <t>Bisonte &lt; 900 giorni</t>
  </si>
  <si>
    <t>di cui</t>
  </si>
  <si>
    <t>foraggio prativo</t>
  </si>
  <si>
    <t>Coniglia madre (incl. coniglietti &lt;±35 gg)</t>
  </si>
  <si>
    <t>Struzzo &gt; 13 mesi</t>
  </si>
  <si>
    <t>Struzzo &lt; 13 mesi</t>
  </si>
  <si>
    <t xml:space="preserve">Suinetto svezzato (8-26 kg PV, 9,61 cicli) </t>
  </si>
  <si>
    <t>Suino senza suinetti</t>
  </si>
  <si>
    <t>Il foraggio grezzo prodotto sulla superficie inerbita non può superare il consumo complessivo di foraggio grezzo</t>
  </si>
  <si>
    <t>Azienda annuale</t>
  </si>
  <si>
    <t>A1: consumo complessivo di foraggio grezzo (insieme del bestiame aziendale)</t>
  </si>
  <si>
    <t xml:space="preserve">A3: consumo di foraggio prativo da parte di altre categorie di bestiame </t>
  </si>
  <si>
    <t>A4: consumo foraggio concentrato delle categorie di bestiame considerate per il contributo PLCSI</t>
  </si>
  <si>
    <t>A7: consumo foraggio concentrato delle categorie di bestiame considerate per il contributo PLCSI</t>
  </si>
  <si>
    <t>da compagnia</t>
  </si>
  <si>
    <t>secondo</t>
  </si>
  <si>
    <t>Parte B: produzione di foraggio grezzo</t>
  </si>
  <si>
    <t>Bilancio foraggero (foraggio grezzo) non equilibrato!</t>
  </si>
  <si>
    <t>1 = cessione</t>
  </si>
  <si>
    <t>2 = ritiro</t>
  </si>
  <si>
    <t>3 = al di fuori della SupFor</t>
  </si>
  <si>
    <t>Paglia aziendale impiegata come foraggio</t>
  </si>
  <si>
    <t>Foglie di barbabietola aziendali impiegate come foraggio</t>
  </si>
  <si>
    <t>Prato e pascolo</t>
  </si>
  <si>
    <t>poco intensivo (1-3  sfruttamenti)</t>
  </si>
  <si>
    <t>mediamente intensivo (1-5 sfruttamenti)</t>
  </si>
  <si>
    <t>intensivo (2-6 sfruttamenti)</t>
  </si>
  <si>
    <t>Superficie investita a coltura intercalare</t>
  </si>
  <si>
    <t>B1: produzione complessiva di foraggio grezzo</t>
  </si>
  <si>
    <t>B2: produzione di foraggio grezzo prativo (da prati e pascoli)</t>
  </si>
  <si>
    <t>B3: produzione di foraggio grezzo non prativo</t>
  </si>
  <si>
    <t>Resa massima superata!</t>
  </si>
  <si>
    <t>Dati necessari per calcolare il carico minimo di bestiame</t>
  </si>
  <si>
    <t>Sup. prativa permanente</t>
  </si>
  <si>
    <t>Sup. prativa temporanea</t>
  </si>
  <si>
    <t>Parte C: ritiro e cessione di foraggio grezzo</t>
  </si>
  <si>
    <t>Consumo di foraggio grezzo in azienda</t>
  </si>
  <si>
    <t>Tipo di foraggio</t>
  </si>
  <si>
    <t>Erba fresca</t>
  </si>
  <si>
    <t>Erba disidratata (pellet)</t>
  </si>
  <si>
    <t>Insilato di cereali e leguminose</t>
  </si>
  <si>
    <t>N° max di UBG per ha di mais o di barbiabietola da foraggio</t>
  </si>
  <si>
    <t>Mais CCM (ingrasso bovino)</t>
  </si>
  <si>
    <t>Radici di indivia scarola</t>
  </si>
  <si>
    <t>Residui della lavorazione di frutta e ortaggi</t>
  </si>
  <si>
    <t>Trebbia di birreria  fresca o insilata</t>
  </si>
  <si>
    <t>Sottoprodotto di molitura/pulizia/essiccazione</t>
  </si>
  <si>
    <t>C1: somma delle cessioni di foraggio grezzo prativo (da prati e pascoli)</t>
  </si>
  <si>
    <t>C2: somma delle cessioni di foraggio grezzo non prativo</t>
  </si>
  <si>
    <t>C1: somma dei ritiri di foraggio grezzo prativo (da prati e pascoli)</t>
  </si>
  <si>
    <t>C2: somma dei ritiri di foraggio grezzo non prativo</t>
  </si>
  <si>
    <t>C5: produzione di foraggio grezzo al di fuori della superficie foraggera</t>
  </si>
  <si>
    <t>C6: somma dei sottoprodotti provenienti dalla trasformazione delle derrate alimentari</t>
  </si>
  <si>
    <t>C1 e C2 non corrispondono alle quantità riportate in CHBZ!</t>
  </si>
  <si>
    <t>C3 e C4 non corrispondono alle quantità riportate in CHBZ!</t>
  </si>
  <si>
    <t>C5 non corrispnde alle quantità riportata in CHBZ!</t>
  </si>
  <si>
    <t>Perdite e margine d'errore non corrispondono</t>
  </si>
  <si>
    <t>a quanto riportato in CHBZ!</t>
  </si>
  <si>
    <t>Parte D: bilancio foraggero</t>
  </si>
  <si>
    <t>[+] Consumo di foraggio durante l'estivazione</t>
  </si>
  <si>
    <t xml:space="preserve">[+] Ritiro </t>
  </si>
  <si>
    <t>[+] Foraggio prodotti nella zona d'estivazione</t>
  </si>
  <si>
    <t>[-] Cessione</t>
  </si>
  <si>
    <t>[-] Foraggio grezzo per altre categorie di bestiame</t>
  </si>
  <si>
    <t>complessivo</t>
  </si>
  <si>
    <t>For. grezzo prativo</t>
  </si>
  <si>
    <t>(da prati e pascoli)</t>
  </si>
  <si>
    <t>For. grezzo non prativo</t>
  </si>
  <si>
    <t>(grezzo e non essiccato)</t>
  </si>
  <si>
    <t>(da sottoprodotti)</t>
  </si>
  <si>
    <t>Foraggio concentrato</t>
  </si>
  <si>
    <t>(A4+A7) (SS)</t>
  </si>
  <si>
    <t>UBGFG/SupInerbita</t>
  </si>
  <si>
    <t>Carico di bestiame esistente (UBGFG/SupInerbita)</t>
  </si>
  <si>
    <t>Le % minime necessarie nella razione sono rispettate?</t>
  </si>
  <si>
    <t>Precisazone importante:</t>
  </si>
  <si>
    <t>Il bilancio foraggero non è ancora certificato dall'Ufficio federale dell'agricoltura.</t>
  </si>
  <si>
    <t>Non può essere utilizzato come giustificativo per il rispetto delle condizioni</t>
  </si>
  <si>
    <t>richieste nell'ambito del contributo PLCSI</t>
  </si>
  <si>
    <t>La versione valida è disponibile sul sito: www.focus-ap-pa.ch</t>
  </si>
  <si>
    <t>Superfici legate al carico minimo di bestiame</t>
  </si>
  <si>
    <t>Superfici non legate al carico minimo di bestiame</t>
  </si>
  <si>
    <t>Errore rilevato in CHBZ</t>
  </si>
  <si>
    <t>Il fornitore del software e la consulenta non assumono nessuna responsabilità per i possibili danni derivanti dall'uso del software</t>
  </si>
  <si>
    <t>Questo foglio di calcolo serve per verificare il rispetto delle esigenze richieste dal programma PLCSI nel quadro del bilancio foraggero</t>
  </si>
  <si>
    <t>Luogo e data</t>
  </si>
  <si>
    <t xml:space="preserve">del contributo PLCSI a valore di stima.  </t>
  </si>
  <si>
    <t>UBGFG presenti in azienda</t>
  </si>
  <si>
    <t>Esigenze della % di … nella razione</t>
  </si>
  <si>
    <t xml:space="preserve">  - foraggio grezzo prativo (da prati e pascoli)</t>
  </si>
  <si>
    <t xml:space="preserve">  - foraggio grezzo non prativo</t>
  </si>
  <si>
    <t xml:space="preserve">  - foraggio concentrato</t>
  </si>
  <si>
    <t xml:space="preserve">  - foraggio concentrato e sottoprodotti</t>
  </si>
  <si>
    <t xml:space="preserve">Il carico effettivo di bestiame consente di ricevere il </t>
  </si>
  <si>
    <t>% del contributo PLCSI</t>
  </si>
  <si>
    <t>Contributo PLCSI assegnato</t>
  </si>
  <si>
    <t>parzialmente</t>
  </si>
  <si>
    <t>interamente</t>
  </si>
  <si>
    <t>Non è possibile calcolare il contributo PLCSI</t>
  </si>
  <si>
    <t>Inserisci il numero di UBGFG della tua azienda</t>
  </si>
  <si>
    <t>Contributo PLCSI non assegnato</t>
  </si>
  <si>
    <t>% delle componenti (erba, concnetrati) della razione foraggera rispettate</t>
  </si>
  <si>
    <t>Norme relative al bestiame</t>
  </si>
  <si>
    <t>Rosso = esigenza non rispettata</t>
  </si>
  <si>
    <t>Contributi per il paesaggio rurale (CPR, art. 42-49 e allegato 7 OPD)</t>
  </si>
  <si>
    <t>Ripartizione della sup. tra le zone di produz.</t>
  </si>
  <si>
    <t xml:space="preserve"> * SAU con diritto ai contributi senza siepi né boschetti campestri e rivieraschi</t>
  </si>
  <si>
    <t xml:space="preserve">    e senza canapa, piante forestali, alberelli di Natale, vivai, piante ornamentali e serre con fondamenta fisse</t>
  </si>
  <si>
    <t>Ripartizione (CHF)</t>
  </si>
  <si>
    <t>Controlla la SAU con diritto ai contributi!</t>
  </si>
  <si>
    <t>Correzione per superfici coltivate all'estero</t>
  </si>
  <si>
    <t>Contributo di declività*</t>
  </si>
  <si>
    <t>I prati permanenti vanno falciati almeno una volta all'anno</t>
  </si>
  <si>
    <t>Contributo per le zone in forte pendenza</t>
  </si>
  <si>
    <t>&gt; 50 % di declività</t>
  </si>
  <si>
    <t>&gt; 30 % di declività (zone terrazzate)</t>
  </si>
  <si>
    <t>Contributo d'alpeggio (per l'azienda annuale)</t>
  </si>
  <si>
    <t>Info: Assenza in UGBFG del foglio «Bestiame» trasformate in CN</t>
  </si>
  <si>
    <t>Animali che consumano foraggio grezzo effettivamente estivati</t>
  </si>
  <si>
    <t>Somma dei contributi per il paesaggio rurale, senza il contributo d'estivazione</t>
  </si>
  <si>
    <t>Contributo d'estivazione</t>
  </si>
  <si>
    <t>Imp. (CHF/CN)</t>
  </si>
  <si>
    <t>Pecora (pecora da latte esclusa)</t>
  </si>
  <si>
    <t xml:space="preserve"> - pascolo a rotazione</t>
  </si>
  <si>
    <t xml:space="preserve"> - altri tipi di pascolo</t>
  </si>
  <si>
    <t>Altri animali che consumano foraggio grezzo (bisonti e cervi esclusi)</t>
  </si>
  <si>
    <t>Vacche munte, capre munte e pecore munte, con durata</t>
  </si>
  <si>
    <t>d'alpeggio tra 56 - 100 giorni (carico usuale espresso in UBGFG)</t>
  </si>
  <si>
    <t>Contributo supplementare per vacche munte, capre munte e pecore munte</t>
  </si>
  <si>
    <t>Somma dei contributi per il paesaggio rurale, conributo d'estivazione compreso</t>
  </si>
  <si>
    <t>Contributi per la sicurezza dell'approvvigionamento (CSA, art. 50-54 e allegato 7 OPD)</t>
  </si>
  <si>
    <t>Superfici considerate per i contributi: SAU, comprese le superfici nelle zone estere limitrofe gestite per tradizione (materie prime rinnovabili escluse)</t>
  </si>
  <si>
    <t>(kenaf, miscanto, ecc.), maggesi, strisce su superficie coltiva, gelsi per la bachicoltura, terreni da strame, siepi e boschetti campestri e rivieraschi</t>
  </si>
  <si>
    <t>Per i noci che nel 2013 erano vincolati da una durata minima di 6 anni saranno versati CHF 30/noce fino alla fine del periodo vincolato</t>
  </si>
  <si>
    <t>colture perenni</t>
  </si>
  <si>
    <t>Prato</t>
  </si>
  <si>
    <t>temporaneo</t>
  </si>
  <si>
    <t>SPB sulla</t>
  </si>
  <si>
    <t>sup. inerbita **</t>
  </si>
  <si>
    <t>Superficie minima richiesta dalle PER</t>
  </si>
  <si>
    <t>sulla SPB inerbita</t>
  </si>
  <si>
    <t xml:space="preserve">permanente al di </t>
  </si>
  <si>
    <t>Carico minimo per</t>
  </si>
  <si>
    <t>ha di sup, inerbita</t>
  </si>
  <si>
    <t>al di fuori della SPB</t>
  </si>
  <si>
    <t>UBGFG min</t>
  </si>
  <si>
    <t>Bestiame che consuma foraggio grezzo: effettivo complessivo, animali estivati compresi</t>
  </si>
  <si>
    <t xml:space="preserve">Carico min di bestiame raggiunto sulla sup. inerbita perm., SPB + SPB inerbita escluse </t>
  </si>
  <si>
    <t>Ripartizione della superficie tra le zone di produzione</t>
  </si>
  <si>
    <t>** SPB inerbita = prati permanenti estensivi e poco intensivi, pascoli permanenti estensivi e pascoli boschivi, nonché prati rivieraschi lungo i corsi d'acqua</t>
  </si>
  <si>
    <t>SPB = Superficie per la promozione della Biodiversità</t>
  </si>
  <si>
    <t>Importo (CHF/ha)</t>
  </si>
  <si>
    <t>Somma parz. (CHF)</t>
  </si>
  <si>
    <t>Somma (CHF)</t>
  </si>
  <si>
    <t>Contributo di base</t>
  </si>
  <si>
    <t>Superficie inerbita permanente al di fuori della SPB</t>
  </si>
  <si>
    <t>SPB inerbita (2)</t>
  </si>
  <si>
    <t>Graduazione (riduzione) del contributo per aziende con più di 60 ha di SAU</t>
  </si>
  <si>
    <t>Quota di superficie tra</t>
  </si>
  <si>
    <t>Contributo di base parziale</t>
  </si>
  <si>
    <t>Somma dei contributi di base</t>
  </si>
  <si>
    <t>contributo di base complessivo</t>
  </si>
  <si>
    <t>Correzione per le superfici coltive all'estero e per la zone edificabili che non danno diritto ai contributi</t>
  </si>
  <si>
    <t>Somma dei contributi per la sicurezza dell'approvvigionamento</t>
  </si>
  <si>
    <t xml:space="preserve">Contributo per le singole colture </t>
  </si>
  <si>
    <t>Colza, girasole e lino da olio</t>
  </si>
  <si>
    <t>Zucca per l'estrazione di olio, papavero e cartamo</t>
  </si>
  <si>
    <t>Pisello proteico e favino</t>
  </si>
  <si>
    <t>Lupino da foraggio e produzione di semente di graminacee e leguminose foraggere</t>
  </si>
  <si>
    <t>Barbabietola da zucchero destinata alla produzione di zucchero</t>
  </si>
  <si>
    <t>Correzione per le superfici coltive all'estero</t>
  </si>
  <si>
    <t>Somma dei contributi per le singole colture</t>
  </si>
  <si>
    <t>Contributi per la biodiversità (CBD, art. 55-60 e allegato 7 OPD)</t>
  </si>
  <si>
    <t>SBP</t>
  </si>
  <si>
    <t>Contributo per il</t>
  </si>
  <si>
    <t>livello qualitativo I</t>
  </si>
  <si>
    <t>Prato estensivo *</t>
  </si>
  <si>
    <t>Terreno da strame</t>
  </si>
  <si>
    <t>Prato poco intensivo</t>
  </si>
  <si>
    <t xml:space="preserve">Pascolo estensivo </t>
  </si>
  <si>
    <t>Pascolo estensivo e pascolo boschivo</t>
  </si>
  <si>
    <t>Maggese fiorito in ZP e ZC</t>
  </si>
  <si>
    <t>Maggese da rotazione in ZP e ZC</t>
  </si>
  <si>
    <t>Fascia coltiva estensiva in campicoltura</t>
  </si>
  <si>
    <t>Striscia su superficie coltiva da ZP a ZM II</t>
  </si>
  <si>
    <t>CHF/unità</t>
  </si>
  <si>
    <t>livello qualitativo II</t>
  </si>
  <si>
    <t>Vigneto con elevata biodiversità naturale</t>
  </si>
  <si>
    <t>Superficie inerbita e da strame ricca</t>
  </si>
  <si>
    <t>di specie nelle regioni d'estivazione</t>
  </si>
  <si>
    <t xml:space="preserve">Albero da frutto ad alto fusto </t>
  </si>
  <si>
    <t>Noce ***</t>
  </si>
  <si>
    <t>Le quote di superficie sono classificate nelle zona di produzione. Per modificare attiva la casella</t>
  </si>
  <si>
    <t>I contributi possono variare perché di competenza cantonale</t>
  </si>
  <si>
    <t>Somma per categoria</t>
  </si>
  <si>
    <t>Zona di montagna I e II</t>
  </si>
  <si>
    <t>Zona di montagna III e VI</t>
  </si>
  <si>
    <t>Da zona di pianura a zona di montagna II</t>
  </si>
  <si>
    <t>livello qualitativo III</t>
  </si>
  <si>
    <t>I contributi per il livello qualitativo III non entrano in vigore in 2016.</t>
  </si>
  <si>
    <t>Albero indigeno isolato e viale alberato</t>
  </si>
  <si>
    <t>Calcolo della limitazione dei contributi SPB Q I</t>
  </si>
  <si>
    <t>Superficie soglia (SO)</t>
  </si>
  <si>
    <t>Coeff. di limitazione</t>
  </si>
  <si>
    <t>(= SO/sup. determ.)</t>
  </si>
  <si>
    <t>Sup. avente livello qualitativo I + sup. vitata</t>
  </si>
  <si>
    <t xml:space="preserve">Superficie avente livello qualitativo II </t>
  </si>
  <si>
    <t>Superficie di base = Sup. agr. utile con diritto ai contributi, senza le superfici investite a vivaio, piante forestali, alberelli di Natale, piante ornamentali, canapa e</t>
  </si>
  <si>
    <t>serre con fondamenta fisse, siepi, boschetti campestri e rivier. (con bordo inerbito), colture ornam. annuali e perenni in campo aperto (p. es. fiori), nonché</t>
  </si>
  <si>
    <t>altre sup. coltive e prative senza diritto ai contributi (554, 594, 598, 698), ma con siepi e boschetti campestri e rivieraschi (con bordo inerbito) e</t>
  </si>
  <si>
    <t>nessuna riduzione</t>
  </si>
  <si>
    <t>compresa 1 ara/albero del livello qualitativo corrispondente ; vigneto con elevat biodiversità naturale</t>
  </si>
  <si>
    <t>senza contare né le superfici prative né i prati da strame ricchi di specie, situati nelle zone d'estivazione</t>
  </si>
  <si>
    <t>Verifica le superfici inserite!</t>
  </si>
  <si>
    <t>Somma dei contributi per la biodiversità prima della limitazione</t>
  </si>
  <si>
    <t>Riduzione effettiva dei contributi per il livello qualitativo I</t>
  </si>
  <si>
    <t>Controlla e, se necessario, correggi manualmente il valore «Superficie di base ****», calcolato automaticamente dai dati del foglio «Superfici»</t>
  </si>
  <si>
    <t>Il valore calcolato corrisponde alla somma delle superfici del foglio «Superfici» (campi coltivati+culture perenni, prati artificiali, superfici per la biodiversità, prati e pascoli senza superfici per la biodiversità) +  556,557,559,572,851 + siepi, boschetti campestri e rivieraschi Q1 + alberi Q1 (0.01 ha per albero). Esso dev'essere controllato e eventualmente corretto, affinché corrisponda alla definizione della superficie di base****.</t>
  </si>
  <si>
    <t>Contributi cant. e com. per la protezione della natura + contributo cant. per i terreni in pendenza</t>
  </si>
  <si>
    <t>Somma dei contributi per la biodiversità</t>
  </si>
  <si>
    <t>Contributo per la qualità del paesaggio (CQP, art. 63 e 64 e allegato 7 OPD)*</t>
  </si>
  <si>
    <t>Condizione: progetto interaziendale (vanno inseriti i soli contributi annuali ricorrenti)</t>
  </si>
  <si>
    <t>Definizione del progetto</t>
  </si>
  <si>
    <t>Importo (CHF/unità)</t>
  </si>
  <si>
    <t xml:space="preserve">* ha, CN secondo il carico usuale, unità, metro lineare, azienda </t>
  </si>
  <si>
    <t>Somma dei contributi per la qualità del paesaggio</t>
  </si>
  <si>
    <t>Contributi per i sistemi di produzione (CSP, art 65-76 e allegato 7 OPD)</t>
  </si>
  <si>
    <t>Importo (CHF)</t>
  </si>
  <si>
    <t>Coltura speciale</t>
  </si>
  <si>
    <t>Altre terre aperte</t>
  </si>
  <si>
    <t>Altre superfici agricole utili</t>
  </si>
  <si>
    <t>Girasole, pisello proteico, favino</t>
  </si>
  <si>
    <t>Carico minimo/ha</t>
  </si>
  <si>
    <t>Altra vacca (p. es. vacca madre)</t>
  </si>
  <si>
    <t>Altro suino senza suinetto</t>
  </si>
  <si>
    <t>Coniglio</t>
  </si>
  <si>
    <t>Vitello (bovino e bufalo) &lt;=160 giorni</t>
  </si>
  <si>
    <t>Contributo supplementare per vitello, bovino e bufalo (fino a 1 anno d'età)</t>
  </si>
  <si>
    <t>Altro suino senza suinetti</t>
  </si>
  <si>
    <t>Somma dei contributi per i sistemi di produzione</t>
  </si>
  <si>
    <t>Contributi per l’efficienza delle risorse (nazionali) (CER, art.77-82 e allegato 7 OPD)</t>
  </si>
  <si>
    <t>N° distribuzioni x</t>
  </si>
  <si>
    <t>Superficie di distribuzione con diritto ai contributi (n° di ha x n° di spand.)</t>
  </si>
  <si>
    <t>* tubi flessibili a strascico, assolcatori, interramento del liquame,</t>
  </si>
  <si>
    <t>iniezione del liquame in profondità. Max 4 distribuzioni/anno e parcella</t>
  </si>
  <si>
    <t>Semina su lettiera</t>
  </si>
  <si>
    <t>Contributo supplementare per la rinuncia a erbicidi</t>
  </si>
  <si>
    <t>Somma dei contributi annuali per l'efficienza delle risorse</t>
  </si>
  <si>
    <t>2. Irroratrici dotate di sistemi antideriva nelle colture perenni:</t>
  </si>
  <si>
    <t>(atomizzatori tangenziali), con limite massimo di 6'000 CHF</t>
  </si>
  <si>
    <t>Contributo unico per acquisto irroratrice</t>
  </si>
  <si>
    <t>con limite massimo di 170 CHF</t>
  </si>
  <si>
    <t>atomizzatori a flusso d'aria tangenziale e irroratrici a tunnel dotate di sistema di riciclo,</t>
  </si>
  <si>
    <t>con limite massimo di 10'000 CHF</t>
  </si>
  <si>
    <t>Somma dei contributi per l’efficienza delle risorse (nazionali)</t>
  </si>
  <si>
    <t>Contributi per l'efficienza delle risorse (regionali) ( art. 77 a/b e art. 62a LPAc)</t>
  </si>
  <si>
    <t>con limite massimo di 2'000 CHF</t>
  </si>
  <si>
    <t>Contr. per il foraggiamento scaglionato di suini a tenore ridotto di N</t>
  </si>
  <si>
    <t>Frutticoltura, viticoltura: rinuncia parziale agli erbicidi</t>
  </si>
  <si>
    <t>Frutticoltura, viticoltura: rinuncia totale agli erbicidi</t>
  </si>
  <si>
    <t xml:space="preserve">Frutticoltura, viticoltura: rinuncia parziale ai fungicidi </t>
  </si>
  <si>
    <t>Viticoltura: rinuncia totale ai fungicidi</t>
  </si>
  <si>
    <t>Barbabietola da zucchero: lotta meccanica alle malerbe dalla 4a foglia</t>
  </si>
  <si>
    <t>Barbabietola da zucchero: lotta meccanica alle malerbe dalla semina</t>
  </si>
  <si>
    <t>Barbabietola da zucchero: rinuncia totale agli erbicidi</t>
  </si>
  <si>
    <t xml:space="preserve">Barbabietola da zucchero: impiego ridotto di fungicidi e insetticidi </t>
  </si>
  <si>
    <t>Terre aperte: Rinuncia, totale o parziale, agli erbicidi dalla semina o</t>
  </si>
  <si>
    <t>dalla piantagione fino alla raccolta della coltura principale</t>
  </si>
  <si>
    <t>*** Vanno rispettate le condizioni ai sensi dell’articolo 82e OPD</t>
  </si>
  <si>
    <t>Somma dei contributi per l’efficienza delle risorse (regionali)</t>
  </si>
  <si>
    <t>Valori calcolati</t>
  </si>
  <si>
    <t>(pagina precedente)</t>
  </si>
  <si>
    <t>Riporto dei valori</t>
  </si>
  <si>
    <t>calcolati o di quelli</t>
  </si>
  <si>
    <t>adattati secondo le</t>
  </si>
  <si>
    <t>strutture dell'azienda</t>
  </si>
  <si>
    <t>di riferimento*</t>
  </si>
  <si>
    <t xml:space="preserve">Contributi per il paesaggio rurale ** </t>
  </si>
  <si>
    <t>Importo di base per ogni singola azienda, secondo l'ordinanza emessa</t>
  </si>
  <si>
    <t>dalla Sezione dell'agricoltura cantonale nell'estate 2014</t>
  </si>
  <si>
    <t>Calcolo del contributo di transizione</t>
  </si>
  <si>
    <t>Riduzione per il reddito imponibile CHF*</t>
  </si>
  <si>
    <t>Riduzione per la sostanza determinante CHF*</t>
  </si>
  <si>
    <t>* vedi fogli «USM» e «RID»</t>
  </si>
  <si>
    <t>Contributo di transizione effettivo (versato alle aziende)</t>
  </si>
  <si>
    <t>Riassunto dei pagamenti diretti</t>
  </si>
  <si>
    <t>Contributo (unico) per l'acquisto di macchinari, CER</t>
  </si>
  <si>
    <t>annuo</t>
  </si>
  <si>
    <t>Deduzione secondo il limite posto dalle USM (foglio «USM»)</t>
  </si>
  <si>
    <t xml:space="preserve">Somma dei pagamenti diretti </t>
  </si>
  <si>
    <t>Contributi attuali, compresi i contributi previsti</t>
  </si>
  <si>
    <t>dall'OCC, dall'OQE, d'estivazione,</t>
  </si>
  <si>
    <t>dagli art. 77a/b Lagr e 62a LPac</t>
  </si>
  <si>
    <t>contributi secondo l'art. 77a/b Lagr e l'art. 62a LPac</t>
  </si>
  <si>
    <t>- Superficie agricola utile con diritto ai contributi: SAU senza canapa, vivai forestali, alberelli di Natale, vivai,</t>
  </si>
  <si>
    <t xml:space="preserve">  piante ornamentali e serre con fondamenta fisse</t>
  </si>
  <si>
    <t>Numero minimo di colture (esigenze PER &gt; 3 ha TA)</t>
  </si>
  <si>
    <t>Importo minimo tra b) e c)</t>
  </si>
  <si>
    <t>Contributo una tantum per l'acquisto di macchinari nell'ambito delle CER</t>
  </si>
  <si>
    <t>Pagamenti diretti e altri contributi da riportare nel foglio «Riassunto» e «FluCas»</t>
  </si>
  <si>
    <t>I singoli coefficienti USM sono aggiornati in base ai progressi tecnici verificatisi dal 2004. Le unità di lavoro annuale, su cui</t>
  </si>
  <si>
    <t>si basano i coefficienti USM, sono ridotte da 2'800 a 2'600 ore. Nel 2016 si sono introdotti nuovi coefficienti USM.</t>
  </si>
  <si>
    <t>ha opp. UBG</t>
  </si>
  <si>
    <t>Coeff./unità</t>
  </si>
  <si>
    <t>Coltura speciale, escluso i vigneto in forte pendenza e terrazzato</t>
  </si>
  <si>
    <t>Vigneto in forte pendenza o terrazzato</t>
  </si>
  <si>
    <t>Vacca, pecora e capra da latte</t>
  </si>
  <si>
    <t>Suino da riproduzione</t>
  </si>
  <si>
    <t>Altro bestiame da reddito</t>
  </si>
  <si>
    <t xml:space="preserve">USM: Supplementi per il dir. fondiario rurale, l'affitto agr. e le misure concernenti </t>
  </si>
  <si>
    <t>carico normale</t>
  </si>
  <si>
    <t>ettaro (ha)</t>
  </si>
  <si>
    <t>ara (a)</t>
  </si>
  <si>
    <t>ora (h)</t>
  </si>
  <si>
    <t>Riporto delle USM di riferimento per i pagamenti diretti</t>
  </si>
  <si>
    <t>Vacca da latte in azienda d'estivazione propria</t>
  </si>
  <si>
    <t>Altro bestiame da reddito  in azienda d'estivazione propria</t>
  </si>
  <si>
    <t xml:space="preserve">Tunnel da 8 m e tunnel da 3 m </t>
  </si>
  <si>
    <t>Produzione di funghi in tunnel o edifici</t>
  </si>
  <si>
    <t>Produzione di champignon di Parigi in edifici</t>
  </si>
  <si>
    <t>Produzione di cavolo di Bruxelles in edifici</t>
  </si>
  <si>
    <t>Produzione di germogli di ortaggi e insalata in edifici</t>
  </si>
  <si>
    <t>Orticoltura professionale: serra con fondamenta</t>
  </si>
  <si>
    <t>fisse e tunnel per la produzione di piante in vaso</t>
  </si>
  <si>
    <t>Preparazione, stoccaggio e vendita dei</t>
  </si>
  <si>
    <t>prodotti agricoli aziendali</t>
  </si>
  <si>
    <t>Attività accessorie all'agricoltura</t>
  </si>
  <si>
    <t>(CHF)</t>
  </si>
  <si>
    <t>Somma delle USM, supplementi compresi</t>
  </si>
  <si>
    <t>Riduzione dei pagamenti diretti in funzione di reddito e sostanza</t>
  </si>
  <si>
    <t>Riduzioni dovute al reddito:</t>
  </si>
  <si>
    <t>- deduzione per gestore coniugato (50'000 CHF)</t>
  </si>
  <si>
    <t>= reddito determinante</t>
  </si>
  <si>
    <t>Riduzione per il reddito superiore a 80'000 CHF</t>
  </si>
  <si>
    <t>Riduzioni dovute alla sostanza:</t>
  </si>
  <si>
    <t>- deduzione per gestore coniugato (340'000 CHF)</t>
  </si>
  <si>
    <t>- deduzione per USM a)</t>
  </si>
  <si>
    <t>= sostanza determinante</t>
  </si>
  <si>
    <t>tra 800'000 e 1'000'000 CHF</t>
  </si>
  <si>
    <t>determinante supera 1'000'000 CHF</t>
  </si>
  <si>
    <t>Limitazione dei pagamenti diretti per USM</t>
  </si>
  <si>
    <t xml:space="preserve">Pagamenti diretti sottoposti alla limitazione per USM </t>
  </si>
  <si>
    <t>Somma dei contributi per il paesaggio rurale,</t>
  </si>
  <si>
    <t>senza il contributo d'estivazione</t>
  </si>
  <si>
    <t>Contributi per la biodiversità (senza contributi per l'interconness.)</t>
  </si>
  <si>
    <t>Limite superiore dei pagamenti diretti sottoposti a limitazione</t>
  </si>
  <si>
    <t>Limite (CHF  /USM)</t>
  </si>
  <si>
    <t>Pagamenti diretti sottoposti a limitazione effettivamente versati</t>
  </si>
  <si>
    <t>Riduzione complessiva dei pagamenti diretti</t>
  </si>
  <si>
    <t>Costi per edifici, migliorie fondiarie e impianti fissi</t>
  </si>
  <si>
    <t>Valore di</t>
  </si>
  <si>
    <t>acquisto (VA)</t>
  </si>
  <si>
    <t>sul VA</t>
  </si>
  <si>
    <t>Riparaz./manut.</t>
  </si>
  <si>
    <t>sul VS*</t>
  </si>
  <si>
    <t>Somma dei costi per l'abitazione</t>
  </si>
  <si>
    <t>Somma dei costi per gli edifici rurali</t>
  </si>
  <si>
    <t>Migliorie fondiarie</t>
  </si>
  <si>
    <t>Somma dei costi per le migliorie fondiarie</t>
  </si>
  <si>
    <t>Somma dei costi per impianti fissi</t>
  </si>
  <si>
    <t>Costi per i veicoli a motore</t>
  </si>
  <si>
    <t>Somma intermedia dei costi per i veicoli a motore</t>
  </si>
  <si>
    <t>Somma dei costi per i veicoli a motore</t>
  </si>
  <si>
    <t>Somma dei costi</t>
  </si>
  <si>
    <t>Costi per macchinari e attrezzi</t>
  </si>
  <si>
    <t>Somma parziale dei costi</t>
  </si>
  <si>
    <t>Costi per l'uso aziendale dell'automobile</t>
  </si>
  <si>
    <t>Lavori eseguiti da terzi e macchinari noleggiati</t>
  </si>
  <si>
    <t>Piccoli attrezzi e piccolo materiale</t>
  </si>
  <si>
    <t>Somma complessiva dei costi per macchinari e attrezzi</t>
  </si>
  <si>
    <t>*VS = Valore di sostituzione</t>
  </si>
  <si>
    <t>Assicurazioni (infortuni, RC, ecc.)</t>
  </si>
  <si>
    <t>Assicurazione mobiliare</t>
  </si>
  <si>
    <t>Altre assicurazioni e tasse</t>
  </si>
  <si>
    <t>Costi energetici (energia elettrica)</t>
  </si>
  <si>
    <t>Combustibile per il riscaldamento</t>
  </si>
  <si>
    <t>Altre energie e smaltimento rifiuti</t>
  </si>
  <si>
    <t>Telefono e media</t>
  </si>
  <si>
    <t>Somma dei costi aziendali generali</t>
  </si>
  <si>
    <t>Interessi e ammortamenti sui debiti</t>
  </si>
  <si>
    <t>Ipoteche e crediti d'investimento (prestiti)</t>
  </si>
  <si>
    <t>Somma interessi sui debiti</t>
  </si>
  <si>
    <t>Descrizione del bene affittato</t>
  </si>
  <si>
    <t>Terreno in affitto</t>
  </si>
  <si>
    <t>Affitto di una quota supplementare di latte</t>
  </si>
  <si>
    <t>Affitto d'immobili (CHF)</t>
  </si>
  <si>
    <t>Affitto di una quota suppl. di latte</t>
  </si>
  <si>
    <t>Terreni, ha</t>
  </si>
  <si>
    <t>Canone affitto/ha</t>
  </si>
  <si>
    <t>Terzi</t>
  </si>
  <si>
    <t>Somma degli affitti</t>
  </si>
  <si>
    <t>Valore locativo degli immobili aziendali</t>
  </si>
  <si>
    <t>Valore d'acquisto</t>
  </si>
  <si>
    <t>sulla base dei valori agricoli di riferimento</t>
  </si>
  <si>
    <t xml:space="preserve"> ± correzione secondo necessità</t>
  </si>
  <si>
    <t>Tasso</t>
  </si>
  <si>
    <t>da adatt. annual.</t>
  </si>
  <si>
    <t>sulla base dei valori di riferimento agricoli</t>
  </si>
  <si>
    <t>Somma del valore locativo degli immobili aziendali</t>
  </si>
  <si>
    <t xml:space="preserve"> + assicurazione malattia</t>
  </si>
  <si>
    <t>= somma dei costi</t>
  </si>
  <si>
    <t>x n° di mesi di lavoro</t>
  </si>
  <si>
    <t>= Costi per dipendente</t>
  </si>
  <si>
    <t>Oneri sociali del/i gestore/i</t>
  </si>
  <si>
    <t>Somma degli oneri sociali per persona</t>
  </si>
  <si>
    <t>Somma degli oneri sociali per il/i gestore/i</t>
  </si>
  <si>
    <t>Costi per il personale</t>
  </si>
  <si>
    <t>Costi per i dipendenti</t>
  </si>
  <si>
    <t>Contributi ordinari alla CP-2° pilastro</t>
  </si>
  <si>
    <t>Altri oneri sociali</t>
  </si>
  <si>
    <t>Calcolo del salario lordo</t>
  </si>
  <si>
    <t xml:space="preserve"> + salario in nat. (vitto+allogg.)</t>
  </si>
  <si>
    <t>= salario lordo</t>
  </si>
  <si>
    <t>Calcolo dei costi considerati nel risultato finale</t>
  </si>
  <si>
    <t xml:space="preserve"> + spese varie</t>
  </si>
  <si>
    <t xml:space="preserve"> + valore locativo dell'alloggio</t>
  </si>
  <si>
    <t xml:space="preserve"> + prestazioni in natura (benefit prodotti aziendali)</t>
  </si>
  <si>
    <t xml:space="preserve"> + premi della cassa pensione</t>
  </si>
  <si>
    <t>Deduzione di coordinamento</t>
  </si>
  <si>
    <t xml:space="preserve"> + prestazioni sociali</t>
  </si>
  <si>
    <t xml:space="preserve"> + assicurazione infortuni</t>
  </si>
  <si>
    <t xml:space="preserve"> + ass. perdita guadagno</t>
  </si>
  <si>
    <t>= Somma dei costi</t>
  </si>
  <si>
    <t>Somma dei costi per il personale</t>
  </si>
  <si>
    <t>Redditi accessori e partner con capitale proprio</t>
  </si>
  <si>
    <t>Reddito generato da attività accessorie e immobili aziendali</t>
  </si>
  <si>
    <t>Reddito generato da attività accessoria (conti 7'000)</t>
  </si>
  <si>
    <t>Entrate lorde</t>
  </si>
  <si>
    <t>Somma dei redditi generati da attività accessorie</t>
  </si>
  <si>
    <t>Reddito generato da immobili aziendali (conti 7'500)</t>
  </si>
  <si>
    <t>Reddito da affitto di locali aziendali</t>
  </si>
  <si>
    <t>Reddito da affitto di appartamenti</t>
  </si>
  <si>
    <t>Reddito da affitto di terreni</t>
  </si>
  <si>
    <t>Somma dei redditi generati da immobili</t>
  </si>
  <si>
    <t>Reddito generato da attività accessorie</t>
  </si>
  <si>
    <t>Prestazioni aziendali (prodotti)</t>
  </si>
  <si>
    <t>Quota costi auto: costi specifici</t>
  </si>
  <si>
    <t>Quota costi auto: ammortamento</t>
  </si>
  <si>
    <t>Att. finanz. extra-aziendali</t>
  </si>
  <si>
    <t>Altri redditi extra-aziendali</t>
  </si>
  <si>
    <t>Reddito accessorio generato da attività dipendente</t>
  </si>
  <si>
    <t>Somma dei redditi accessori generati da attività dipendente</t>
  </si>
  <si>
    <t>Indennità, rendite, prestazioni assicurative</t>
  </si>
  <si>
    <t>Indennità famigliari</t>
  </si>
  <si>
    <t>N° di figli</t>
  </si>
  <si>
    <t>per il 1° e il 2° figlio</t>
  </si>
  <si>
    <t>Indennità federale per i figli</t>
  </si>
  <si>
    <t>per ogni figlio dal 3° in poi</t>
  </si>
  <si>
    <t>Indennità federale per la formazione</t>
  </si>
  <si>
    <t>Indennità cantonali supplementari</t>
  </si>
  <si>
    <t>Rendite e/o prestazioni assicurative</t>
  </si>
  <si>
    <t>Somma di indennità, rendite, prestazioni assicurative</t>
  </si>
  <si>
    <t>Spese per il vitto</t>
  </si>
  <si>
    <t>Prestazoni aziendali in natura</t>
  </si>
  <si>
    <t>Imposte</t>
  </si>
  <si>
    <t>novità: ripresa automatica dei dati dai «Costi per il personale»</t>
  </si>
  <si>
    <t>Valore locativo della propria abitazione</t>
  </si>
  <si>
    <t>Importo forfettario</t>
  </si>
  <si>
    <t>CHF/UC</t>
  </si>
  <si>
    <t>di cui valore locativo della propria abitazione</t>
  </si>
  <si>
    <t>di cui prestazioni esterne e ammortamenti</t>
  </si>
  <si>
    <t>Somma dei consumi privati</t>
  </si>
  <si>
    <t>Valuta il consumo privato dettagliatamente o con modalità forfettaria!</t>
  </si>
  <si>
    <t>Reddito extra-aziendale</t>
  </si>
  <si>
    <t>Reddito da attività indip. extra-aziendali</t>
  </si>
  <si>
    <t>Reddito da investimenti finanziari</t>
  </si>
  <si>
    <t>Reddito da ec. domestica extra-aziendale</t>
  </si>
  <si>
    <t>Somma dei redditi extra-aziendali</t>
  </si>
  <si>
    <t xml:space="preserve">Patrimonio apportato e interessi del capitale proprio per partner </t>
  </si>
  <si>
    <t>Apporto di capitale proprio</t>
  </si>
  <si>
    <t>Attivi finanziari</t>
  </si>
  <si>
    <t>Raccolto invenduto</t>
  </si>
  <si>
    <t>Inventari</t>
  </si>
  <si>
    <t>Effettivo bestiame</t>
  </si>
  <si>
    <t>Macchinari e attrezzi</t>
  </si>
  <si>
    <t>Somma per singolo partner</t>
  </si>
  <si>
    <t>Somma del capitale proprio della comunità</t>
  </si>
  <si>
    <t>Tasso d'interesse</t>
  </si>
  <si>
    <t>Interesse calcolato sul capitale proprio/partner</t>
  </si>
  <si>
    <t>Somma degli interessi calcolati sul capitale proprio</t>
  </si>
  <si>
    <t>L'inserimento dell'utile lordo complessivo delle singole posizioni richiede l'attivazione della relativa casella!</t>
  </si>
  <si>
    <t>Settore aziendale (conti 3'000+4'000)</t>
  </si>
  <si>
    <t>di cui pre-</t>
  </si>
  <si>
    <t>staz. est.</t>
  </si>
  <si>
    <t>UL vacca da latte senza costi relativi al contingente</t>
  </si>
  <si>
    <t>Entrate e costi aggiuntivi</t>
  </si>
  <si>
    <t>Vendita di foraggio grezzo</t>
  </si>
  <si>
    <t>Costi legti al foraggio grezzo</t>
  </si>
  <si>
    <t>Entrate aziendali accessorie</t>
  </si>
  <si>
    <t>Lavori per terzi, locazione macchine</t>
  </si>
  <si>
    <t>Affitto edifici e/o terreni a terzi</t>
  </si>
  <si>
    <t>Entrate da investimenti finanziari aziendali</t>
  </si>
  <si>
    <t>Pagamenti diretti PA 14-17 (contributi per singole colture esclusi)</t>
  </si>
  <si>
    <t>Utile lordo aziendale 1</t>
  </si>
  <si>
    <t>Costi per affitti di immobili e terreni</t>
  </si>
  <si>
    <t>Manutenzione degli immobili aziendali</t>
  </si>
  <si>
    <t>Affittuario sì/no</t>
  </si>
  <si>
    <t>Costi per macchinari, trattori ed attrezzi</t>
  </si>
  <si>
    <t>Assicurazioni e tasse</t>
  </si>
  <si>
    <t>Energia e smaltimento rifiuti</t>
  </si>
  <si>
    <t>Amministrazione ed informatica</t>
  </si>
  <si>
    <t>EBITDA  - Reddito ante interessi, imposte e ammortamenti</t>
  </si>
  <si>
    <t>Ammortamento dei beni mobili</t>
  </si>
  <si>
    <t>EBIT - Risultato senza interessi e imposte</t>
  </si>
  <si>
    <t>Reddito da investimenti finanziari aziendali</t>
  </si>
  <si>
    <t>EBT - Reddito senza imposte</t>
  </si>
  <si>
    <t>Reddito da attività accessorie (conti 7'000)</t>
  </si>
  <si>
    <t>Reddito da immobili aziendali (conti 7'500)</t>
  </si>
  <si>
    <t>Reddito da affitto appartamenti</t>
  </si>
  <si>
    <t>Interessi ipotecari</t>
  </si>
  <si>
    <t>Rip/Manut/Sost</t>
  </si>
  <si>
    <t>Ammorta-</t>
  </si>
  <si>
    <t>mento</t>
  </si>
  <si>
    <t>Somma dei redditi da immobili</t>
  </si>
  <si>
    <t>Costi per edifici</t>
  </si>
  <si>
    <t>Costi per migliorie fondiarie</t>
  </si>
  <si>
    <t>Costi per impianti fissi</t>
  </si>
  <si>
    <t>Ammortamenti diritti di produzione su vigneti, frutteti e piccoli frutti</t>
  </si>
  <si>
    <t>Costi legati ad investimenti e correzioni</t>
  </si>
  <si>
    <t>Costi/ricavi extra-aziendali, straordinari, una tantum o al di fuori del periodo contabile  (conti 8'000)</t>
  </si>
  <si>
    <t>Descrizione personale</t>
  </si>
  <si>
    <t>Reddito dell'attività agricola, utile annuale</t>
  </si>
  <si>
    <t>Formazione/diminuzione del capitale proprio</t>
  </si>
  <si>
    <t>Apporto/ritiro di capitale</t>
  </si>
  <si>
    <t>Redditi al di fuori dalla contabilità agricola</t>
  </si>
  <si>
    <t>Reddito del sistema azienda-famiglia</t>
  </si>
  <si>
    <t>Calcolo del reddito agricolo</t>
  </si>
  <si>
    <t>UL dei settori di produzione + altri redditi e costi</t>
  </si>
  <si>
    <t>Pagamenti diretti</t>
  </si>
  <si>
    <t>Immobili: redditi + valore locativo abitazione propria</t>
  </si>
  <si>
    <t>Utili lordi dalle attività accessorie</t>
  </si>
  <si>
    <t>Risultato dell'agricoltura secondo la contabilità finanziaria</t>
  </si>
  <si>
    <t>+ Risultato dell'agricoltura non nella contabilità finanziaria</t>
  </si>
  <si>
    <t>± correzioni se necessarie</t>
  </si>
  <si>
    <t>Risultato dell'agricoltura</t>
  </si>
  <si>
    <t>Reddito agricolo</t>
  </si>
  <si>
    <t>Media su 6 anni</t>
  </si>
  <si>
    <t>Utile lordo/spese</t>
  </si>
  <si>
    <t>Variazioni annuali</t>
  </si>
  <si>
    <t>Variazioni su 5 anni</t>
  </si>
  <si>
    <t>Settore aziendale</t>
  </si>
  <si>
    <t>Somma dei settori aziendali + altri ricavi/costi</t>
  </si>
  <si>
    <t>Attività accessorie (senza entrate da investimenti finanziari aziendali)</t>
  </si>
  <si>
    <t>Somma delle attività accessorie</t>
  </si>
  <si>
    <t>Costi strutturali 1</t>
  </si>
  <si>
    <t>Costi per gli edifici</t>
  </si>
  <si>
    <t>Costi per macchinari, trattori e attrezzi</t>
  </si>
  <si>
    <t>Costi per l'automobile aziendale</t>
  </si>
  <si>
    <t>Costi per lavori eseguiti da terzi e macchinari noleggiati</t>
  </si>
  <si>
    <t>Costi legati agli investimenti</t>
  </si>
  <si>
    <t>Somma dei costi di struttura 1</t>
  </si>
  <si>
    <t>Costi per gli affitti e i dipendenti</t>
  </si>
  <si>
    <t>Somma costi per gli affitti e i dipendenti</t>
  </si>
  <si>
    <t>Variazioni in cts/kg  e anno</t>
  </si>
  <si>
    <t>Flusso aziendale delle liquidità</t>
  </si>
  <si>
    <t xml:space="preserve">Variazioni in </t>
  </si>
  <si>
    <t>Attività accessorie aziendali (conti 7'000)</t>
  </si>
  <si>
    <t>Pagamenti diretti (senza contributi per le singole colture)</t>
  </si>
  <si>
    <t>Spazio per eventuali correzioni (in caso di necessità)</t>
  </si>
  <si>
    <t>Affitti agricoli e costi per i dipendenti</t>
  </si>
  <si>
    <t>Manutenzione/riparazione/sostituzione  beni mobili ed immobili</t>
  </si>
  <si>
    <t>= Eccedenza lorda aziendale</t>
  </si>
  <si>
    <t>Prestazioni verso attività accessorie ed extra-aziendali</t>
  </si>
  <si>
    <t>Aumento delle scorte e del bestiame (patrimonio)</t>
  </si>
  <si>
    <t>Diminuzione delle scorte e del bestiame (patrimonio)</t>
  </si>
  <si>
    <t>Attività indipendenti non legate all'agricoltura</t>
  </si>
  <si>
    <t>Diritti del partner</t>
  </si>
  <si>
    <t xml:space="preserve">Liquidità del partner non prelevata (+)/o prelievo straordinario (-) </t>
  </si>
  <si>
    <t>= Cash flow senza interessi</t>
  </si>
  <si>
    <t>Cash flow legato agli investimenti</t>
  </si>
  <si>
    <t>Acquisto di beni d'investimento (prima dei contributi agli investimenti)</t>
  </si>
  <si>
    <t>Contributi a fondo perso</t>
  </si>
  <si>
    <t>= Eccedenze/ammanchi di finanziamemnto, senza interessi</t>
  </si>
  <si>
    <t>Finanziamento</t>
  </si>
  <si>
    <t>Accensione di finanziamenti di terzi a medio e a lungo termine</t>
  </si>
  <si>
    <t>Rimborso di finanziamenti di terzi a medio e a lungo termine</t>
  </si>
  <si>
    <t>Proventi da attività finanziarie aziendali</t>
  </si>
  <si>
    <t>Attività finanziarie extra-aziendali</t>
  </si>
  <si>
    <t>Spese per il capitale di terzi (interessi debitori, spese)</t>
  </si>
  <si>
    <t>Apporto di capitali privati</t>
  </si>
  <si>
    <t>Ritiri di capitali privati</t>
  </si>
  <si>
    <t>Capitale di terzi extra-aziendale a lungo termine</t>
  </si>
  <si>
    <t>Saldo delle attività di finanziamento</t>
  </si>
  <si>
    <t>Variazione della sostanza monetaria netta circolante</t>
  </si>
  <si>
    <t>Evoluzione di: cash flow senza interessi, investimenti netti, finanziamenti netti e                                                              sostanza monetaria netta circolante</t>
  </si>
  <si>
    <t>Saldo della sostanza monetaria netta circolante</t>
  </si>
  <si>
    <t>Redditi accessori da attività dipendente</t>
  </si>
  <si>
    <t>Spese sostenute per le persone a carico</t>
  </si>
  <si>
    <t>Rendite e prestazioni assicurative</t>
  </si>
  <si>
    <t>Tipo di rendita e/o di prestazione assic.</t>
  </si>
  <si>
    <t>Somma per unità di consumo (UC)</t>
  </si>
  <si>
    <t>Somma spese priv./UC</t>
  </si>
  <si>
    <t>Somma spese private</t>
  </si>
  <si>
    <t>Macchinari, attrezzi e impianti fissi</t>
  </si>
  <si>
    <t>Spese per investimenti secondo il foglio «Progetti»</t>
  </si>
  <si>
    <t>Edifici rurali, abitazione</t>
  </si>
  <si>
    <t>Attività accessorie, attività private</t>
  </si>
  <si>
    <t>Somma degli investimenti</t>
  </si>
  <si>
    <t>Disinvestimenti secondo il foglio «Progetti»</t>
  </si>
  <si>
    <t>Somma dei disinvestimenti</t>
  </si>
  <si>
    <t>Creditori (CHF)</t>
  </si>
  <si>
    <t>Stato all'1.1</t>
  </si>
  <si>
    <t>Capitale di terzi a lungo termine (CHF)</t>
  </si>
  <si>
    <t>Nuovo prestito o aumento dei prestiti esistenti</t>
  </si>
  <si>
    <t>Ammort.</t>
  </si>
  <si>
    <t>Interessi</t>
  </si>
  <si>
    <t>Evoluzione del capitale di terzi a lungo termine</t>
  </si>
  <si>
    <t>Investimenti (fabbisogno finanziario)</t>
  </si>
  <si>
    <t>Valore di reddito (VR)</t>
  </si>
  <si>
    <t>pre-investimento</t>
  </si>
  <si>
    <t>post-investimento</t>
  </si>
  <si>
    <t>VdR agricolo</t>
  </si>
  <si>
    <t>VdR non agricolo</t>
  </si>
  <si>
    <t>Valore d'uso accessori</t>
  </si>
  <si>
    <t>VdR complessivo</t>
  </si>
  <si>
    <t>Limite d'aggravio (LdA)</t>
  </si>
  <si>
    <t>LdA agricolo</t>
  </si>
  <si>
    <t>LdA non agricolo</t>
  </si>
  <si>
    <t>LdA complessivo</t>
  </si>
  <si>
    <t>Finanziamento (mezzi disponibili)</t>
  </si>
  <si>
    <t>Eredità parziali/anticipi ereditari</t>
  </si>
  <si>
    <t>Concessione di diritti</t>
  </si>
  <si>
    <t>Salari esigibili</t>
  </si>
  <si>
    <t>Mezzi monetari</t>
  </si>
  <si>
    <t>Contr. a fondo perso (fed./cant.)</t>
  </si>
  <si>
    <t>Contributi a fondo perso (altri)</t>
  </si>
  <si>
    <t>Apporto di capitale privato</t>
  </si>
  <si>
    <t>Attività finanziarie aziendali</t>
  </si>
  <si>
    <t>Somma dei mezzi a disp. (limite max dei costi di progetto)</t>
  </si>
  <si>
    <t>Riporta i dati nella pianificazione economica aziendale e nel foglio «FluCas»</t>
  </si>
  <si>
    <t>Annulla il trasferimento</t>
  </si>
  <si>
    <t>Ammortamenti</t>
  </si>
  <si>
    <t>Copertura dei costi supplementari cagionati da interessi e ammortamenti</t>
  </si>
  <si>
    <t>Sostanza monetaria netta circolante (annuale) secondo il foglio «FluCas» (ante progetto)</t>
  </si>
  <si>
    <t>Somma dei costi supplementari, inclusi interessi e ammortamenti</t>
  </si>
  <si>
    <t xml:space="preserve">Riserva o mancanza </t>
  </si>
  <si>
    <t>Comunità: copertura dei costi supplementari generati da interessi e ammortamenti</t>
  </si>
  <si>
    <t>Il risultato si può interpretare solo se i fogli di ogni partner sono stati reimpiti correttamente</t>
  </si>
  <si>
    <t>Disponibilità monetaria annuale netta secondo la contabilità dei partner</t>
  </si>
  <si>
    <t>Disponibile dal</t>
  </si>
  <si>
    <t>Disponibile di tutti gli associati della comunità</t>
  </si>
  <si>
    <t xml:space="preserve">Cash flow senza prelievi e interessi </t>
  </si>
  <si>
    <t>Rimborso dei debiti della comunità</t>
  </si>
  <si>
    <t>Intressi sui debiti della comunità</t>
  </si>
  <si>
    <t xml:space="preserve">Diritti di prelievo dei partner *) </t>
  </si>
  <si>
    <t>Sostanza monetaria netta circolante da ripartire</t>
  </si>
  <si>
    <t>Importo da ripartire in base al lavoro prestato</t>
  </si>
  <si>
    <t>*) secondo la pianificazione finanziaria pluriennale</t>
  </si>
  <si>
    <t>N° di giorni di lavoro prestati</t>
  </si>
  <si>
    <t>Quota dei partner (%)</t>
  </si>
  <si>
    <t>Conteggio per partner</t>
  </si>
  <si>
    <t>Somma dei prelievi per partner</t>
  </si>
  <si>
    <t>Somma dei prelievi per lavoro e capitale</t>
  </si>
  <si>
    <t>Prelievi per partner</t>
  </si>
  <si>
    <t>Indennità per immobili e diritti di produzione</t>
  </si>
  <si>
    <t>Somma di prelievi per partner</t>
  </si>
  <si>
    <t>Somma di prelievi e indennità</t>
  </si>
  <si>
    <t>Evoluzione dei prelievi su 5 anni</t>
  </si>
  <si>
    <t>Prelievi per partner durante il 1° anno (vedi pt. 1)</t>
  </si>
  <si>
    <t>Prelievi per partner durante il 5° anno</t>
  </si>
  <si>
    <t>Somma dei prelievi durante il 5° anno</t>
  </si>
  <si>
    <t>Ripartizione del reddito durante il 1° anno</t>
  </si>
  <si>
    <t>Entrate dalla comunità aziendale</t>
  </si>
  <si>
    <t>Spese sostenute in qualità di proprietario</t>
  </si>
  <si>
    <t>Ammortamenti e interessi su debiti preesistenti</t>
  </si>
  <si>
    <t>Ammor-tamenti</t>
  </si>
  <si>
    <t>Altre spese sostenute in qualità di proprietario</t>
  </si>
  <si>
    <t>Assicurazione sugli edifici</t>
  </si>
  <si>
    <t>Somma delle spese</t>
  </si>
  <si>
    <t>Entrate nette private (entrate acccessorie, ecc.)</t>
  </si>
  <si>
    <t>Spese private per unità di consumo (UC) (CHF)</t>
  </si>
  <si>
    <t>Riserva/mancanza di liquidità</t>
  </si>
  <si>
    <t>*) incl. la quota privata dei costi aziendali generali e dei costi generati dall'automobile</t>
  </si>
  <si>
    <t>Corr. N</t>
  </si>
  <si>
    <t>N-fissaz.</t>
  </si>
  <si>
    <t>N + corr. N</t>
  </si>
  <si>
    <t>nel progetto «Nitrati 62a»</t>
  </si>
  <si>
    <t>Coltura sarchiata</t>
  </si>
  <si>
    <t>Patata per il consumo e l'industria</t>
  </si>
  <si>
    <t>Patata precoce</t>
  </si>
  <si>
    <t>Patata da seme</t>
  </si>
  <si>
    <t>Ortaggio da cons. in campo ap.</t>
  </si>
  <si>
    <t>Colza EMC (estere metilico)</t>
  </si>
  <si>
    <t>Piccoli frutti alternativi</t>
  </si>
  <si>
    <t>Prato permanente  estensivo</t>
  </si>
  <si>
    <t xml:space="preserve">                                 poco intensivo</t>
  </si>
  <si>
    <t xml:space="preserve">                poco intensivo</t>
  </si>
  <si>
    <t>Prato permanente medio intensivo</t>
  </si>
  <si>
    <t>Prato-pascolo       medio intensivo</t>
  </si>
  <si>
    <t xml:space="preserve">Prato permanente      intensivo  </t>
  </si>
  <si>
    <t>prato-pascolo             intensivo</t>
  </si>
  <si>
    <t>Prato temporaneo     medio intensivo</t>
  </si>
  <si>
    <t>Prato temporaneo     intensivo</t>
  </si>
  <si>
    <t>Coltura intercalare (con miscela foraggera)</t>
  </si>
  <si>
    <t>Coltura intercalare (senza miscela foraggera)</t>
  </si>
  <si>
    <t>uni-</t>
  </si>
  <si>
    <t>Cons. di for. grezzo in estivazione</t>
  </si>
  <si>
    <t>Area d'uscita</t>
  </si>
  <si>
    <t>Riporto da bilancio Imp/Exp</t>
  </si>
  <si>
    <t>Produzione per unità e anno</t>
  </si>
  <si>
    <t>di capi</t>
  </si>
  <si>
    <t>Vacca latte</t>
  </si>
  <si>
    <t>BestGiov</t>
  </si>
  <si>
    <t>Riferito a</t>
  </si>
  <si>
    <t>ForConc</t>
  </si>
  <si>
    <t>Prod. di latte</t>
  </si>
  <si>
    <t>Cons For. grezzo (SS)</t>
  </si>
  <si>
    <t>Corr. Consumo di SS</t>
  </si>
  <si>
    <t>Domande sul foraggiamento (vedi E2)</t>
  </si>
  <si>
    <t>Suppl./deduz. consumo di SS</t>
  </si>
  <si>
    <t>Corr. per la prestazione</t>
  </si>
  <si>
    <t>Corr per prestazione min/max</t>
  </si>
  <si>
    <t>100 ca.</t>
  </si>
  <si>
    <t xml:space="preserve">Vacca da latte, prod. di latte Ø </t>
  </si>
  <si>
    <t>VL asciutta</t>
  </si>
  <si>
    <t>Vitello da rimonta &lt; 160 giorni</t>
  </si>
  <si>
    <t>Vitello da rimonta 160-365 giorni</t>
  </si>
  <si>
    <t>Toro &gt; 2 anni</t>
  </si>
  <si>
    <t>Vitello da ingrasso 60-220 kg</t>
  </si>
  <si>
    <t>Vitello da ingrasso 60-220 kg, per anno</t>
  </si>
  <si>
    <t>Bovino da ingrasso intensivo 65-520 kg</t>
  </si>
  <si>
    <t>Vitello da ingrasso &lt;=160 giorni</t>
  </si>
  <si>
    <t>Mulo e bardotto &gt; 180 giorni (qualsiasi altezza)</t>
  </si>
  <si>
    <t>Mulo e bardotto &lt;= 180 giorni (qualsiasi altezza)</t>
  </si>
  <si>
    <t>Pony, cavallo piccolo, asino &lt;= 148 cm (qualsiasi età)</t>
  </si>
  <si>
    <t>Bisonte &lt;= 900 giorni (allevamento/ingrasso)</t>
  </si>
  <si>
    <t>Suino da ingrasso/rimonta (3,32 cicli)</t>
  </si>
  <si>
    <t>Pollastrella (2,25 cicli)</t>
  </si>
  <si>
    <t>Tacchino da ingrasso (2,8 cicli)</t>
  </si>
  <si>
    <t>Valori specifici</t>
  </si>
  <si>
    <t>Valori energetici corretti</t>
  </si>
  <si>
    <t>Valori standard di SF</t>
  </si>
  <si>
    <t>Valori minimi di SF</t>
  </si>
  <si>
    <t>Valori minimi</t>
  </si>
  <si>
    <t>g PG (SF)</t>
  </si>
  <si>
    <t>g P (SF)</t>
  </si>
  <si>
    <t>PG corr. (g)</t>
  </si>
  <si>
    <t>Foraggio per suino da ingrasso</t>
  </si>
  <si>
    <t>Foraggio per verro</t>
  </si>
  <si>
    <t>Foraggio per scrofa allattante</t>
  </si>
  <si>
    <t>Foraggio per suinetti</t>
  </si>
  <si>
    <t>Foraggio per gallina ovaiola</t>
  </si>
  <si>
    <t>Produzione standard delle categorie considerate</t>
  </si>
  <si>
    <t>Elementi fertilizzanti per il bilancio import/export suini</t>
  </si>
  <si>
    <t>Melanzana</t>
  </si>
  <si>
    <t>Cavolfiore</t>
  </si>
  <si>
    <t>Cavolo rapa</t>
  </si>
  <si>
    <t>Fagiolino nano</t>
  </si>
  <si>
    <t>Fagiolo da industria</t>
  </si>
  <si>
    <t>Cavolo broccolo</t>
  </si>
  <si>
    <t>Cavolo cinese</t>
  </si>
  <si>
    <t>Cicoria belga</t>
  </si>
  <si>
    <t>Cicorino rosso, radicchio</t>
  </si>
  <si>
    <t>Indivia scarola, resa media</t>
  </si>
  <si>
    <t>Indivia scarola, resa elevata</t>
  </si>
  <si>
    <t>Pisello da industria</t>
  </si>
  <si>
    <t>Taccola</t>
  </si>
  <si>
    <t>Cavolo piuma</t>
  </si>
  <si>
    <t>Finocchio</t>
  </si>
  <si>
    <t>Cetriolo, cetriolo da sottaceto</t>
  </si>
  <si>
    <t>Cavolo cappuccio sotto velo di protezione</t>
  </si>
  <si>
    <t>Cavolo da conservazione</t>
  </si>
  <si>
    <t>Cabis (crauti)</t>
  </si>
  <si>
    <t>Carota tonda di Parigi</t>
  </si>
  <si>
    <t>Carota precoce  a mazzi</t>
  </si>
  <si>
    <t>Carota da conservazione e da industria, resa media</t>
  </si>
  <si>
    <t>Carota da conservazione e da industria, resa elevata</t>
  </si>
  <si>
    <t>Aglio</t>
  </si>
  <si>
    <t>Cavolo rapa da conservazione</t>
  </si>
  <si>
    <t>Erba aromatica e medicinale, taglia piccola</t>
  </si>
  <si>
    <t>Erba aromatica e medicinale, taglia media</t>
  </si>
  <si>
    <t>Erba aromatica e medicinale, taglia medio-grande</t>
  </si>
  <si>
    <t>Erba aromatica e medicinale, taglia grande</t>
  </si>
  <si>
    <t>Bietola da coste</t>
  </si>
  <si>
    <t>Porro</t>
  </si>
  <si>
    <t>Valerianella (formentino)</t>
  </si>
  <si>
    <t>Pastinaca</t>
  </si>
  <si>
    <t>Prezzemolo</t>
  </si>
  <si>
    <t>Rapanello, 10 mazzi/m²</t>
  </si>
  <si>
    <t>Barbabietola rossa</t>
  </si>
  <si>
    <t>Ramolaccio, 8-9 pezzi/m²</t>
  </si>
  <si>
    <t>Rabarbaro</t>
  </si>
  <si>
    <t>Cavolo di Bruxelles (residui allontanati)</t>
  </si>
  <si>
    <t>Rapa autunnale e primaverile</t>
  </si>
  <si>
    <t>Rucola, un taglio</t>
  </si>
  <si>
    <t>Rucola, due tagli</t>
  </si>
  <si>
    <t>Insalate diverse, resa media</t>
  </si>
  <si>
    <t>Insalate diverse, resa elevata</t>
  </si>
  <si>
    <t>Fiore reciso, taglia piccola</t>
  </si>
  <si>
    <t>Fiore reciso, taglia media</t>
  </si>
  <si>
    <t>Fiore reciso, taglia grande</t>
  </si>
  <si>
    <t>Insalata da taglio</t>
  </si>
  <si>
    <t>Erba cipollina</t>
  </si>
  <si>
    <t>Scorzonera</t>
  </si>
  <si>
    <t>Sedano rapa</t>
  </si>
  <si>
    <t>Sedano da coste</t>
  </si>
  <si>
    <t>Asparago bianco</t>
  </si>
  <si>
    <t>Asparago verde</t>
  </si>
  <si>
    <t>Spinacio non svernante, un taglio, semina &lt; metà aprile</t>
  </si>
  <si>
    <t>Spinacio non svernante, un taglio</t>
  </si>
  <si>
    <t>Spinacio non svernante, due tagli</t>
  </si>
  <si>
    <t>Spinacio svernante, un taglio</t>
  </si>
  <si>
    <t>Pomodoro</t>
  </si>
  <si>
    <t>Viola del pensiero</t>
  </si>
  <si>
    <t>Verza, leggera</t>
  </si>
  <si>
    <t>Verza, pesante</t>
  </si>
  <si>
    <t>Zucchina, pâtisson e zucca</t>
  </si>
  <si>
    <t>Cicoria pan di zucchero</t>
  </si>
  <si>
    <t>Cicoria pan di zucchero «Convenience»</t>
  </si>
  <si>
    <t>Mais dolce</t>
  </si>
  <si>
    <t>Cipolla</t>
  </si>
  <si>
    <t>Ortaggio in campo aperto (valori medi)</t>
  </si>
  <si>
    <t>Fagiolo rampicante</t>
  </si>
  <si>
    <t>Indivia scarola autunnale</t>
  </si>
  <si>
    <t>Crescione</t>
  </si>
  <si>
    <t>Rapanello, 20 mazzi/m²</t>
  </si>
  <si>
    <t>Ramolaccio, 18 pezzi/m²</t>
  </si>
  <si>
    <t>Portulaca</t>
  </si>
  <si>
    <t>Lattuga cappuccio, iceberg, lollo</t>
  </si>
  <si>
    <t>Erba cipollina (una coltura)</t>
  </si>
  <si>
    <t>Spinacio</t>
  </si>
  <si>
    <t>Pomodoro, resa di 1'200 kg</t>
  </si>
  <si>
    <t>Pomodoro, resa di 1'800 kg</t>
  </si>
  <si>
    <t>Pomodoro, resa di 2'400 kg</t>
  </si>
  <si>
    <t>Pomodoro, resa di 3'000 kg</t>
  </si>
  <si>
    <t>Zucchina e pâtisson</t>
  </si>
  <si>
    <t>Frutta e piccoli frutti</t>
  </si>
  <si>
    <t>Drupacee</t>
  </si>
  <si>
    <t>Drupacee, resa elevata</t>
  </si>
  <si>
    <t>Ciliegia</t>
  </si>
  <si>
    <t>Ciliegia, resa elevata</t>
  </si>
  <si>
    <t>Susina</t>
  </si>
  <si>
    <t>Susina, resa elevata</t>
  </si>
  <si>
    <t>Albicocca</t>
  </si>
  <si>
    <t>Albicocca, resa elevata</t>
  </si>
  <si>
    <t>Pesca</t>
  </si>
  <si>
    <t>Pesca, resa elevata</t>
  </si>
  <si>
    <t>Kiwi, resa elevata</t>
  </si>
  <si>
    <t>Piccolo frutteto con specie diverse</t>
  </si>
  <si>
    <t>Noce di Grenoble &lt; 185 alberi/ha</t>
  </si>
  <si>
    <t>Nocciola</t>
  </si>
  <si>
    <t>Fragola annuale, resa elevata</t>
  </si>
  <si>
    <t>Lampone</t>
  </si>
  <si>
    <t>Lampone, resa elevata</t>
  </si>
  <si>
    <t>Mora</t>
  </si>
  <si>
    <t>Mora, resa elevata</t>
  </si>
  <si>
    <t>Ribes rosso</t>
  </si>
  <si>
    <t>Ribes rosso, resa elevata</t>
  </si>
  <si>
    <t>Ribes nero (cassis)</t>
  </si>
  <si>
    <t>Ribes nero (cassis), resa elevata</t>
  </si>
  <si>
    <t>Uvaspina</t>
  </si>
  <si>
    <t>Uvaspina, resa elevata</t>
  </si>
  <si>
    <t>Piccoli frutti diversi</t>
  </si>
  <si>
    <t>Mirtillo</t>
  </si>
  <si>
    <t>Mirtillo, resa elevata</t>
  </si>
  <si>
    <t>Colture autunno-vernine</t>
  </si>
  <si>
    <t>dopi il</t>
  </si>
  <si>
    <t>ma prima del</t>
  </si>
  <si>
    <t>Ortaggio come</t>
  </si>
  <si>
    <t>precedente</t>
  </si>
  <si>
    <t>colturale</t>
  </si>
  <si>
    <t>coltivato</t>
  </si>
  <si>
    <t>attualmente</t>
  </si>
  <si>
    <t>Incolto ricoperto da stocchi di mais trinciati (suolo non lavorato)</t>
  </si>
  <si>
    <t>Incolto ricoperto da stocchi di mais trinciati (suolo lavorato)</t>
  </si>
  <si>
    <t>Maggese da rot./fiorito seminato entro il 31.8 o dal 2° inverno</t>
  </si>
  <si>
    <t>Maggese fiorito seminato tra l'1.9 e il 30.9</t>
  </si>
  <si>
    <t>Maggese da rotazione seminato tra l'1.9 e il 15.9</t>
  </si>
  <si>
    <t>Prato temporaneo prima di una coltura primaverile-estiva</t>
  </si>
  <si>
    <t>Mais consociato con piante foraggere (sottosemina)</t>
  </si>
  <si>
    <t>Mais su prato</t>
  </si>
  <si>
    <t>Coltura intercalare di sole leguminose</t>
  </si>
  <si>
    <t>Incolto (vegetazione avventizia)</t>
  </si>
  <si>
    <t>Stocchi di girasole</t>
  </si>
  <si>
    <t>Paglia di soia</t>
  </si>
  <si>
    <t>Segale da sfalcio (foraggio fresco o insilato)</t>
  </si>
  <si>
    <t>Segale da sfalcio (foraggio fresco o insilato) non seguita da aratura</t>
  </si>
  <si>
    <t>Loglio italico seminato tra l'1.10 e il 31.10</t>
  </si>
  <si>
    <t>Coltura intercalare/sovescio seminato entro il 31.8</t>
  </si>
  <si>
    <t>Coltura intercalare/sovescio seminato tra l'1.9 e il 30.9</t>
  </si>
  <si>
    <t>Coltura intercalare/sovescio seminato dopo il 30.9</t>
  </si>
  <si>
    <t>Pisello proteico/favino autunnale</t>
  </si>
  <si>
    <t>Pisello proteico/favino autunnale non seguiti da aratura</t>
  </si>
  <si>
    <t>Prato temporaneo seminato dopo incolto</t>
  </si>
  <si>
    <t>Suolo privo di copertura vegetale (suolo nudo)</t>
  </si>
  <si>
    <t>Superficie destinata alla detenzione di suini all'aperto</t>
  </si>
  <si>
    <t>Cavolo di Bruxelles</t>
  </si>
  <si>
    <t>Fiore reciso biennali/colture legnose a rapida crescita</t>
  </si>
  <si>
    <t>Cavolo svernante (specie diverse)</t>
  </si>
  <si>
    <t xml:space="preserve">Spinacio svernante </t>
  </si>
  <si>
    <t>Cipolla svernante</t>
  </si>
  <si>
    <t>Carota</t>
  </si>
  <si>
    <t>Sedano</t>
  </si>
  <si>
    <t>Melone, zucca da olio, zucchina</t>
  </si>
  <si>
    <t>Ortaggio/fiore reciso raccolto con radice integra</t>
  </si>
  <si>
    <t>Spinacio da taglio</t>
  </si>
  <si>
    <t>Altro ortaggio non raccolto</t>
  </si>
  <si>
    <t>Incolto dopo ortaggio</t>
  </si>
  <si>
    <t>Riferim.</t>
  </si>
  <si>
    <t>Paglia/anno</t>
  </si>
  <si>
    <t>Letame/anno</t>
  </si>
  <si>
    <t>Liquami/anno</t>
  </si>
  <si>
    <t>Paglia/mese</t>
  </si>
  <si>
    <t>Letame/mese</t>
  </si>
  <si>
    <t>Liquami/mese</t>
  </si>
  <si>
    <t>Tipo di letame</t>
  </si>
  <si>
    <t>Tipo di liquami</t>
  </si>
  <si>
    <t>Pulizia invernale della stalla</t>
  </si>
  <si>
    <t>Pulizia estiva della stalla</t>
  </si>
  <si>
    <t>Ndisp ColtErb da pieno campo</t>
  </si>
  <si>
    <t>(nessuna indicazione)</t>
  </si>
  <si>
    <t>Letame di mucchio + liquame povero di sterco</t>
  </si>
  <si>
    <t>LetStab libera + molti liquami (10-40% di lettiera)</t>
  </si>
  <si>
    <t>LetStab libera + liquami (40-60% di lettiera)</t>
  </si>
  <si>
    <t>LetStab libera + pochi liquami (60-90% di lettiera)</t>
  </si>
  <si>
    <t>Solo letame di stabulazione libera</t>
  </si>
  <si>
    <t>Solo liquami</t>
  </si>
  <si>
    <t>Detenzione all'aperto</t>
  </si>
  <si>
    <t>Deiezioni di gallina (nastro per deiezioni)</t>
  </si>
  <si>
    <t>Deiezioni di pollastrella (nastro per deiezioni)</t>
  </si>
  <si>
    <t>Pollina di pollo</t>
  </si>
  <si>
    <t>Pollina di pollo in fossa per liquami</t>
  </si>
  <si>
    <t>Pollina di tacchino</t>
  </si>
  <si>
    <t>Pollina di tacchino in fossa per liquami</t>
  </si>
  <si>
    <t>Pollina di pollame (cassone per deiezioni, allev. al suolo)</t>
  </si>
  <si>
    <t>Deiezioni di pollame (nastro per deiezioni)</t>
  </si>
  <si>
    <t>Deiezioni di pollame (nastro per deiezioni)  in fossa per liquami</t>
  </si>
  <si>
    <t>Tenori (kg/m³ di liquami non diluiti e kg/t di letame)</t>
  </si>
  <si>
    <t>Disponibilita di N</t>
  </si>
  <si>
    <t>Categoria di bestiame/</t>
  </si>
  <si>
    <t>di concime aziendale</t>
  </si>
  <si>
    <t>m³/mese</t>
  </si>
  <si>
    <t>% di Ndisp rispetto a Nstock</t>
  </si>
  <si>
    <t>ColtErbPiCamp</t>
  </si>
  <si>
    <t>Sup. inerbita</t>
  </si>
  <si>
    <t>Liquame completo</t>
  </si>
  <si>
    <t>Liquame povero di sterco</t>
  </si>
  <si>
    <t>Letame di mucchio</t>
  </si>
  <si>
    <t>Letame di stabulazione libera</t>
  </si>
  <si>
    <t>Vitello</t>
  </si>
  <si>
    <t>Letame di vitello</t>
  </si>
  <si>
    <t>Cavallo</t>
  </si>
  <si>
    <t>Letame equino maturo</t>
  </si>
  <si>
    <t>Pecora o capra</t>
  </si>
  <si>
    <t>Letame di pecora o capra</t>
  </si>
  <si>
    <t>Letame di coniglia madre</t>
  </si>
  <si>
    <t>Letame di coniglietto</t>
  </si>
  <si>
    <t>Suino</t>
  </si>
  <si>
    <t>Liquame di suino da ingrasso</t>
  </si>
  <si>
    <t>Liquame di suino da riproduzione</t>
  </si>
  <si>
    <t>Letame suino</t>
  </si>
  <si>
    <t>Quantità d'acqua mensile</t>
  </si>
  <si>
    <t>Val. variabile</t>
  </si>
  <si>
    <t>Val. costante</t>
  </si>
  <si>
    <t>Area d'uscita scoperta con fondo consolidato e impermeabile</t>
  </si>
  <si>
    <t>Silo a trincea scoperto, con deflusso di acque chiare + acque grigie</t>
  </si>
  <si>
    <t>Silo a trincea scoperto, con canaletta per la raccolta del percolato (solo acque grigie)</t>
  </si>
  <si>
    <t>Altre superfici con deflusso nella fossa per liquami</t>
  </si>
  <si>
    <t>Catering, sala per feste e ricevimenti</t>
  </si>
  <si>
    <t>Vacanze in fattoria</t>
  </si>
  <si>
    <t>Dormire sulla paglia</t>
  </si>
  <si>
    <t>n° di GrMung</t>
  </si>
  <si>
    <t>Volume (litri)</t>
  </si>
  <si>
    <t>Posto a sedere</t>
  </si>
  <si>
    <t>Posto letto (dormitorio)</t>
  </si>
  <si>
    <t>a) Fabbisogno/riserva di manodopera (MdO)</t>
  </si>
  <si>
    <t>Livello di meccanizzazione</t>
  </si>
  <si>
    <t>Produzione vegetale (dati dal foglio «Superfici»)</t>
  </si>
  <si>
    <t>Prato permanente estensivo</t>
  </si>
  <si>
    <t>&lt;18%, 2 sfalci conserv., mecc. limitata</t>
  </si>
  <si>
    <t xml:space="preserve">&lt;18%, 2 sfalci conserv., mecc. media </t>
  </si>
  <si>
    <t>&lt;18%, 2 sfalci conserv., mecc.elevata</t>
  </si>
  <si>
    <t>&lt;18%, 1 sfalcio conserv., mecc. limitata</t>
  </si>
  <si>
    <t xml:space="preserve">&lt;18%, 1 sfalcio conserv., mecc. media </t>
  </si>
  <si>
    <t>&lt;18%, 1 sfalcio conserv., mecc.elevata</t>
  </si>
  <si>
    <t>18-35%, 2 sfalci conserv., mecc. limitata</t>
  </si>
  <si>
    <t xml:space="preserve">18-35%, 2 sfalci conserv., mecc. media </t>
  </si>
  <si>
    <t>18-35%, 2 sfalci conserv., mecc.elevata</t>
  </si>
  <si>
    <t>18-35%, 1 sfalcio conserv., mecc. limitata</t>
  </si>
  <si>
    <t xml:space="preserve">18-35%, 1 sfalcio conserv., mecc. media </t>
  </si>
  <si>
    <t>18-35%, 1 sfalcio conserv., mecc.elevata</t>
  </si>
  <si>
    <t>35-50%, 2 sfalci conserv., mecc. limitata</t>
  </si>
  <si>
    <t xml:space="preserve">35-50%, 2 sfalci conserv., mecc. media </t>
  </si>
  <si>
    <t>35-50%, 2 sfalci conserv., mecc.elevata</t>
  </si>
  <si>
    <t>35-50%, 1 sfalcio conserv., mecc. limitata</t>
  </si>
  <si>
    <t xml:space="preserve">35-50%, 1 sfalcio conserv., mecc. media </t>
  </si>
  <si>
    <t>35-50%, 1 sfalcio conserv., mecc.elevata</t>
  </si>
  <si>
    <t>&gt;50%, 2 sfalci conserv., mecc. limitata</t>
  </si>
  <si>
    <t xml:space="preserve">&gt;50%, 2 sfalci conserv., mecc. media </t>
  </si>
  <si>
    <t>&gt;50%, 2 sfalci conserv., mecc.elevata</t>
  </si>
  <si>
    <t>&gt;50%, 1 sfalcio conserv., mecc. limitata</t>
  </si>
  <si>
    <t xml:space="preserve">&gt;50%, 1 sfalcio conserv., mecc. media </t>
  </si>
  <si>
    <t>&gt;50%, 1 sfalcio conserv., mecc.elevata</t>
  </si>
  <si>
    <t>Prato permanente poco intensivo</t>
  </si>
  <si>
    <t>&lt;18%, 3 sfalci conserv., mecc. limitata</t>
  </si>
  <si>
    <t xml:space="preserve">&lt;18%, 3 sfalci conserv., mecc. media </t>
  </si>
  <si>
    <t>&lt;18%, 3 sfalci conserv., mecc.elevata</t>
  </si>
  <si>
    <t>18-35%, 3 sfalci conserv., mecc. limitata</t>
  </si>
  <si>
    <t xml:space="preserve">18-35%, 3 sfalci conserv., mecc. media </t>
  </si>
  <si>
    <t>18-35%, 3 sfalci conserv., mecc.elevata</t>
  </si>
  <si>
    <t>35-50%, 3 sfalci conserv., mecc. limitata</t>
  </si>
  <si>
    <t xml:space="preserve">35-50%, 3 sfalci conserv., mecc. media </t>
  </si>
  <si>
    <t>35-50%, 3 sfalci conserv., mecc.elevata</t>
  </si>
  <si>
    <t>&lt; 18%, 4 sfalci conserv., mecc. limitata</t>
  </si>
  <si>
    <t xml:space="preserve">&lt; 18%, 4 sfalci conserv., mecc. media </t>
  </si>
  <si>
    <t>&lt; 18%, 4 sfalci conserv., mecc.elevata</t>
  </si>
  <si>
    <t>Prato permanente intensivo</t>
  </si>
  <si>
    <t>&lt; 18%, 5 sfalci conserv., mecc. limitata</t>
  </si>
  <si>
    <t xml:space="preserve">&lt; 18%, 5 sfalci conserv., mecc. media </t>
  </si>
  <si>
    <t>&lt; 18%, 5 sfalci conserv., mecc.elevata</t>
  </si>
  <si>
    <t>18-35%, 4 sfalci conserv., mecc. limitata</t>
  </si>
  <si>
    <t xml:space="preserve">18-35%, 4 sfalci conserv., mecc. media </t>
  </si>
  <si>
    <t>18-35%, 4 sfalci conserv., mecc.elevata</t>
  </si>
  <si>
    <t>Pascolo permanente</t>
  </si>
  <si>
    <t>Prod. di semente (legumin. foraggere)</t>
  </si>
  <si>
    <t>Mietitrebbia, 1 sfalcio conservato</t>
  </si>
  <si>
    <t>Mietitrebbia, 2 sfalci conservati</t>
  </si>
  <si>
    <t>Prod. di semente (gramin. foraggere)</t>
  </si>
  <si>
    <t>&lt; 18%, mecc. limitata</t>
  </si>
  <si>
    <t>&lt; 18%, mecc. media</t>
  </si>
  <si>
    <t>&lt; 18%, mecc.elevata</t>
  </si>
  <si>
    <t>18-35%, mecc. limitata</t>
  </si>
  <si>
    <t>18-35%, mecc. media</t>
  </si>
  <si>
    <t>18-35%, mecc.elevata</t>
  </si>
  <si>
    <t>35-50%, mecc. limitata</t>
  </si>
  <si>
    <t>35-50%, mecc. media</t>
  </si>
  <si>
    <t>35-50%, mecc.elevata</t>
  </si>
  <si>
    <t>Coltura intercalare</t>
  </si>
  <si>
    <t>Mecc. limitata</t>
  </si>
  <si>
    <t>Mecc. media</t>
  </si>
  <si>
    <t>Mecc. elevata</t>
  </si>
  <si>
    <t>Semina prato temp./colt. int./sovescio</t>
  </si>
  <si>
    <t>Semina striscia su superficie coltiva</t>
  </si>
  <si>
    <t>Semina fascia colturale estensiva</t>
  </si>
  <si>
    <t>Supplemento per i cereali</t>
  </si>
  <si>
    <t>Mecc. limitata, nessuna selezione, raccolta da terzi</t>
  </si>
  <si>
    <t>Mecc. media, nessuna selezione</t>
  </si>
  <si>
    <t>Mecc.elevata, nessuna selezione</t>
  </si>
  <si>
    <t>Barbabietola da zucchero/foraggio</t>
  </si>
  <si>
    <t>Pisello proteico, soia, favino</t>
  </si>
  <si>
    <t>Ortaggi in campo aperto</t>
  </si>
  <si>
    <t>Cabis, raccolta manuale</t>
  </si>
  <si>
    <t>Carota, raccolta meccanica</t>
  </si>
  <si>
    <t>Carota, raccolta manuale</t>
  </si>
  <si>
    <t>Cavolo di Bruxelles, raccolta manuale</t>
  </si>
  <si>
    <t>Cabis rosso e bianco, raccolta manuale</t>
  </si>
  <si>
    <t>Verza, raccolta manuale</t>
  </si>
  <si>
    <t>Sedano, raccolta manuale manuelle</t>
  </si>
  <si>
    <t>Cipolla, raccolta meccanica</t>
  </si>
  <si>
    <t>Ortaggio in campo aperto, coltura sec.</t>
  </si>
  <si>
    <t>Pisello da industria, raccolta eseguita da terzi</t>
  </si>
  <si>
    <t>Fagiolo da industria, raccolta eseguita da terzi</t>
  </si>
  <si>
    <t>Cetriolo da sottaceto, raccolta eseguita da terzi</t>
  </si>
  <si>
    <t>Spinacio, raccolta meccanica</t>
  </si>
  <si>
    <t>Carota tonda di Parigi, raccolta meccanica</t>
  </si>
  <si>
    <t>Lino</t>
  </si>
  <si>
    <t>Canapa</t>
  </si>
  <si>
    <t>raccolta manuale + trasporto</t>
  </si>
  <si>
    <t>Mela da mensa, raccolta manuale</t>
  </si>
  <si>
    <t>Ciliegia, ciliegia da mensa</t>
  </si>
  <si>
    <t>Ciliegia, ciliegia da distillazione</t>
  </si>
  <si>
    <t>Susina, susina da mensa</t>
  </si>
  <si>
    <t>Susina, susina da distillazione</t>
  </si>
  <si>
    <t>Fragola</t>
  </si>
  <si>
    <t>Raccolta manuale</t>
  </si>
  <si>
    <t>Lampone, raccolta manuale</t>
  </si>
  <si>
    <t>Ribes, raccolta manuale</t>
  </si>
  <si>
    <t>Mora, raccolta manuale</t>
  </si>
  <si>
    <t>Pianta aromatica/medicinale</t>
  </si>
  <si>
    <t>Siepe e boschetto campestre</t>
  </si>
  <si>
    <t>Cure colturali</t>
  </si>
  <si>
    <t>Sfruttamento intensivo</t>
  </si>
  <si>
    <t>Sfruttamento medio</t>
  </si>
  <si>
    <t>Sfruttamento estensivo</t>
  </si>
  <si>
    <t>Mela da mosto, raccolta manuale</t>
  </si>
  <si>
    <t>Mela da mosto, raccolta meccanica</t>
  </si>
  <si>
    <t>Ciliegia, raccolta manuale</t>
  </si>
  <si>
    <t>Produzione animale (dati dal foglio «Bestiame»)</t>
  </si>
  <si>
    <t>10 vacche, latte trasportato in bidoni</t>
  </si>
  <si>
    <t>Stab. fissa, carriola letame, mungitura e for. manuali</t>
  </si>
  <si>
    <t>Stab. fissa, carriola, mung. a 2 secchi, for. manuale</t>
  </si>
  <si>
    <t>Stab. fissa, griglia post., mung. a 2 secchi, for. manuale</t>
  </si>
  <si>
    <t>Stab. fissa, griglia post., mung. a condotta con 3 GM, for. mecc.</t>
  </si>
  <si>
    <t>Stab. libera, sala mung. side by side 1x4, for. mecc.</t>
  </si>
  <si>
    <t>Stab. libera, sala mung. tandem 1x3, for. gru</t>
  </si>
  <si>
    <t>30 vacche, latte consegnato con tank da trsporto</t>
  </si>
  <si>
    <t>Stab. fissa, griglia post., mung. a condotta con 5GM, for. mecc.</t>
  </si>
  <si>
    <t>Stab. libera, sala mung. spina pesce 2x3, for. mecc.</t>
  </si>
  <si>
    <t>Stab. libera, sala mung. auto tandem 2x2, for. mecc.</t>
  </si>
  <si>
    <t>40 vacche, latte raccolto in azienda</t>
  </si>
  <si>
    <t>Stab. libera, sala mung. side by side 1x6, for. mecc.</t>
  </si>
  <si>
    <t>Stab. libera, sala mung. auto tandem 2x3, for. mecc.</t>
  </si>
  <si>
    <t>Stab. libera, sala mung. auto tandem 2x3, carro miscel.</t>
  </si>
  <si>
    <t>60 vacche, latte raccolto in azienda</t>
  </si>
  <si>
    <t>Stab. libera, sala mung. side by side 2x6, for. mecc.</t>
  </si>
  <si>
    <t>Stab. libera, robot mung. a 1 posta, carro miscel.</t>
  </si>
  <si>
    <t>100 vacche, latte raccolto in azienda</t>
  </si>
  <si>
    <t>Stab. libera, sala mung. side by side 2x10, for. mecc.</t>
  </si>
  <si>
    <t>Stab. libera, sala mung. a giostra a 20 GM, for. mecc.</t>
  </si>
  <si>
    <t>Stab. libera, robot mung. a 2 poste, carro miscel.</t>
  </si>
  <si>
    <t>Bestiame giovane, non stabulato durante l'estate</t>
  </si>
  <si>
    <t>Stab. fissa, for. manuale</t>
  </si>
  <si>
    <t>Stab. libera, for. manuale</t>
  </si>
  <si>
    <t>Stab. libera, for. con carro miscelatore</t>
  </si>
  <si>
    <t>In stalla, for. a secchio</t>
  </si>
  <si>
    <t>In igloo, for. a secchio</t>
  </si>
  <si>
    <t>In stalla o igloo, dstributore di latte automatico</t>
  </si>
  <si>
    <t>10 vacche madri</t>
  </si>
  <si>
    <t>For. invernale manuale, evac. letame parzialmente mecc.</t>
  </si>
  <si>
    <t>For. invernale manuale, evac. letame meccanizzata</t>
  </si>
  <si>
    <t>20 vacche madri</t>
  </si>
  <si>
    <t>For. e evac. letame meccanizzati</t>
  </si>
  <si>
    <t>30 vacche madri</t>
  </si>
  <si>
    <t>40 vacche madri</t>
  </si>
  <si>
    <t>60 vacche madri</t>
  </si>
  <si>
    <t>100 vacche madri</t>
  </si>
  <si>
    <t>Bovino da ingrasso intensivo, senza pascolo estivo</t>
  </si>
  <si>
    <t>Stab. libera su lett. profonda, for. manuale</t>
  </si>
  <si>
    <t>Stab. libera su lett. profonda, for. con carro miscelatore</t>
  </si>
  <si>
    <t>Stab. libera su grigliato, for. con carro miscelatore</t>
  </si>
  <si>
    <t>Bovino da ingrasso al pascolo, non stabulato durante l'estate</t>
  </si>
  <si>
    <t>1-5 capi box indiv. pensione completa</t>
  </si>
  <si>
    <t>1-5 capi box indiv. mezza pensione</t>
  </si>
  <si>
    <t>Capra da latte</t>
  </si>
  <si>
    <t>10 capi, cura dei capretti inclusa</t>
  </si>
  <si>
    <t>50 capi, cura dei capretti inclusa</t>
  </si>
  <si>
    <t>100 capi, cura dei capretti inclusa</t>
  </si>
  <si>
    <t>200 capi, cura dei capretti inclusa</t>
  </si>
  <si>
    <t>Pecora da latte</t>
  </si>
  <si>
    <t>Bisonte</t>
  </si>
  <si>
    <t>Cervo</t>
  </si>
  <si>
    <t>Suino da riproduzione con suinetti</t>
  </si>
  <si>
    <t>Azienda con marchio di produzione, lavoro manuale elevato</t>
  </si>
  <si>
    <t>Azienda con marchio di produzione, lavoro manuale limitato</t>
  </si>
  <si>
    <t>Azienda convenzionale, lavoro manuale elevato</t>
  </si>
  <si>
    <t>Azienda convenzionale, lavoro manuale limitato</t>
  </si>
  <si>
    <t>All. al suolo, lavoro manuale elevato</t>
  </si>
  <si>
    <t>All. al suolo, lavoro manuale limitato</t>
  </si>
  <si>
    <t>All. in voliera, lavoro manuale elevato</t>
  </si>
  <si>
    <t>All. in voliera, lavoro manuale limitato</t>
  </si>
  <si>
    <t>2'000 animali</t>
  </si>
  <si>
    <t>5'000 animali</t>
  </si>
  <si>
    <t>5'000 capi</t>
  </si>
  <si>
    <t>All. al suolo</t>
  </si>
  <si>
    <t>All. al suolo con area d'uscita</t>
  </si>
  <si>
    <t>All. al suolo con pollaio mobile</t>
  </si>
  <si>
    <t>10'000 animali</t>
  </si>
  <si>
    <t>N° max di UBG per ha di superficie inerbita</t>
  </si>
  <si>
    <t>Albero da frutto</t>
  </si>
  <si>
    <t>ad alto fusto</t>
  </si>
  <si>
    <t>Prato estensivo,</t>
  </si>
  <si>
    <t>terreno da strame</t>
  </si>
  <si>
    <t>Siepe e boschetto campestre e</t>
  </si>
  <si>
    <t>rivierasco con bande erbose</t>
  </si>
  <si>
    <t>Maggese</t>
  </si>
  <si>
    <t>fiorito</t>
  </si>
  <si>
    <t>da rotazione</t>
  </si>
  <si>
    <t>Strisce su</t>
  </si>
  <si>
    <t>superficie coltiva</t>
  </si>
  <si>
    <t>Fascia colturale estensiva</t>
  </si>
  <si>
    <t>in campicoltura</t>
  </si>
  <si>
    <t>Contributo di declività</t>
  </si>
  <si>
    <t>Contributo per le singole colture</t>
  </si>
  <si>
    <t>Contributo per la detenzione di bestiame che consuma foraggio grezzo</t>
  </si>
  <si>
    <t>Contributo per la detenzione di bestiame</t>
  </si>
  <si>
    <t>in condizioni di produzione difficili</t>
  </si>
  <si>
    <t>Superfici terrazzate</t>
  </si>
  <si>
    <t>Favino, pisello proteico e lupino da foraggio</t>
  </si>
  <si>
    <t>Colza, soia, girasole, canapa e lino</t>
  </si>
  <si>
    <t>Colza, soia, girasole e lino</t>
  </si>
  <si>
    <t>Pianta da fibra (lino e canapa esclusi)</t>
  </si>
  <si>
    <t>Contributo per la qualità biologica</t>
  </si>
  <si>
    <t>Prato permanente estensivo e poco estensivo, terreno da strame</t>
  </si>
  <si>
    <t>Pacolo estensivo, pascolo boschivo</t>
  </si>
  <si>
    <t>Albero da frutto ad alto fusto, albero indigeno isolato</t>
  </si>
  <si>
    <t>Siepe, boschetto campestre e rivierasco, vigneto con elevata biodiv. naturale e altri tipi di SPB</t>
  </si>
  <si>
    <t>Fascia colt. estensiva in campicoltura, maggese fiorito e da rotazione, strisce su superficie coltiva</t>
  </si>
  <si>
    <t>Una delle superfici inserite supera la corrispondente superficie riportata nel foglio «SPB»!</t>
  </si>
  <si>
    <t>Una delle cifre inserite supera la corrispondente cifra relativa agli alberi riportata nel foglio «SPB»!</t>
  </si>
  <si>
    <t>Una delle superfici inserite supera la corrispondente superficie riportata nel foglio «Superfici»!</t>
  </si>
  <si>
    <t>Una delle cifre inserite supera la cifra realitva agli alberi riportata nel foglio «Superfici»!</t>
  </si>
  <si>
    <t>Bovini, equini, bisonte, capra da latte e pecora da latte</t>
  </si>
  <si>
    <t>Altra capra, altra pecora, cervo, lama e alpaca</t>
  </si>
  <si>
    <t>Coeff. sup.</t>
  </si>
  <si>
    <t>Per il 1° e il 2° figlio</t>
  </si>
  <si>
    <t>dal 2008</t>
  </si>
  <si>
    <t>Indennità per i figli dal 2009</t>
  </si>
  <si>
    <t>Indennità per la formazione professionale dal 2009</t>
  </si>
  <si>
    <t>Contributo per la biodiversità (livello qualitativo I)</t>
  </si>
  <si>
    <t>Contributo per la biodiversità (livello qualitativo II)</t>
  </si>
  <si>
    <t>Pascolo estensivo, pascolo boschivo</t>
  </si>
  <si>
    <t>Sup. inerbita ricca di specie nelle reg. d'estiv.</t>
  </si>
  <si>
    <t>51 Zona di montagna I</t>
  </si>
  <si>
    <t>52 Zona di montagna II</t>
  </si>
  <si>
    <t>53 Zona di montagna III</t>
  </si>
  <si>
    <t>54 Zona di montagna IV</t>
  </si>
  <si>
    <t>Coefficienti tabellari</t>
  </si>
  <si>
    <t>Altri tipi di terre aperte</t>
  </si>
  <si>
    <t>Altri tipi di SAU</t>
  </si>
  <si>
    <t>Contr. legato alla sup.</t>
  </si>
  <si>
    <t>Contributo suppl. per TA e colture perenni</t>
  </si>
  <si>
    <t>Diritto ad altri contributi</t>
  </si>
  <si>
    <t>Suppl. per USM</t>
  </si>
  <si>
    <t>Lavoro supplementare, bilancio hMO</t>
  </si>
  <si>
    <t>Limite legato alla superficie</t>
  </si>
  <si>
    <t>Limite di carico/ha</t>
  </si>
  <si>
    <t>Limite massimo dei contributi</t>
  </si>
  <si>
    <t>Classi di contributi</t>
  </si>
  <si>
    <t>Bestiame presente (UBG)</t>
  </si>
  <si>
    <t>Ampiezza della superficie</t>
  </si>
  <si>
    <t>Quoziente relativo alla classe d'ampiezza della superficie</t>
  </si>
  <si>
    <t>Capitale animale</t>
  </si>
  <si>
    <t>Quoziente relativo alla classe di capitale animale</t>
  </si>
  <si>
    <t>UBGFG con deduzione per il latte consegnato</t>
  </si>
  <si>
    <t>Contributo legato alla superficie</t>
  </si>
  <si>
    <t>Riduzione dei pagamenti diretti (%)</t>
  </si>
  <si>
    <t>Uscita regolare all'aperto</t>
  </si>
  <si>
    <t>Bovini, equini, bisonte, pecora, capra, cervo, coniglio</t>
  </si>
  <si>
    <t>Bovini e bufali, equini, pecora e capra &gt; 1 anno, agnello al pascolo, coniglio</t>
  </si>
  <si>
    <t>Gallina ov., pollastrella, pollo da ingrasso e tacchino</t>
  </si>
  <si>
    <t>Limitazione secondo le USM</t>
  </si>
  <si>
    <t>Deduzione sul reddito delle coppie sposate</t>
  </si>
  <si>
    <t>Deduzione sulla sostanza delle coppie sposate</t>
  </si>
  <si>
    <t>Deduzione sulla sostanza secondo le USM</t>
  </si>
  <si>
    <t>Sistemi di stabulazione particolarmente rispettosi degli animali</t>
  </si>
  <si>
    <t>Bovini (vitello escluso), capra e coniglio</t>
  </si>
  <si>
    <t>Bovini e bufali &gt; 160 giorni, equini &gt; 30 mesi, capra &gt; 1 anno</t>
  </si>
  <si>
    <t>Gallina ovaiola e da riproduzione, pollastrella</t>
  </si>
  <si>
    <t>Pollo da ingrasso, tacchino e coniglio</t>
  </si>
  <si>
    <t>Contributo per le aziende d'estivazione, il pastore e i pascoli comunitari</t>
  </si>
  <si>
    <t>Vacca, capra e pecora munta</t>
  </si>
  <si>
    <t>CHF/carico normale o UBG</t>
  </si>
  <si>
    <t>sorv. costante da parte del pastore</t>
  </si>
  <si>
    <t>pascolo a rotazione</t>
  </si>
  <si>
    <t>altri pascoli</t>
  </si>
  <si>
    <t>Lista annuale 1</t>
  </si>
  <si>
    <t>Lista annuale 2</t>
  </si>
  <si>
    <t>Valore nell'intervallo scelto</t>
  </si>
  <si>
    <t>1° anno di pianif.</t>
  </si>
  <si>
    <t>2° anno di pianif.</t>
  </si>
  <si>
    <t>3° anno di pianif.</t>
  </si>
  <si>
    <t>4° anno di pianif.</t>
  </si>
  <si>
    <t>5° anno di pianif.</t>
  </si>
  <si>
    <t>6° anno di pianif.</t>
  </si>
  <si>
    <t>Anno prescelto</t>
  </si>
  <si>
    <t>Media</t>
  </si>
  <si>
    <t>Unità di misura utilizzate per i concimi</t>
  </si>
  <si>
    <t>Stab. senza prod. di liquami 1</t>
  </si>
  <si>
    <t>Stab. senza prod. di liquami 2</t>
  </si>
  <si>
    <t>Detenzione di suini all'aperto</t>
  </si>
  <si>
    <t>Stabulazione permanente</t>
  </si>
  <si>
    <t>Superficie parziale 1</t>
  </si>
  <si>
    <t>Superficie parziale 2</t>
  </si>
  <si>
    <t>Superficie parziale 3</t>
  </si>
  <si>
    <t>Superficie parziale 4</t>
  </si>
  <si>
    <t>Superficie parziale 5</t>
  </si>
  <si>
    <t>Superficie parziale 6</t>
  </si>
  <si>
    <t>Superficie parziale 7</t>
  </si>
  <si>
    <t>Superficie parziale 8</t>
  </si>
  <si>
    <t>Superficie parziale 9</t>
  </si>
  <si>
    <t xml:space="preserve">Dimensione delle parcelle con colt. erbacee da pieno campo </t>
  </si>
  <si>
    <t>Dimensione delle parcelle prative</t>
  </si>
  <si>
    <t>StFis/StLib</t>
  </si>
  <si>
    <t>StFis</t>
  </si>
  <si>
    <t>StLib</t>
  </si>
  <si>
    <t>Con corna/senza corna</t>
  </si>
  <si>
    <t>Unità standard di manodopera</t>
  </si>
  <si>
    <t>USM/unità</t>
  </si>
  <si>
    <t>Coltura speciale (vigneto in forte pendenza o terrazzato escluso)</t>
  </si>
  <si>
    <t>Terreno in pendenza in zona collinare e di montagna</t>
  </si>
  <si>
    <t>Terreno in forte pendenza in zona collinare e di montagna</t>
  </si>
  <si>
    <t>Vacca da latte, pecora da latte e capra da latte</t>
  </si>
  <si>
    <t>Scrofa allattante con suinetti (per ciclo)</t>
  </si>
  <si>
    <t>Piccoli frutti, erba aromatica/medicinale</t>
  </si>
  <si>
    <t>Tunnel, lettorino</t>
  </si>
  <si>
    <t>Produzione di funghi</t>
  </si>
  <si>
    <t>Produzione di champignons di Parigi</t>
  </si>
  <si>
    <t>Produzione di cavolo di Bruxelles</t>
  </si>
  <si>
    <t>Produzione di germogli di ortaggi</t>
  </si>
  <si>
    <t>Orticoltura professionale</t>
  </si>
  <si>
    <t>di produzione agricola propria</t>
  </si>
  <si>
    <t>Attività accessoria all'agricoltura</t>
  </si>
  <si>
    <t>Sottocategorie per SuisseBilanz</t>
  </si>
  <si>
    <t>Vacca nutrice</t>
  </si>
  <si>
    <t>Vitello di VM</t>
  </si>
  <si>
    <t>Giumenta</t>
  </si>
  <si>
    <t>Solo avena come for. concentrato</t>
  </si>
  <si>
    <t>Nastro per deiezioni</t>
  </si>
  <si>
    <t>All. al suolo, cassone per deiezioni</t>
  </si>
  <si>
    <t>Pecora</t>
  </si>
  <si>
    <t>Fattori UBG</t>
  </si>
  <si>
    <t>convertito dal 2009</t>
  </si>
  <si>
    <t>convertito dal 2014</t>
  </si>
  <si>
    <t>convertito dal 2018</t>
  </si>
  <si>
    <t>Fattore legato all'annata</t>
  </si>
  <si>
    <t>Categorie dal 2020</t>
  </si>
  <si>
    <t>Categorie fino al 2018</t>
  </si>
  <si>
    <t>Vitello da ingrasso (50-200 kg) al'anno</t>
  </si>
  <si>
    <t>Bovino da ingrasso intensivo &gt; 65 kg, &lt;= 520 kg</t>
  </si>
  <si>
    <t>Bovino da ingrasso, finissaggio intensivo &gt; ± 300 kg PV</t>
  </si>
  <si>
    <t>Categorie fino al 2008</t>
  </si>
  <si>
    <t>Categorie dal 2009</t>
  </si>
  <si>
    <t>Bovino &gt; 730 giorni</t>
  </si>
  <si>
    <t>Bovino 365-730 giorni</t>
  </si>
  <si>
    <t>Bovino 160-365 giorni</t>
  </si>
  <si>
    <t>Bovino &lt;= 120 giorni</t>
  </si>
  <si>
    <t>Categorie dal 2014</t>
  </si>
  <si>
    <t>Bovino &lt; 160 giorni</t>
  </si>
  <si>
    <t>Dialogo_Nb2</t>
  </si>
  <si>
    <t>Impiego di foraggio a basso tenore di N e P</t>
  </si>
  <si>
    <t>Tenori di elementi nutritivi nei foraggi</t>
  </si>
  <si>
    <t>Suino 1)</t>
  </si>
  <si>
    <t>MJ EDS</t>
  </si>
  <si>
    <t>g PG</t>
  </si>
  <si>
    <t>Verro da riproduzione 2)</t>
  </si>
  <si>
    <t>Scrofa allattante 2)</t>
  </si>
  <si>
    <t>Annulla</t>
  </si>
  <si>
    <t>Dati standard</t>
  </si>
  <si>
    <t>Dialogo_Imp</t>
  </si>
  <si>
    <t>Elementi nutritivi dei bilanci (Imp/Exp)</t>
  </si>
  <si>
    <t>Attenzione! Tutti i dati di questo foglio verranno ripresi correttamente da SuisseBilanz solo se per ogni categoria di bestiame il n° di unità corrisponde esattamente a quello del foglio «Bestiame».</t>
  </si>
  <si>
    <t>Categorie considerate nelle cifre riportate qui a fianco:</t>
  </si>
  <si>
    <t>Bilancio Imp/Exp di diverse categorie di suino</t>
  </si>
  <si>
    <t>Bilancio Imp/Exp per singole categorie di suino (con + bilanci Imp/Exp)</t>
  </si>
  <si>
    <t>Scrofa allattante</t>
  </si>
  <si>
    <t>Suino da riproduzione con suinetti 1)</t>
  </si>
  <si>
    <t>Suino da ingrasso 1)</t>
  </si>
  <si>
    <t>Verro da riproduzione 1)</t>
  </si>
  <si>
    <t>Scrofa allattante 1)</t>
  </si>
  <si>
    <t>Suinetto svezzato 1)</t>
  </si>
  <si>
    <t>1) Per queste categorie, i dati sono utilizzabili unicamente se il risultato del bilancio Imp/Exp non considera ulteriori categorie di suini.</t>
  </si>
  <si>
    <t>Coniglio (proveniente dal bilancio import / export)</t>
  </si>
  <si>
    <t>Bilancio Imp/Exp di diverse categorie di coniglio</t>
  </si>
  <si>
    <t>Elimina i dati</t>
  </si>
  <si>
    <t>Dialogo_Ort1</t>
  </si>
  <si>
    <t>Colture disponibili</t>
  </si>
  <si>
    <t>Colture selezionate</t>
  </si>
  <si>
    <t>Elimina tutte le colture</t>
  </si>
  <si>
    <t>Elimina una coltura</t>
  </si>
  <si>
    <t>Chiudi la finestra di dialogo</t>
  </si>
  <si>
    <t>Dialogo_Ort2</t>
  </si>
  <si>
    <t>Ortaggi sotto protezione</t>
  </si>
  <si>
    <t>Dialogo_Fru</t>
  </si>
  <si>
    <t>Frutta</t>
  </si>
  <si>
    <t>Dialogo_Pfr</t>
  </si>
  <si>
    <t>Dialogo_UBG</t>
  </si>
  <si>
    <t>UBG bovini e bufalini in funzione delle classi d'età 1)</t>
  </si>
  <si>
    <t>Categ. di bestiame</t>
  </si>
  <si>
    <t>Fatt. UBG</t>
  </si>
  <si>
    <t>UBG azienda</t>
  </si>
  <si>
    <t>UBG estivati</t>
  </si>
  <si>
    <t>Vacca</t>
  </si>
  <si>
    <t>Bovino d'età</t>
  </si>
  <si>
    <t>&gt; 730 giorni</t>
  </si>
  <si>
    <t>365-730 giorni</t>
  </si>
  <si>
    <t>160-365 giorni</t>
  </si>
  <si>
    <t>&lt; 160 giorni</t>
  </si>
  <si>
    <t>0,13</t>
  </si>
  <si>
    <t>0,33</t>
  </si>
  <si>
    <t>1) Attenzione:</t>
  </si>
  <si>
    <t>È possibile modificare solo i dati delle colonne «UBG azienda» e «UBG estivati». Le somme sono dati calcolati e non modificabili.</t>
  </si>
  <si>
    <t>Le modifiche eseguite in questa finestra influenzano unicamente il calcolo di pagamenti diretti e USM. Tutti gli altri fogli si basano sui dati riportati nel foglio «Bestiame».</t>
  </si>
  <si>
    <t>Ripristina i dati iniziali</t>
  </si>
  <si>
    <t>Riprendi i dati</t>
  </si>
  <si>
    <t>Dialogo_Foglio</t>
  </si>
  <si>
    <t>Scegli un foglio</t>
  </si>
  <si>
    <t>Dialogo_Stampa</t>
  </si>
  <si>
    <t>Foglio</t>
  </si>
  <si>
    <t>Stampa</t>
  </si>
  <si>
    <t>Seleziona tutti/nessuno</t>
  </si>
  <si>
    <t>Stampa l'intestazione</t>
  </si>
  <si>
    <t>Testo nel codice</t>
  </si>
  <si>
    <t>Pannello di colza</t>
  </si>
  <si>
    <t>CHBZ: modulo E - prod. di metanizzazione e residui di racc. degli ortaggi</t>
  </si>
  <si>
    <t>Calcolo della percentuale di N disponibile per l'azienda partendo dall'N presente nei prodotti liquidi di fermentazione e nei residui di raccolta degli ortaggi</t>
  </si>
  <si>
    <t>Prodotti liquidi di metanizzazione</t>
  </si>
  <si>
    <t>Digestato e digestato liquido (concime ottenuto dal riciclaggio)</t>
  </si>
  <si>
    <t>Digestato e digestato liquido (concime ottenuto dal riciclaggio) - analisi CaCl2</t>
  </si>
  <si>
    <t>Contenuto di elementi nutritivi (kg/unità)</t>
  </si>
  <si>
    <t>Quantità di elementi nutritivi (kg/anno)</t>
  </si>
  <si>
    <t>E1: Prodotti liquidi di metanizzazione</t>
  </si>
  <si>
    <t>da riportare nel modulo principale di CHBZ, parte E</t>
  </si>
  <si>
    <t>Prodotti solidi di metanizzazione</t>
  </si>
  <si>
    <t>Letame fermentato (concime aziendale)</t>
  </si>
  <si>
    <t>Digestato solido (concime ottenuto dal riciclaggio)</t>
  </si>
  <si>
    <t>Digestato solido (concime ottenuto dal riciclaggio) - analisi CaCl2</t>
  </si>
  <si>
    <t>E2: Prodotti solidi di metanizzazione</t>
  </si>
  <si>
    <t>Residui di raccolta degli ortaggi</t>
  </si>
  <si>
    <t>E3: Residui di raccolta degli ortaggi</t>
  </si>
  <si>
    <t>14] Fattore di conversione di Nstock in Ndisp secondo l'effettiva disponibilità di N per l'azienda (vedi istruzioni)</t>
  </si>
  <si>
    <t>15] Ripresa dei prodotti di metanizzazione registrati in HODUFLU</t>
  </si>
  <si>
    <t>Riporto dal modulo E</t>
  </si>
  <si>
    <t>E: Totale dei prodotti di metanizzazione e residui della raccolta degli ortaggi</t>
  </si>
  <si>
    <t>[ + ] App. eff. di prod. di metanizzazione e residui colturali degli ortaggi</t>
  </si>
  <si>
    <t>Prodotti di metanizzazione</t>
  </si>
  <si>
    <t>Utile lordo vacca madre</t>
  </si>
  <si>
    <t>Utile lordo vacca madre/capo</t>
  </si>
  <si>
    <t>Utile lordo vacca madre per UBG</t>
  </si>
  <si>
    <t>Ritorna al foglio «Bestiame»</t>
  </si>
  <si>
    <t>Descrizione della mandria di vacche madri</t>
  </si>
  <si>
    <t>Effettivo medio</t>
  </si>
  <si>
    <t>N° medio di vitelli per vacca madre</t>
  </si>
  <si>
    <t>N° medio di tori</t>
  </si>
  <si>
    <t>Rimonta interna all'azienda</t>
  </si>
  <si>
    <t>Carriera media vacca madre</t>
  </si>
  <si>
    <t>Carriera media toro</t>
  </si>
  <si>
    <t>Perdita vitello</t>
  </si>
  <si>
    <t>N° poste da ingrasso</t>
  </si>
  <si>
    <t>I risultati descritti si riferiscono alla situazione dopo la costituzione della mandria!</t>
  </si>
  <si>
    <t>Vendita vacca madre a fine carriera</t>
  </si>
  <si>
    <t>Vendita manza gravida</t>
  </si>
  <si>
    <t>Vendita vacca madre con vitello</t>
  </si>
  <si>
    <t>Vendita toro</t>
  </si>
  <si>
    <t>Vendita Natura-veal</t>
  </si>
  <si>
    <t>Altre entrate</t>
  </si>
  <si>
    <t>kg carne</t>
  </si>
  <si>
    <t>kg peso morto</t>
  </si>
  <si>
    <t>Acquisto vacca madre</t>
  </si>
  <si>
    <t>Acquisto manza gravida</t>
  </si>
  <si>
    <t>Acquisto vacca madre con vitello</t>
  </si>
  <si>
    <t>Acquisto vitello</t>
  </si>
  <si>
    <t>Foraggio concentrato per vitelli (vacche comprese)</t>
  </si>
  <si>
    <t>Costi specifici per l'ingrasso (concentrati, veterinario, ecc.)</t>
  </si>
  <si>
    <t>Costi specifici diversi</t>
  </si>
  <si>
    <t>Spese di macelleria: macellazione, preparazione, ecc.</t>
  </si>
  <si>
    <t>Calcolo dettagliato dell'UL vacca madre</t>
  </si>
  <si>
    <t>Elimina le singole righe «Vacca madre»</t>
  </si>
  <si>
    <t>una tantum</t>
  </si>
  <si>
    <t>Riassunto del numero di capi</t>
  </si>
  <si>
    <t>Bestiame giovane di VM &lt; 1 anno</t>
  </si>
  <si>
    <t>Quota di rimonta interna all'azienda</t>
  </si>
  <si>
    <t>CHF/giorno</t>
  </si>
  <si>
    <t>D_Sup</t>
  </si>
  <si>
    <t>D_Best</t>
  </si>
  <si>
    <t>D_Ort1</t>
  </si>
  <si>
    <t>D_Ort2</t>
  </si>
  <si>
    <t>D_Frutta</t>
  </si>
  <si>
    <t>D_CAz</t>
  </si>
  <si>
    <t>T_ContCAz</t>
  </si>
  <si>
    <t>D_MdO</t>
  </si>
  <si>
    <t>CHBZ_E</t>
  </si>
  <si>
    <t>CHBZ1</t>
  </si>
  <si>
    <t>CHBZ2</t>
  </si>
  <si>
    <t>ViteLup</t>
  </si>
  <si>
    <t>Ortaggi1</t>
  </si>
  <si>
    <t>Ortaggi2</t>
  </si>
  <si>
    <t>ForGr</t>
  </si>
  <si>
    <t>CAz</t>
  </si>
  <si>
    <t>CAzA</t>
  </si>
  <si>
    <t>CAzB</t>
  </si>
  <si>
    <t>Volumi1</t>
  </si>
  <si>
    <t>Volumi2</t>
  </si>
  <si>
    <t>ULVaLa</t>
  </si>
  <si>
    <t>CostoForGr</t>
  </si>
  <si>
    <t>CostiStr1</t>
  </si>
  <si>
    <t>CostiStr2</t>
  </si>
  <si>
    <t>D_Click</t>
  </si>
  <si>
    <t>Moduli PER</t>
  </si>
  <si>
    <t>PagDir</t>
  </si>
  <si>
    <t>Dati aziendali</t>
  </si>
  <si>
    <t>Promovimento della biodiversità (cifre chiave)</t>
  </si>
  <si>
    <t>Agricoltura biologica (cifre chiave)</t>
  </si>
  <si>
    <t>Rotazione colturale (cifre chiave)</t>
  </si>
  <si>
    <t>CHBZ: prodotti della metanizzazione</t>
  </si>
  <si>
    <t>CHBZ: rese e foraggio</t>
  </si>
  <si>
    <t>CHBZ: fabbisogno e bilancio</t>
  </si>
  <si>
    <t>CHBZ: ortaggi in campo aperto</t>
  </si>
  <si>
    <t>CHBZ: ortaggi in serra / tunnel</t>
  </si>
  <si>
    <t>CHBZ: frutta e piccoli frutti</t>
  </si>
  <si>
    <t>Bilancio del bestiame giovane</t>
  </si>
  <si>
    <t>Produzione di concimi aziendali</t>
  </si>
  <si>
    <t>A. Indicazioni sulla produzione di concimi aziendali</t>
  </si>
  <si>
    <t>B. Acque esauste / acque per la diluizione dei liquami</t>
  </si>
  <si>
    <t>C. Liquami, letame e produzione di elementi nutritivi</t>
  </si>
  <si>
    <t>Bilancio della manodopera</t>
  </si>
  <si>
    <t>Pianificazione dei volumi 1</t>
  </si>
  <si>
    <t>Pianificazione dei volumi 2</t>
  </si>
  <si>
    <t>Utile lordo del bestiame da latte</t>
  </si>
  <si>
    <t>Utile lordo delle vacche madri</t>
  </si>
  <si>
    <t>Paesaggio rurale</t>
  </si>
  <si>
    <t>Bilancio foraggero (PLCSI: produzione di latte e carne basata sulla superficie inerbita)</t>
  </si>
  <si>
    <t>Contributo di transizione</t>
  </si>
  <si>
    <t>Costi strutturali 2</t>
  </si>
  <si>
    <t>Redditi accessori e consumo privato</t>
  </si>
  <si>
    <t>Flussi di cassa pluriennali</t>
  </si>
  <si>
    <t>Diagramma dei flussi di cassa pluriennali</t>
  </si>
  <si>
    <t>Allegato 1: Redditi e spese private</t>
  </si>
  <si>
    <t>Conteggio della comunità</t>
  </si>
  <si>
    <t>Conteggio per</t>
  </si>
  <si>
    <t>Banca dati per le colture erbacee da pieno campo</t>
  </si>
  <si>
    <t>Banca dati per la detenzione di animali</t>
  </si>
  <si>
    <t>Frutti diversi</t>
  </si>
  <si>
    <t>Banca dati per l'indice di protezione del suolo (A5)</t>
  </si>
  <si>
    <t>Banca dati per la produzione di concimi aziendali</t>
  </si>
  <si>
    <t>Tabella dei contenuti dei concimi aziendali</t>
  </si>
  <si>
    <t>Tabella del consumo d'acqua</t>
  </si>
  <si>
    <t>Banca dati per il bilancio della mandopera</t>
  </si>
  <si>
    <t>Coefficienti ed elenchi a discesa</t>
  </si>
  <si>
    <t>fo&amp;gli</t>
  </si>
  <si>
    <t>sce&amp;gli</t>
  </si>
  <si>
    <t>stam&amp;pa</t>
  </si>
  <si>
    <t>&amp;ripara gli oggetti</t>
  </si>
  <si>
    <t>&amp;sblocca gli oggetti</t>
  </si>
  <si>
    <t>&amp;blocca gli oggetti</t>
  </si>
  <si>
    <t>I dati aziendali generali (indirizzo, tipo di produzione, zona di produzione, superfici, animali) vanno inseriti nei fogli da 1 a 3, perché indispensabili per eseguire i calcoli presenti sui fogli successivi!</t>
  </si>
  <si>
    <t>Per favore, salva questa cartella con un altro nome!</t>
  </si>
  <si>
    <t>Il nuovo nome non deve contenere né spazi né segni particolari (p. es. .,:/&amp;)!</t>
  </si>
  <si>
    <t>Una cartella con questo nome è già aperta!</t>
  </si>
  <si>
    <t>impossibile da caricare</t>
  </si>
  <si>
    <t>I dati di questo file non potranno essere importati; le cause possibili sono le seguenti:</t>
  </si>
  <si>
    <t>non si tratta di un file BetVor oppure è stato creato con  una versione di BetVor antecedene alla 8.2</t>
  </si>
  <si>
    <t>oppure il nome del file è troppo lungo (&gt; 6 caratteri) e/o contiene caratteri speciali (p. es. degli spazi)</t>
  </si>
  <si>
    <t>Devo riprendere i dati di questo file?</t>
  </si>
  <si>
    <t>Per favore, scegli il file dal quale riprendere i dati!</t>
  </si>
  <si>
    <t>Ci sono diversi file aperti. Chiudi tutti i file e riprova</t>
  </si>
  <si>
    <t xml:space="preserve">Queste categorie non sono disponibili per la campagna (anno) scelta! </t>
  </si>
  <si>
    <t>password non valida</t>
  </si>
  <si>
    <t>Questa macro funzona solamente partendo dal preventivo aziendale!</t>
  </si>
  <si>
    <t>Questa azione elimina definitivamente tutti i fogli che non sono necessari per creare i «moduli PER». Per questo motivo la cartella di lavoro non deve contenere dati!</t>
  </si>
  <si>
    <t>Questa azione elimina definitivamente tutti i fogli che non sono necessari per creare la versione «BetVor light». Per questo motivo la cartella di lavoro non deve contenere dati!</t>
  </si>
  <si>
    <t>Questa azione elimina definitivamente tutti i fogli che non sono necessari per il calcolo dei «pagamenti diretti». Per questo motivo la cartella di lavoro non deve contenere dati!</t>
  </si>
  <si>
    <t>terminato il</t>
  </si>
  <si>
    <t>Per favore, apri prima la campagna (anno) dalla quale vuoi riprendere i dati!</t>
  </si>
  <si>
    <t>Quando si trasferiscono i dati dalle cartelle di «Feldbuch»,</t>
  </si>
  <si>
    <t>va aperto solo il file dal quale si vogliono riprendere i dati</t>
  </si>
  <si>
    <t>Non è più possibile trasferire dati da questa versione di «Feldbuch». Aggiorna la versione di «Feldbuch» (rivolgiti ad Agridea)!</t>
  </si>
  <si>
    <t>I settori da trasferire non corrispondono</t>
  </si>
  <si>
    <t>La versione di «Feldbuch» in esecuzione è antecedente la 7.4. Le eventuali superfici destinate alla produzione di graminacee e/o leguminose da seme sono contabilizzate come prato temporaneo intensivo, perciò vanno inserite manulamente nelle categorie corrette</t>
  </si>
  <si>
    <t>I dati sono stati trasferiti con successo</t>
  </si>
  <si>
    <t>Verifica la correttezza dei dati inseriti nel foglio  «Superfici»</t>
  </si>
  <si>
    <t>Superfici e rese delle colture vanno inserite nel foglio 2</t>
  </si>
  <si>
    <t>Hai già inserito superfici e rese aziendali?</t>
  </si>
  <si>
    <t>Indicazioni per il bilancio degli elementi nutritivi</t>
  </si>
  <si>
    <t>In questa tabella del foglio 3, hai inserito troppe categorie di animali al pascolo! Verifica i dati del foglio 3 «Inventario bestiame»!</t>
  </si>
  <si>
    <t>In questa tabella del foglio 3, hai inserito troppe specie di animali! Verifica i dati del foglio 3 «Inventario bestiame»!</t>
  </si>
  <si>
    <t>L'inventario del bestiame va inserito nel foglio 3,</t>
  </si>
  <si>
    <t xml:space="preserve"> inoltre bisogna rispondere alle domande relative la correzione del consumo di foraggio grezzo delle vacche da latte. Hai già inserito l'inventario del bestiame aziendale e risposto alle domande?</t>
  </si>
  <si>
    <t>In questo foglio manca [FehlerMarkieren]</t>
  </si>
  <si>
    <t>In questo foglio manca [FehlerMeldung]</t>
  </si>
  <si>
    <t>[FehlerBedingung] e [FehlerMarkieren] non hanno lo stesso n° di aree parziali</t>
  </si>
  <si>
    <t>[FehlerBedingung] e [FehlerMeldung] non hanno lo stesso n° di aree parziali</t>
  </si>
  <si>
    <t>La struttura delle caselle di [FehlerBedingung] e [FehlerMarkieren] è diversa</t>
  </si>
  <si>
    <t>La struttura delle caselle di [FehlerBedingung] e [FehlerMeldung] è diversa</t>
  </si>
  <si>
    <t>Per favore, prima correggi gli errori segnalati nelle caselle evidenziate</t>
  </si>
  <si>
    <t>e poi premi nuovamente il pulsante «cerca gli errori»!</t>
  </si>
  <si>
    <t>Il contingente lattiero va espresso numericamente (senza unità di misura)</t>
  </si>
  <si>
    <t>La stringa di caratteri</t>
  </si>
  <si>
    <t>va trasformata in numero</t>
  </si>
  <si>
    <t>Errore! Il contenuto della casella non è un numero!</t>
  </si>
  <si>
    <t>Il numero negativo</t>
  </si>
  <si>
    <t>va espresso in valore assoluto</t>
  </si>
  <si>
    <t>Errore! Il contenuto della casella non è un numero positivo!</t>
  </si>
  <si>
    <t>Hai inserito troppe specie di animali in questa tabella! Verifica i dati inseriti nel foglio 3!</t>
  </si>
  <si>
    <t>Hai già inserito il bestiame aziendale?</t>
  </si>
  <si>
    <t>Indicazione relativa alla produzione di concimi aziendali</t>
  </si>
  <si>
    <t>Il foraggiamento invernale va espresso numericamente (senza unità di misura)</t>
  </si>
  <si>
    <t>L'area citata [consumatori di foraggio grezzo] della tabella «BD_Animali» deve corrispondere all'area con lo stesso nome del foglio «Inventario bestiame»</t>
  </si>
  <si>
    <t>Hai inserito troppe colture in questa tabella! Verifica i dati inseriti nel foglio 2!</t>
  </si>
  <si>
    <t>Le colture principali e quelle secondarie vanno inserite nel foglio 2, unitamente alle loro rese</t>
  </si>
  <si>
    <t>Hai gia inserito i dati?</t>
  </si>
  <si>
    <t>Indicazioni per il bilancio in SS del foraggio grezzo</t>
  </si>
  <si>
    <t>Hai inserito troppe specie animali o troppe colture in questa tabella! Verifica i dati inseriti nei fogli 2 e 3!</t>
  </si>
  <si>
    <t>Le superfici delle colture e l'inventario del bestiame vanno inseriti nel foglio 2.</t>
  </si>
  <si>
    <t>Hai già inserito i dati richiesti?</t>
  </si>
  <si>
    <t>Indicazioni per il bilancio della manodopera</t>
  </si>
  <si>
    <t>Le superfici delle colture vanno inserite nel foglio 2</t>
  </si>
  <si>
    <t>Indicazioni sul costo dei foraggi grezzi</t>
  </si>
  <si>
    <t>La tabella è completa; non è possibile inserire ulteriori colture</t>
  </si>
  <si>
    <t>Indicazioni per il</t>
  </si>
  <si>
    <t>n° di vacche da lattte</t>
  </si>
  <si>
    <t>Il n° di vacche da latte viene aggiornato automaticamente nei fogli «Bilancio del bestiame giovane» e «Inventario bestiame»! Per contro, il bilancio del bestiame giovane non sarà ottimizzato!</t>
  </si>
  <si>
    <t>modifica il n° di vacche da latte</t>
  </si>
  <si>
    <t>(la produzione di latte viene aggiornata automaticamente nel foglio «Inventario bestiame»)</t>
  </si>
  <si>
    <t>modifica la produzione di latte</t>
  </si>
  <si>
    <t>per favore, inserisci una password valida</t>
  </si>
  <si>
    <t>Va selezionato il sistema di stabulazione corrispondente!</t>
  </si>
  <si>
    <t>Va selezionata una fossa per liquami!</t>
  </si>
  <si>
    <t>Va selezionata una concimaia!</t>
  </si>
  <si>
    <t>Il n° di animali nel sistema di stabulazione 2 supera la cifra indicata nel foglio «Inventario bestiame»!</t>
  </si>
  <si>
    <t>Vuoi vedere ulteriori messaggi d'errore?</t>
  </si>
  <si>
    <t>Il n° di animali presenti sull'area d'uscita supera il n° di animali oppure è negativo!</t>
  </si>
  <si>
    <t>Il n° di animali al pascolo supera il n° di animali o è negativo!</t>
  </si>
  <si>
    <t>Deduzioni registrate anche se non ci sono animali in questa categoria o le deduzioni superano il n° di animali!</t>
  </si>
  <si>
    <t>Hai inserito troppe specie di animali per la fossa per liquami n°</t>
  </si>
  <si>
    <t>Hai inserito troppe specie di animali per la concimaia n°</t>
  </si>
  <si>
    <t>Verifica i dati del foglio</t>
  </si>
  <si>
    <t>Questa funzione ripristina gli oggetti</t>
  </si>
  <si>
    <t>nelle loro dimensioni e posizioni originali</t>
  </si>
  <si>
    <t>Utilizza questa funzione solo nei</t>
  </si>
  <si>
    <t>casi necessari! Vuoi continuare?</t>
  </si>
  <si>
    <t>L'opzione di inserimento dati selezionata è definitiva e non potrà più essere modificata in questa variante di pianificazione!</t>
  </si>
  <si>
    <t>Alcuni dati saranno eliminati. Vuoi continuare ugualmente?</t>
  </si>
  <si>
    <t>errore nell'inserimento dati</t>
  </si>
  <si>
    <t>Per favore, per le campagne degli anni precedenti, utilizza le versioni antecedenti</t>
  </si>
  <si>
    <t>Il n° di vitelli di vacche madri è stato</t>
  </si>
  <si>
    <t>trasformato in poste occupate permanentemente.</t>
  </si>
  <si>
    <t>Per favore, se hai spostato del bestiame in un'altra azienda avente della SAU, correggi i valori relativi al bestiame nel foglio «USM» nonché i contributi SSRA e URA nel foglio «CSP». Per la correzione utilizza gli appositi spazi</t>
  </si>
  <si>
    <t>AgrBIO</t>
  </si>
  <si>
    <t>AcqFOR</t>
  </si>
  <si>
    <t>CAzC</t>
  </si>
  <si>
    <t>FluCasTAB</t>
  </si>
  <si>
    <t>FluCasGRAF</t>
  </si>
  <si>
    <t>Tab_Aqua</t>
  </si>
  <si>
    <t>3)</t>
  </si>
  <si>
    <t>4)</t>
  </si>
  <si>
    <t>5)</t>
  </si>
  <si>
    <t>6)</t>
  </si>
  <si>
    <t>7)</t>
  </si>
  <si>
    <t>regolarmente (media triennale) superiore alla norma (guida SuisseBilanz)</t>
  </si>
  <si>
    <t>9)</t>
  </si>
  <si>
    <t>11)</t>
  </si>
  <si>
    <t>13)</t>
  </si>
  <si>
    <t>8)</t>
  </si>
  <si>
    <t>12)</t>
  </si>
  <si>
    <t>2)</t>
  </si>
  <si>
    <t>Nges-Anfall im Laufhof =</t>
  </si>
  <si>
    <t>Nges-Anfall auf der Weide =</t>
  </si>
  <si>
    <t xml:space="preserve">-Typ 100: Einraumlaufstall (Tiefstreu) für Raufutterverzehrer, </t>
  </si>
  <si>
    <t>Nges-Anfall ganz übertragen</t>
  </si>
  <si>
    <t>Nges-Anfall zur Hälfte übertragen</t>
  </si>
  <si>
    <t>Betriebseigenes nährstoffarmes Grundfutter</t>
  </si>
  <si>
    <t>Nährstoffarmes Grundfutter aus Zu- und Wegfuhren</t>
  </si>
  <si>
    <t xml:space="preserve">N-Bedarf ist zu reduzieren für Ackerkulturen mit </t>
  </si>
  <si>
    <t>besonders tiefen Erträgen. Bei regelmässig über dem 3-Jahresdurchschnitt</t>
  </si>
  <si>
    <t>Werte für Nebenprodukte anderer Kulturen (siehe Wegleitung)</t>
  </si>
  <si>
    <t>Nur auf dem Betrieb verfüttertes Futter von ungedüngten</t>
  </si>
  <si>
    <t>Wiesen; max. 1/4 von GFprod anrechenbar</t>
  </si>
  <si>
    <t>"Unechter" Nährstoffbedarf = Nährstoffanfall der Weidetiere</t>
  </si>
  <si>
    <t>Betriebsspezifischer N-Ausnutzungsgrad (siehe Wegleitung)</t>
  </si>
  <si>
    <t>Betriebsspezifischer Fehlerbereich bei Abweichung vom Normalfall DZV</t>
  </si>
  <si>
    <t>Gülle und &lt; 10 % Vollmist</t>
  </si>
  <si>
    <t xml:space="preserve">-Typ 0: Herstellung von nur Gülle, Gülle und Stapelmist, </t>
  </si>
  <si>
    <t>liegenden Erträgen, kann der N-Bedarf erhöht werden (siehe Wegleitung)</t>
  </si>
  <si>
    <t>peuvent augmonter le besopn d'azote - voir guide Suisse-Bilanz</t>
  </si>
  <si>
    <t xml:space="preserve"> les sorties au parcours =</t>
  </si>
  <si>
    <t xml:space="preserve">de stabulation sans purin. Pas de report du Nstock du fumier. </t>
  </si>
  <si>
    <t>-Type 100: Seulement  système de stabulation  libre sur paille à un secteur pour les animaux</t>
  </si>
  <si>
    <t>Reporter la moitié du Nstock produit à l'étable.</t>
  </si>
  <si>
    <t>Fourrages pauvres en éléments nutritifs, propres à l'exploitation.</t>
  </si>
  <si>
    <t>Fourrages pauvres en éléments nutritifs, achetés ou vendus.</t>
  </si>
  <si>
    <t>Réduire les besoins en N pour les grandes cultures avec des rendements</t>
  </si>
  <si>
    <t>particulièrement bas, rendements plus haut pour une periode de 3 ans</t>
  </si>
  <si>
    <t>Pour les sous-produits d'autres cultures (voir guide)</t>
  </si>
  <si>
    <t>Fourrages des prairies sans fumures. Prise en compte suelement du fourrage consommé</t>
  </si>
  <si>
    <t>sur l'exploitation et au maximum 1/4 du total des fourrages produits sur l'exploitation.</t>
  </si>
  <si>
    <t>Besoins théoriques correspondant aux restituitions par les animaux au pâturage.</t>
  </si>
  <si>
    <t>Part d'azote disponible dans les engrais de ferme de l'exploitation (voir guide)</t>
  </si>
  <si>
    <t>Marge d'erreur max. propre à l'exploitation lorsqu'elle diverge du cas standard selon OPD.</t>
  </si>
  <si>
    <t>Margine d'errore max specifico dell'azienda nel caso diverga dalla norma prevista dall'OPD</t>
  </si>
  <si>
    <t>Prod. di Nstock sull'area d'esercizio =</t>
  </si>
  <si>
    <t>Prod. di Nstock al pascolo =</t>
  </si>
  <si>
    <t>Sistemi di stab. senza produzione di liquami = «letame senza liquame» (guida SuisseBilanz)</t>
  </si>
  <si>
    <t xml:space="preserve">-Tipo 0: produzione di soli liquami, di liquami + letame di mucchio </t>
  </si>
  <si>
    <t>bestiame che consuma foraggio grezzo, lettiera profonda per suini e qualsiasi</t>
  </si>
  <si>
    <t>Riporta solo la metà dell'Nstock prodotto</t>
  </si>
  <si>
    <t>Foraggi grezzi aziendali poveri di elementi nutritivi</t>
  </si>
  <si>
    <t>Foraggi grezzi poveri di elementi nutritivi ceduti o ritirati</t>
  </si>
  <si>
    <t>Il fabbisogno di N delle colture erbacee da pieno campo va ridotto se le rese abituali sono</t>
  </si>
  <si>
    <t>Valori per i sottoprodotti di altre colture (guida SuisseBilanz)</t>
  </si>
  <si>
    <t>Foraggio grezzo consumato in azienda e proveniente da prati non</t>
  </si>
  <si>
    <t>Fabbisogno teorico di elementi nutritivi = «restituzioni» del bestiame al pascolo</t>
  </si>
  <si>
    <t>% di azoto disponibile per l'azienda presente nei concimi aziendali (guida SuisseBilanz)</t>
  </si>
  <si>
    <t>cons. des fourrages grossiers, stabulation à litière profonde  pour porcs et tous les</t>
  </si>
  <si>
    <t>Prod. Nstock durant la pâture =</t>
  </si>
  <si>
    <t>Système de stabulation sans prod. de purin = "fumier de stabulation sans purin" (voir guide)</t>
  </si>
  <si>
    <t>Anz. Einheiten x Laufhoftage x Nges x 0.1</t>
  </si>
  <si>
    <t>Aufstallungssysteme ohne Gülleanfall = Vollmist-Systeme (siehe Wegleitung)</t>
  </si>
  <si>
    <t>Prod. Nstock durant =</t>
  </si>
  <si>
    <t>Presenza media in azienda</t>
  </si>
  <si>
    <t>Séjour moyen à la ferme</t>
  </si>
  <si>
    <t>Ø Aufenthalt im Betrieb</t>
  </si>
  <si>
    <t>Carico minimo di bestiame*</t>
  </si>
  <si>
    <t>CHF / h</t>
  </si>
  <si>
    <t>anno</t>
  </si>
  <si>
    <t>h per</t>
  </si>
  <si>
    <t>h pro</t>
  </si>
  <si>
    <t xml:space="preserve">h </t>
  </si>
  <si>
    <t>Nährstoffbedarf, kg / ha oder kg / dt</t>
  </si>
  <si>
    <t>Besoins en éléments fertilisants, kg / ha ou kg / dt</t>
  </si>
  <si>
    <t>kg / dt</t>
  </si>
  <si>
    <t>dt / ha</t>
  </si>
  <si>
    <t>kg / ...</t>
  </si>
  <si>
    <t>Max. Ertrag</t>
  </si>
  <si>
    <t>Tipo 50/100</t>
  </si>
  <si>
    <t>Tipo 100</t>
  </si>
  <si>
    <t>Typ 50</t>
  </si>
  <si>
    <t>Tipo 0</t>
  </si>
  <si>
    <t>Tipo 50</t>
  </si>
  <si>
    <t>Blaue Zellen</t>
  </si>
  <si>
    <t>Caselle blu</t>
  </si>
  <si>
    <t>Cellules bleues</t>
  </si>
  <si>
    <t>Cellula bleue</t>
  </si>
  <si>
    <t>Blaue Zelle</t>
  </si>
  <si>
    <t>Casella blu</t>
  </si>
  <si>
    <t>q per anno o kg per anno</t>
  </si>
  <si>
    <t>dt per an o kg per an</t>
  </si>
  <si>
    <t>dt pro Jahr oder kg pro Jahr</t>
  </si>
  <si>
    <t>Standard, dt</t>
  </si>
  <si>
    <t>standard, dt</t>
  </si>
  <si>
    <t>standard, q</t>
  </si>
  <si>
    <t>Fohlen für Suisse-Bilanz</t>
  </si>
  <si>
    <t>Mulo/asino</t>
  </si>
  <si>
    <t>Puledro</t>
  </si>
  <si>
    <t>Cavallo per Suisse-Bilanz</t>
  </si>
  <si>
    <t>Pony, asino</t>
  </si>
  <si>
    <t>Puledro per Suisse-Bilanz</t>
  </si>
  <si>
    <t>Fossa per liquami n°</t>
  </si>
  <si>
    <t>Concimaia n°</t>
  </si>
  <si>
    <t>Vendita/acquisto di foraggio grezzo</t>
  </si>
  <si>
    <t>Acquisto di Fgrezzo, prod. di Fgrezzo al di fuori della sup. for.</t>
  </si>
  <si>
    <t>Ver-, Zukauf Grundfutter</t>
  </si>
  <si>
    <t>Mistplatz-Nr.</t>
  </si>
  <si>
    <t>Güllegruben-Nr.</t>
  </si>
  <si>
    <t xml:space="preserve"> bis </t>
  </si>
  <si>
    <t xml:space="preserve"> à </t>
  </si>
  <si>
    <t xml:space="preserve"> fino </t>
  </si>
  <si>
    <t xml:space="preserve"> über </t>
  </si>
  <si>
    <t xml:space="preserve"> plus de </t>
  </si>
  <si>
    <t xml:space="preserve"> oltre </t>
  </si>
  <si>
    <t>per ha SAU</t>
  </si>
  <si>
    <t>per differenziare tra zone</t>
  </si>
  <si>
    <t>pour la différenciation par zone</t>
  </si>
  <si>
    <t>milk cows</t>
  </si>
  <si>
    <t>other cows</t>
  </si>
  <si>
    <t>Other animals</t>
  </si>
  <si>
    <t>more than 730 days old</t>
  </si>
  <si>
    <t>between 365 and 730 days old</t>
  </si>
  <si>
    <t>between 160 and 365 days old</t>
  </si>
  <si>
    <t>less than 160 days old</t>
  </si>
  <si>
    <t>Animal Categorie or -type</t>
  </si>
  <si>
    <t>Cows</t>
  </si>
  <si>
    <t>Explot.</t>
  </si>
  <si>
    <t>not corr.</t>
  </si>
  <si>
    <t xml:space="preserve"> ab </t>
  </si>
  <si>
    <t>factor used</t>
  </si>
  <si>
    <t>dt / q</t>
  </si>
  <si>
    <t>q totali</t>
  </si>
  <si>
    <t>df total</t>
  </si>
  <si>
    <t>Consulente: nome, tel.</t>
  </si>
  <si>
    <t>BeraterIn: Name, Tel.</t>
  </si>
  <si>
    <t>Forme de propriété</t>
  </si>
  <si>
    <t>Pächter</t>
  </si>
  <si>
    <t>Fermier</t>
  </si>
  <si>
    <t>lstEigentum</t>
  </si>
  <si>
    <t>Permakultur</t>
  </si>
  <si>
    <t>Permaculture</t>
  </si>
  <si>
    <t>Permacultura</t>
  </si>
  <si>
    <t>Andere Dauerkulturen, inkl. Permakultur</t>
  </si>
  <si>
    <t>Autres cultures pérennes, permaculture inclus</t>
  </si>
  <si>
    <t>Altre colture perenni, permacultura incluso</t>
  </si>
  <si>
    <t xml:space="preserve">                                           Strategia di produzione</t>
  </si>
  <si>
    <t>Alberi da frutto ad alto fusto</t>
  </si>
  <si>
    <t>Colture foraggere sarchiate</t>
  </si>
  <si>
    <t>Colture mercantili sarchiate</t>
  </si>
  <si>
    <t>Colture protette</t>
  </si>
  <si>
    <t>Terreni da strame, torbiere</t>
  </si>
  <si>
    <t>Bil. di concimazione</t>
  </si>
  <si>
    <t>Cash flow (da att. agr.), ante interessi</t>
  </si>
  <si>
    <t>Cash flow ante consumo priv. + interessi</t>
  </si>
  <si>
    <t>Ortaggio da cons. in campo aperto</t>
  </si>
  <si>
    <t>Sorgo da silo (trinciato di pianta intera)</t>
  </si>
  <si>
    <t>Mais: insilato di spiga intera con brattee</t>
  </si>
  <si>
    <t>Sorgo da silo (trinciato di pianta intera, 2a coltura)</t>
  </si>
  <si>
    <t>(n°)</t>
  </si>
  <si>
    <t xml:space="preserve">        Inserisci il fabbisogno di el. nutritivi nei fogli «Ortaggi1» o Ortaggi2»                          
***)   Inserisci il fabbisogno di el. nutritivi nei fogli «Ortaggi1» o Ortaggi2» 
****)  Inserisci il fabbisogno di el. nutritivi nel foglio «Frutta»
*****) Vivai, arbusti ornamentali, perenni ornamentali, ecc.</t>
  </si>
  <si>
    <t>Riprendi l'inventario dei bovini dal bilancio del bestiame giovane</t>
  </si>
  <si>
    <t>VL asciutta o a fine carriera</t>
  </si>
  <si>
    <t>Superficie minima necessaria per soddisfare le esigenze poste dalle PER</t>
  </si>
  <si>
    <t xml:space="preserve">Il vol. di stoccaggio liquami basta per </t>
  </si>
  <si>
    <t>Mancano i dati su prod. di liquami!</t>
  </si>
  <si>
    <t>Bilancio foraggi e paglia</t>
  </si>
  <si>
    <t>Scrofa con suinetti</t>
  </si>
  <si>
    <t>massima</t>
  </si>
  <si>
    <t>Mais¹ da granella, da silo, ecc.</t>
  </si>
  <si>
    <t>Somma di cereali, colza, colture mercantili sarchiate,</t>
  </si>
  <si>
    <t>ortaggi e colture diverse del foglio «Superfici»</t>
  </si>
  <si>
    <t>Quota massima di mais prevista dalle PER calcolata ponderando le superfici coltivate</t>
  </si>
  <si>
    <t xml:space="preserve">1) Se si rinuncia all'aratura e con precedente colturale diverso da patata, mais e tabacco, l'indice aumenta di 20 punti </t>
  </si>
  <si>
    <t>Bovino da ingrasso &gt; 160 giorni, standard</t>
  </si>
  <si>
    <t>Ritiro concimi aziendali secondo HODUFLU</t>
  </si>
  <si>
    <t>Cessione concimi aziendali secondo HODUFLU</t>
  </si>
  <si>
    <t>nettamente inferiori alla norma (guida SuisseBilanz) oppure va aumentato se le rese sono</t>
  </si>
  <si>
    <t>Insilato di cereali con leguminose</t>
  </si>
  <si>
    <t>T: Trasferimento interno di el. nutritivi provenienti dal Foraggio di Prati Non Concimati (TFPNC)</t>
  </si>
  <si>
    <t>q di SS da TFPNC</t>
  </si>
  <si>
    <t>Fanghi di depurazione secondo bollettino di consegna</t>
  </si>
  <si>
    <t>Terre aperte x 0,15</t>
  </si>
  <si>
    <t>Let StabLibera Nstock x 0,12</t>
  </si>
  <si>
    <t>ettari</t>
  </si>
  <si>
    <t>Vendita vitello «carne bianca»</t>
  </si>
  <si>
    <t>Vitello da rimonta per lattifera</t>
  </si>
  <si>
    <t>1-2 anni</t>
  </si>
  <si>
    <t>Acq. vit. svezz.</t>
  </si>
  <si>
    <t>Vend. vit. svezz.</t>
  </si>
  <si>
    <t>Vendita rimonta da ingr.</t>
  </si>
  <si>
    <t>Vitello «carne bianca»</t>
  </si>
  <si>
    <t>For. extra-az.</t>
  </si>
  <si>
    <t>Corr. foraggio concentrato : +/- 0,012 per kg di foraggio concentrato</t>
  </si>
  <si>
    <t>Mais da</t>
  </si>
  <si>
    <t>silo</t>
  </si>
  <si>
    <t>Sorgo da</t>
  </si>
  <si>
    <t>cubettato</t>
  </si>
  <si>
    <t>pascolata</t>
  </si>
  <si>
    <t>«verde»</t>
  </si>
  <si>
    <t>(fresco)</t>
  </si>
  <si>
    <t>Erba consum. al pascolo</t>
  </si>
  <si>
    <t>Mais cubetttato</t>
  </si>
  <si>
    <t>Mais da silo (pianta int.)</t>
  </si>
  <si>
    <t xml:space="preserve">Mais «verde» o erbaio mais </t>
  </si>
  <si>
    <t>Paglia prodotta dai cereali aziendali (foglio «Superfici»)</t>
  </si>
  <si>
    <t>Deduz. area uscita</t>
  </si>
  <si>
    <t>Vitello da ingrasso di VM &lt;= 160 giorni</t>
  </si>
  <si>
    <t>Vitello da ingr. di VM &gt; 160 gg, &lt; 200 kg PV</t>
  </si>
  <si>
    <t>Vitello da ingr. di VM &gt; 160 gg, 200-250 kg PV</t>
  </si>
  <si>
    <t>Vitello da ingr. di VM &gt; 160 gg, &gt; 250 kg PV</t>
  </si>
  <si>
    <t>Bovino da ingrasso intensivo (65-520 kg)</t>
  </si>
  <si>
    <t>Scrofa non allattante &gt; 6 mesi</t>
  </si>
  <si>
    <t>N° aggr. di mungitura</t>
  </si>
  <si>
    <t>Posti letto dormitorio</t>
  </si>
  <si>
    <t>Scrofa in gestazione</t>
  </si>
  <si>
    <t>1) Le poste considerate nel bilancio import/export standard devono corrispondere alle categorie di bestiame riportate nel foglio «CAzA»!</t>
  </si>
  <si>
    <t>Categoria di bestiame/tipo di produzione</t>
  </si>
  <si>
    <t xml:space="preserve">Capo/ </t>
  </si>
  <si>
    <t xml:space="preserve">capo/ </t>
  </si>
  <si>
    <t>estate/</t>
  </si>
  <si>
    <t>inverno/</t>
  </si>
  <si>
    <t>*) VS = Valore di sostituzione, **) UL/a = Unità Lavoro/anno</t>
  </si>
  <si>
    <t>Somma degli UBG/PSI</t>
  </si>
  <si>
    <t>Somma degli UBG/PGO</t>
  </si>
  <si>
    <t>Sup./unità</t>
  </si>
  <si>
    <t>Mais da silo per l'nverno</t>
  </si>
  <si>
    <t>Mais da silo per l'estate</t>
  </si>
  <si>
    <t>Fabb. d'insilato</t>
  </si>
  <si>
    <t>Vendita rimonta ingr. &lt;= 160 gg (F+M)</t>
  </si>
  <si>
    <t>Vendita rimonta ingr. &gt; 160 gg (F+M)</t>
  </si>
  <si>
    <t>caselle bloccate</t>
  </si>
  <si>
    <t>1. Inserisci i dati aziendali, senza dimenticare la zona di produzione (foglio «Generale»)</t>
  </si>
  <si>
    <t xml:space="preserve">          - inserisci il n° di animali (+) e il n° di giorni d'estivazione</t>
  </si>
  <si>
    <t xml:space="preserve">   - Le rese delle colture intercalari sono limitate a 25 q di SS/sfruttamento</t>
  </si>
  <si>
    <t>1 sola azienda</t>
  </si>
  <si>
    <t>Pony, cavallo piccolo e asino di qualsiasi età</t>
  </si>
  <si>
    <t>Suini da ingrasso/da rimonte &gt; 26 kg</t>
  </si>
  <si>
    <t>Suinetto svezzato fino a 26-30 Kg PV</t>
  </si>
  <si>
    <t>A2: consumo di foraggio grezzo da parte del bestiame erbivoro</t>
  </si>
  <si>
    <t>A5: consumo complessivo di foraggio (grezzo+concentrato) da parte del bestiame erbivoro</t>
  </si>
  <si>
    <t>A6: consumo di foraggio grezzo da parte del bestiame erbivoro</t>
  </si>
  <si>
    <t>l'art 15 OMVet</t>
  </si>
  <si>
    <t>Insilato di mais per l'inverno</t>
  </si>
  <si>
    <t>Coltura intercalare, semina estiva PT (sfalcio aut), scasso primaverile PT (sfalcio prim)</t>
  </si>
  <si>
    <t xml:space="preserve">Mais «verde» o erbaio di mais </t>
  </si>
  <si>
    <t>Mais disidratato e cubettato (pianta intera)</t>
  </si>
  <si>
    <t>Carico effettivo di bestiame (UBGFG/ha di sup. inerbita)</t>
  </si>
  <si>
    <t>Patate da seme e mais da seme</t>
  </si>
  <si>
    <t>Per li rilevamento globale, attiva la casella!</t>
  </si>
  <si>
    <t>1 ara per ogni albero da fusto ad alto fusto, castagno e noce Q I. Vedi anche la Guida d'applicazione del promemoria n. 6, Catalogo delle superfici 2016</t>
  </si>
  <si>
    <t>Coltivazione estensiva di cereali e colza</t>
  </si>
  <si>
    <t>cereali senza mais da granella</t>
  </si>
  <si>
    <t>Scrofa senza suinetti</t>
  </si>
  <si>
    <t>Scrofa non allattante</t>
  </si>
  <si>
    <t>** Nessun contributo se si seminano frumento o triticale dopo mais</t>
  </si>
  <si>
    <t>Contributo di transizione (CT, art. 84-96 OPD)</t>
  </si>
  <si>
    <t>Contributi di superficie nell'anno di riferimento*</t>
  </si>
  <si>
    <t>Contributi per animali che consumano foraggio grezzo nell'anno di riferimento*</t>
  </si>
  <si>
    <t>* Anno con i pagamenti diretti maggiori nel periodo 2011-2013</t>
  </si>
  <si>
    <t>Suino da ingrasso, da rimonta &gt; 26 kg e suinetti svezzati</t>
  </si>
  <si>
    <t>Piccoli frutti, pianta aromatica/medicinale</t>
  </si>
  <si>
    <t>CHF/h</t>
  </si>
  <si>
    <t>Deduzione del ristorno doganale</t>
  </si>
  <si>
    <t>AVS, AI, IPG - 1° pilastro</t>
  </si>
  <si>
    <t>Somma costi per dipendenti</t>
  </si>
  <si>
    <t>Pagamenti diretti e altri contributi, senza contributi per le colture erbacee da pieno campo</t>
  </si>
  <si>
    <t xml:space="preserve"> di cui oneri sociali del gestore aziendale </t>
  </si>
  <si>
    <t>di cui automobile aziendale</t>
  </si>
  <si>
    <t>Dati complessivi: inserisci gli importi delle singole aziende!</t>
  </si>
  <si>
    <t>Inserisci le prestazioni esterne e il valore locativo!</t>
  </si>
  <si>
    <t>(%)</t>
  </si>
  <si>
    <t>Evoluzione media senza UL vacce da latte (%)</t>
  </si>
  <si>
    <t>migliaia di CHF (x 1'000)</t>
  </si>
  <si>
    <t>= Cash flow da attività agricola senza interessi</t>
  </si>
  <si>
    <t>= Cash flow senza privato e senza interessi</t>
  </si>
  <si>
    <t>Investimenti per la sostituzione secondo «Mec1 e 2»</t>
  </si>
  <si>
    <t>Fabb. Finanziario complessivo (limite max dei costi di progetto)</t>
  </si>
  <si>
    <t>Ripartizione della sostanza monetaria netta circolante durante il 1° anno</t>
  </si>
  <si>
    <t>Investimenti per sostituzioni</t>
  </si>
  <si>
    <t>Prelievi privati e indennità durante il 1° anno</t>
  </si>
  <si>
    <t>Ammortamenti e interessi su nuovi debiti</t>
  </si>
  <si>
    <t>Fabbisogno, kg/ha o kg/q</t>
  </si>
  <si>
    <t>kg/q</t>
  </si>
  <si>
    <t>q/ha</t>
  </si>
  <si>
    <t>Stabulazione libera generalizzata?</t>
  </si>
  <si>
    <t>VL a fine carriera</t>
  </si>
  <si>
    <t>Vitello da ingrasso di VM &gt; 160 giorni</t>
  </si>
  <si>
    <t>Lama &lt; = 2 anni</t>
  </si>
  <si>
    <t>Alpaca &lt; = 2 anni</t>
  </si>
  <si>
    <t>Coniglia madre (inclusi coniglietti &lt; ±35 gg)</t>
  </si>
  <si>
    <t>Coniglietto &gt; ± 35 gg</t>
  </si>
  <si>
    <t>Coniglio (riporto dal bilancio import/export)</t>
  </si>
  <si>
    <t>Scrofa con suinetti &lt;= 26 kg PV</t>
  </si>
  <si>
    <t>26 suinetti svezzati/scrofa e anno</t>
  </si>
  <si>
    <t>Suino (riporto dal bilancio import/export)</t>
  </si>
  <si>
    <t>Tacchino in preingrasso (&lt;= 1,5 kg PV, 6 cicli)</t>
  </si>
  <si>
    <t>Tacchino in finissaggio (1,5-13 kg PV, 2,9 cicli)</t>
  </si>
  <si>
    <t>Cavallo per SuisseBilanz</t>
  </si>
  <si>
    <t>Puledro per SuisseBilanz</t>
  </si>
  <si>
    <t>Foraggio per scrofa</t>
  </si>
  <si>
    <t>con suinetti</t>
  </si>
  <si>
    <t>Foraggio per scrofa in gestazione</t>
  </si>
  <si>
    <t>Foraggio per suino da riproduzione/verro</t>
  </si>
  <si>
    <t>Melanzana in piena terra</t>
  </si>
  <si>
    <t>Cetrioli in piena terra, 30 pezzi/m²</t>
  </si>
  <si>
    <t>Cetrioli in piena terra, 50 pezzi/m²</t>
  </si>
  <si>
    <t>Peperone in piena terra</t>
  </si>
  <si>
    <t>Sedano da condim., 40 pezzi/m²</t>
  </si>
  <si>
    <t>Ortagio sotto protez. (val. medi)</t>
  </si>
  <si>
    <t>ColtErb/Ort. pieno campo</t>
  </si>
  <si>
    <t>Distruzione</t>
  </si>
  <si>
    <t>Rottura delle stoppie dei cereali (max una lavorazione)</t>
  </si>
  <si>
    <t>Stocchi di canapa</t>
  </si>
  <si>
    <t>Stocchi di tabacco</t>
  </si>
  <si>
    <t>Ndisp superficie inerbita</t>
  </si>
  <si>
    <t>Pollina di gallina (cassone per deiez., allev. al suolo)</t>
  </si>
  <si>
    <t>Pollina di gallina (cass. deiez., allev. al s.) in fossa liq.</t>
  </si>
  <si>
    <t>Deiezioni di gallina (nastro per deiez.)  in fossa liq.</t>
  </si>
  <si>
    <t>Pollina di pollastrella (cass. per deiezioni, allev. al s.)</t>
  </si>
  <si>
    <t>Pollina di pollastrella (cass. dei., all. al s.) in fossa liq.</t>
  </si>
  <si>
    <t>Deiezioni di pollastrella (nastro per dei.)  in fossa liq.</t>
  </si>
  <si>
    <t>Pollina di pollame (cass. dei., allev. al s.) in fossa liq.</t>
  </si>
  <si>
    <t>ConcAz</t>
  </si>
  <si>
    <t>Vitello da ingrasso &lt;= 160 giorni</t>
  </si>
  <si>
    <t>Pollina di gallina (cass. deiez., all. al suolo)</t>
  </si>
  <si>
    <t>Pollina di polastrella (cass. deiez., all. al suolo)</t>
  </si>
  <si>
    <t>degli impianti automatici di mungitura (robot)</t>
  </si>
  <si>
    <t>Rist. (att. acc.)</t>
  </si>
  <si>
    <t>hMO totali</t>
  </si>
  <si>
    <t>Ore di trazione</t>
  </si>
  <si>
    <t>hMO suppl.</t>
  </si>
  <si>
    <t>Cereali e colza</t>
  </si>
  <si>
    <t>raccolto e infilato manualmente</t>
  </si>
  <si>
    <t>raccolto e infilato meccanicamente</t>
  </si>
  <si>
    <t>Coniglia madre (incl. coniglietti &lt; ±35 gg)</t>
  </si>
  <si>
    <t>Suino da ingrasso, suino da rimonta e suinetti</t>
  </si>
  <si>
    <t>Colt. estensiva</t>
  </si>
  <si>
    <t>N° di superfici parziali (IPS)</t>
  </si>
  <si>
    <t>comunità di 2 aziende</t>
  </si>
  <si>
    <t>comunità di 3 aziende</t>
  </si>
  <si>
    <t>comunità di 4 aziende</t>
  </si>
  <si>
    <t>Suino da ingrasso, da rimonta e suinetti svezzati</t>
  </si>
  <si>
    <t>Vitello da ingrasso di VM</t>
  </si>
  <si>
    <t>per kg SS</t>
  </si>
  <si>
    <t>per kg SF</t>
  </si>
  <si>
    <t>Scrofa in gestazione 2)</t>
  </si>
  <si>
    <t>Suinetto</t>
  </si>
  <si>
    <t>1) La riduzione della produzione della categoria «suino da riproduzione con suinetti &lt;= 26 kg PV» viene calcolata automaticamente a partire dai tenori delle categorie «verro da riproduzione» e «suinetto svezzato».</t>
  </si>
  <si>
    <t>2) Se i tenori indicati risultano dalla correzione lineare, gli stessi valori vanno indicati anche per le categorie «scrofa da riproduzione» e «verro da riproduzione»!</t>
  </si>
  <si>
    <t>Scrofa in gestazione 1)</t>
  </si>
  <si>
    <t>Liquami fermentati e liquami fermentati separati (concimi az.)</t>
  </si>
  <si>
    <t>Note</t>
  </si>
  <si>
    <t>16] Fattore di conversione di Nstock in Ndisp (Fattore = 0,2)</t>
  </si>
  <si>
    <t>Il n° di poste da ingrasso non è trasferito automaticamente nel foglio «Bestiame»</t>
  </si>
  <si>
    <t>Vendita vacca madre da riproduzione/reddito</t>
  </si>
  <si>
    <t>Bestiame giovane di VM 1-2 anni</t>
  </si>
  <si>
    <t>Prestazione</t>
  </si>
  <si>
    <t>Betrieb, Nebenerwerb</t>
  </si>
  <si>
    <t>Exploitation, activité accessoire</t>
  </si>
  <si>
    <t>Azienda agricola, attività accessoria</t>
  </si>
  <si>
    <t>Nützlingsstreifen (oAF)</t>
  </si>
  <si>
    <t>Bande semée pour organismes utiles (TO)</t>
  </si>
  <si>
    <t>Mais¹, Körner-, Silo-, …</t>
  </si>
  <si>
    <t>Maïs¹, grains, ensilage, ...</t>
  </si>
  <si>
    <r>
      <t>*</t>
    </r>
    <r>
      <rPr>
        <i/>
        <sz val="10"/>
        <color theme="1"/>
        <rFont val="Arial"/>
        <family val="2"/>
      </rPr>
      <t>**</t>
    </r>
    <r>
      <rPr>
        <sz val="10"/>
        <color theme="1"/>
        <rFont val="Arial"/>
        <family val="2"/>
      </rPr>
      <t>Les charges figurant à l’art. 82e OPD doivent être remplies.</t>
    </r>
  </si>
  <si>
    <t>Nachgewiesene Durchschnittserträge über dem Standardertrag ¹</t>
  </si>
  <si>
    <t>Kartoffeln, Speise- u. Industrie- ²</t>
  </si>
  <si>
    <t>Alternative Strauchbeeren ²</t>
  </si>
  <si>
    <t>m³ Gülle</t>
  </si>
  <si>
    <t>[-] Wegfuhr</t>
  </si>
  <si>
    <t>[-] Grundfutter übrige Tiere</t>
  </si>
  <si>
    <t>- Déduction par UMOS a)</t>
  </si>
  <si>
    <t>Strisce per organismi utili (SColtA)</t>
  </si>
  <si>
    <t>Texte fehlen, 2 Franz und / oder Italienisch, 3 nur Italienisch, -1 bald löschen</t>
  </si>
  <si>
    <t>Korr. ML: +/- (0.14 * Abweichung - 0.03 * Abweichung²) pro 100 kg Milch</t>
  </si>
  <si>
    <t>Corr. Rendement laitier : +/- (0,14 * écart-0,03 * écart²) par 100 kg de lait</t>
  </si>
  <si>
    <t>EBIT – Ergebnis vor Zinsen und Steuern</t>
  </si>
  <si>
    <t>Nützlingsstreifen (DK)</t>
  </si>
  <si>
    <t>Bande semée pour organismes utiles (CP)</t>
  </si>
  <si>
    <t>Strisce per organismi utili (CPer)</t>
  </si>
  <si>
    <t>Getreide in weiter Reihe</t>
  </si>
  <si>
    <t xml:space="preserve">Cereali in file distanziate </t>
  </si>
  <si>
    <t>Céréales en rangée large</t>
  </si>
  <si>
    <t>Säume auf Ackerflächen und Nützlingsstreifen (oAF)</t>
  </si>
  <si>
    <t>Ourlets sur terres assolées et bande semée pour organismes utiles (TO)</t>
  </si>
  <si>
    <t>Fascia colturale estensiva in campicoltura e strisce per organ. utili (SColtA)</t>
  </si>
  <si>
    <t>Die Bilanz für Stickstoff ist überschritten!</t>
  </si>
  <si>
    <t>Le bilan est dépassé pour l'azote !</t>
  </si>
  <si>
    <t>Il bilancio dell'azoto è stato superato!</t>
  </si>
  <si>
    <t>Die Bilanz für Phosphor ist überschritten!</t>
  </si>
  <si>
    <t>Le bilan du phosphore est dépassé !</t>
  </si>
  <si>
    <t>Il bilancio del fosforo è stato superato!</t>
  </si>
  <si>
    <t>Total Vergärungsprodukte und Ernterückstände Gemüse</t>
  </si>
  <si>
    <t>Total de produits méthanisés et déchets de légumes exportés à la récolte</t>
  </si>
  <si>
    <t>Totale prodotti di fermentazione e residui del raccolto di colture orticole</t>
  </si>
  <si>
    <t>Fermage de domaine entier</t>
  </si>
  <si>
    <t>Azienda in affitto, azienda interamente affittata</t>
  </si>
  <si>
    <t>Vollpacht, Gewerbepacht</t>
  </si>
  <si>
    <t>ser mit festem Fundament, Hecken-, Feld- und Ufergehölze (mit Pufferstreifen), ein- und mehrjährige gärtnerische Freilandkulturen  (z. B. Blumen)</t>
  </si>
  <si>
    <t>b) - Kein Beitrag wird ausgerichtet für Freiland-Konservengemüse</t>
  </si>
  <si>
    <t>b) - Aucune contribution n’est versée pour les légumes de conserve de plein champ</t>
  </si>
  <si>
    <t>c) - Kein Beitrag wird ausgerichtet für Flächen, für die ein Beitrag biologische Landwirtschaft ausgerichtet wird</t>
  </si>
  <si>
    <t>c) - Aucune contribution n’est octroyée pour les surfaces pour lesquelles une contribution pour l'agriculture biologique est versée</t>
  </si>
  <si>
    <t>d) - Kein Beitrag wird ausgerichtet für Biodiversitätsförderflächen nach Artikel 55 (mit Ausnahme von Getreide in weiter Reihe), Nützlingsstreifen auf offener Ackerfläche nach Artikel 71b Absatz 1 Buchstabe a, Anbau von Pilzen, Kulturen in geschütztem Anbau</t>
  </si>
  <si>
    <t>d) - Aucune contribution n’est versée pour les surfaces de promotion de la biodiversité selon l’art. 55 (à l’exception des céréales en lignes de semis espacées), les bandes semées pour organismes utiles dans les terres ouvertes selon l’art. 71b, al. 1, let. a, la culture de champignons, les surfaces cultivées toute l’année sous abri</t>
  </si>
  <si>
    <t>Funktionale Biodiversität</t>
  </si>
  <si>
    <t xml:space="preserve">Biodiversité fonctionnelle </t>
  </si>
  <si>
    <t>Klimamassnahmen</t>
  </si>
  <si>
    <t xml:space="preserve">Mesures en faveur du climat </t>
  </si>
  <si>
    <t>Besonders tierfreundliche Produktionsformen</t>
  </si>
  <si>
    <t xml:space="preserve">Modes de production particulièrement respectueux des animaux </t>
  </si>
  <si>
    <t>e) - Kein Beitrag wird ausgerichtet für Nützlingsstreifen in Rebflächen mit natürlicher Artenvielfalt nach Artikel 55 Absatz 1 Buchstabe n, und regionsspezifische Biodiversitätsförderflächen nach Artikel 55 Absatz 1 Buchstabe p</t>
  </si>
  <si>
    <t>e) - Aucune contribution n’est versée pour les bandes semées pour organismes utiles, dans le cas des surfaces viticoles présentant une biodiversité naturelle selon l’art. 55, al. 1, let. n, et des surfaces de promotion de la biodiversité spécifiques à la région selon l’art. 55, al. 1, let. p</t>
  </si>
  <si>
    <t>i) - Keine Beiträge werden ausgerichtet für das Anlegen von Kunstwiesen mit Mulchsaat, Zwischenkulturen, Weizen oder Triticale nach Mais</t>
  </si>
  <si>
    <t>i) - Aucune contribution n’est versée pour l’aménagement de prairies temporaires par semis sous litière, de cultures intercalaires, de cultures de blé ou de triticale après le maïs</t>
  </si>
  <si>
    <t>Ja = 1; Nein = 0</t>
  </si>
  <si>
    <t>Oui = 1; Non = 0</t>
  </si>
  <si>
    <t>**der Betrag ist proportional zur durchschnittlichen Anzahl der Abkalbungen: für Milchkühe zwischen 10 Franken bei durchschnittlich 3 Abkalbungen und 200 Franken bei durchschnittlich 7 Abkalbungen und mehr; für andere Kühe: zwischen 10 Franken bei durchschnittlich 4 Abkalbungen und 200 Franken bei durchschnittlich 8 Abkalbungen und mehr</t>
  </si>
  <si>
    <t xml:space="preserve">**Le montant est proportionnel au nombre moyen de vêlages: pour les vaches laitières entre 10 francs pour une moyenne de 3 vêlages et 200 francs pour une moyenne de 7 vêlages et plus;
pour les autres vaches: entre 10 francs pour une moyenne de 4 vêlages et 200 francs pour une moyenne de 8 vêlages et plus
</t>
  </si>
  <si>
    <t>GVE Kühe</t>
  </si>
  <si>
    <t>UGB vaches</t>
  </si>
  <si>
    <t>Der Faktor für den Übergangsbeitrag wird 2023 vermutlich wieder steigen und ungefähr 0.2 bis 0.25 betragen, anschliessend aber wieder sinken, je nach Beteiligung an den neuen Programmen</t>
  </si>
  <si>
    <t>Le facteur pour la contribution de transition va probablement augmenter en 2023 et se monter à environ 0.2 à 0.25, puis il devrait de nouveau diminuer, en fonction de la participation aux nouveaux programmes</t>
  </si>
  <si>
    <t>(Herbizideinsatz erlaubt)</t>
  </si>
  <si>
    <t>(Emploi d'herbicide autorisé)</t>
  </si>
  <si>
    <t>f) - wenn nach deren Ernte auf dem gesamten Betrieb innerhalb von sieben Wochen eine weitere Kultur, eine Winterkultur, Zwischenkultur oder Gründüngung angelegt wird, und wenn bis zum 15. Februar des folgenden Jahres keine Bodenbearbeitung auf den Flächen erfolgt, die mit Kulturen, Zwischenkulturen und Gründüngung belegt sind</t>
  </si>
  <si>
    <t>f) - si, dans un délai de sept semaines après la récolte dans l’ensemble de l’exploitation, une autre culture, une culture d’automne, une culture intercalaire ou un engrais vert sont mis en place, et si aucun travail du sol n’est réalisé sur les surfaces où sont aménagées des cultures, cultures intercalaires et engrais verts jusqu’au 15 février de l’année suivante</t>
  </si>
  <si>
    <t>g) - wenn gesamtbetrieblich immer mindestens 70 Prozent der entsprechenden Fläche mit einer Kultur oder einer Zwischenkultur bedeckt sind</t>
  </si>
  <si>
    <t>g) - si au moins 70 % de la surface concernée dans l’ensemble de l’exploitation est couverte en tout temps par une culture ou par une culture intercalaire</t>
  </si>
  <si>
    <t>h) - wenn gesamtbetrieblich immer mindestens 70 Prozent der Rebfläche begrünt sind, und wenn Traubentrester auf die Rebfläche des Betriebs zurückgebracht und verteilt wird</t>
  </si>
  <si>
    <t>h) - si dans l’ensemble de l’exploitation, au moins 70 % de la surface de vignes est enherbée, et si le marc est rapporté et épandu sur les surfaces de vignes de l’exploitation</t>
  </si>
  <si>
    <t>j) - Die Voraussetzungen für den Beitrag für eine angemessene Bedeckung des Bodens sind erfüllt</t>
  </si>
  <si>
    <t>j) - Les conditions pour la contribution pour une couverture appropriée du sol sont respectées</t>
  </si>
  <si>
    <t xml:space="preserve">k) - die zum Beitrag berechtigende Fläche umfasst mindestens 60 Prozent der offenen Ackerfläche des Betriebs </t>
  </si>
  <si>
    <t>k) - La surface donnant droit à la contribution représente au moins 60 % de la surface de terres ouvertes de l’exploitation</t>
  </si>
  <si>
    <t xml:space="preserve">Brotweizen, Hartweizen, Futterweizen, Roggen, Dinkel, Hafer, Gerste, </t>
  </si>
  <si>
    <t>Triticale, Trockenreis, Emmer und Einkorn sowie Mischungen dieser Getreide-</t>
  </si>
  <si>
    <t>arten, Lein, Sonnenblumen, Erbsen zur Körnergewinnung, Bohnen zur Körner-</t>
  </si>
  <si>
    <t>gewinnung, Lupinen, Mischungen von Erbsen zur Körnergewinnung, Bohnen</t>
  </si>
  <si>
    <t>zur Körnergewinnung oder Lupinen mit Getreide</t>
  </si>
  <si>
    <t>Verzicht auf Pflanzenschutzmittel</t>
  </si>
  <si>
    <t>Non-recours aux produits phytosanitaires</t>
  </si>
  <si>
    <t>Verzicht auf Pflanzenschutzmittel im Ackerbau</t>
  </si>
  <si>
    <t>Non-recours aux produits phytosanitaires dans les grandes cultures</t>
  </si>
  <si>
    <t>a) - Kein Beitrag wird ausgerichtet für Mais; Getreide siliert; Spezialkulturen; Biodiversitätsförderflächen nach Art. 55 mit Ausnahme Getreide in weiter Reihe; Kulturen, für die nach Art. 18, Abs. 1-5 Insektizide und Fungizide nicht angewendet werden dürfen</t>
  </si>
  <si>
    <t>a) - Aucune contribution n’est versée pour: le maïs, les céréales ensilées, les cultures spéciales, les surfaces de promotion de la biodiversité visées à l’art. 55, à l’exception des céréales en lignes de semis espacées, les cultures dans lesquelles les insecticides et fongicides ne doivent pas être utilisés en vertu de l’art. 18, al. 1 à 5</t>
  </si>
  <si>
    <t>Raps, Kartoffeln, Freiland-Konservengemüse und Zuckerrüben</t>
  </si>
  <si>
    <t>Cultures maraîchères de plein champ annuelles et cultures annuelles de petits fruits</t>
  </si>
  <si>
    <t>Raps, Kartoffeln und Freiland-Konservengemüse</t>
  </si>
  <si>
    <t>Colza, pommes de terre et légumes de conserve de plein champ</t>
  </si>
  <si>
    <t>Spezialkulturen ohne Tabak und ohne Wurzel der Treibzichorie</t>
  </si>
  <si>
    <t>Cultures spéciales, à l’exception du tabac et des racines de chicorées</t>
  </si>
  <si>
    <t>Hauptkulturen der übrigen Ackerfläche</t>
  </si>
  <si>
    <t>Cultures principales sur les autres terres ouvertes</t>
  </si>
  <si>
    <t>Nützlingsstreifen</t>
  </si>
  <si>
    <t>Bandes semées pour organismes utiles</t>
  </si>
  <si>
    <t>Verbesserung der Bodenfruchtbarkeit</t>
  </si>
  <si>
    <t>Amélioration de la fertilité du sol</t>
  </si>
  <si>
    <t>Angemessene Bedeckung des Bodens</t>
  </si>
  <si>
    <t>Couverture appropriée du sol</t>
  </si>
  <si>
    <t>Effizienter Stickstoffeinsatz im Ackerbau</t>
  </si>
  <si>
    <t>Utilisation efficiente de l’azote dans les grandes cultures</t>
  </si>
  <si>
    <t>Terres assolées</t>
  </si>
  <si>
    <t>Weidebeitrag</t>
  </si>
  <si>
    <t>Contribution à la mise au pâturage</t>
  </si>
  <si>
    <t>Tiere der Rindergattung und Wasserbüfel &gt; 160 Tage</t>
  </si>
  <si>
    <t>Bovins et buffles d'Asie &gt;160 jours</t>
  </si>
  <si>
    <t>*Der Weidebeitrag wird nur ausgerichtet, wenn allen Tieren der Rindergattung und Wasserbüffel mindestens Auslauf nach RAUS-Vorgaben gewährt wird</t>
  </si>
  <si>
    <t>*La contribution n’est octroyée que si des sorties selon les règles SRPA sont accordées à tous les animaux des catégories bovins et buffles d’Asie</t>
  </si>
  <si>
    <t>*Kein RAUS-Beitrag wird ausgerichtet für Tierkategorien, für die bereits der Weidebeitrag ausgerichtet wird</t>
  </si>
  <si>
    <t>*Aucune contribution SRPA n’est octroyée pour les catégories d’animaux pour lesquelles une contribution à la mise au pâturage est versée</t>
  </si>
  <si>
    <t>Zusatzbeitrag für Zuckerrüben zur Zuckerherstellung</t>
  </si>
  <si>
    <t>Contribution supplémentaire pour les betteraves destinées à la fabrication de sucre</t>
  </si>
  <si>
    <t>**Der Zusatzbeitrag wird ausgerichtet, wenn auch einer der folgenden Beiträge ausgerichtet wird: Beitrag für biologische Landwirtschaft, oder Beitrag für den Verzicht auf Fungizide und Insektizide</t>
  </si>
  <si>
    <t>**Le supplément est versé à la condition qu’une des contributions suivantes soit versée: la contribution pour l’agriculture biologique ou la contribution pour le non-recours aux fongicides et aux insecticides.</t>
  </si>
  <si>
    <t>Längere Nutzungsdauer von Kühen</t>
  </si>
  <si>
    <t>Durée de vie productive plus longue des vaches</t>
  </si>
  <si>
    <t>durchschnittlichen Anzahl Abkalbungen</t>
  </si>
  <si>
    <t>Nombre moyen de vêlages</t>
  </si>
  <si>
    <t>*der in den vorangehenden drei Kalenderjahren geschlachteten Tiere des Betriebes</t>
  </si>
  <si>
    <t>*par vache qui a été abattue au cours des trois années civiles précédentes</t>
  </si>
  <si>
    <t xml:space="preserve">Blé panifiable, le blé dur, le blé fourrager, le seigle, l’épeautre, l’avoine, l’orge, </t>
  </si>
  <si>
    <t xml:space="preserve">le triticale, le riz en culture sèche, l’amidonnier et l’engrain ainsi que les </t>
  </si>
  <si>
    <t xml:space="preserve">mélanges de ces céréales, le lin, les tournesols, les pois en grains, </t>
  </si>
  <si>
    <t>les haricots en grains, les lupins ainsi que pour les mélanges de pois en</t>
  </si>
  <si>
    <t xml:space="preserve">Verzicht auf Insektizide und Akarizide </t>
  </si>
  <si>
    <t>im Gemüse- und Beerenanbau</t>
  </si>
  <si>
    <t xml:space="preserve">Non-recours aux insecticides et aux acaricides </t>
  </si>
  <si>
    <t>dans les cultures maraîchères et les cultures de petits fruits</t>
  </si>
  <si>
    <t xml:space="preserve">Non-recours aux insecticides, aux acaricides et aux </t>
  </si>
  <si>
    <t>fongicides dans les cultures pérennes après la floraison</t>
  </si>
  <si>
    <t xml:space="preserve">Verzicht auf Insektizide, Akarizide und Fungizide </t>
  </si>
  <si>
    <t>nach der Blüte bei Dauerkulturen</t>
  </si>
  <si>
    <t>Einjährige Freilandgemüse und einjährige Beerenkulturen</t>
  </si>
  <si>
    <t xml:space="preserve">Exploitation de surfaces de cultures pérennes à l’aide d’intrants </t>
  </si>
  <si>
    <t>conformes à l’agriculture biologique</t>
  </si>
  <si>
    <t xml:space="preserve">Obstbau für Obstanlagen nach Artikel 22 Absatz 2 LBV, Rebbau, </t>
  </si>
  <si>
    <t>Beerenanbau</t>
  </si>
  <si>
    <t xml:space="preserve">Arboriculture fruitière, pour les vergers au sens de l’art. 22, al. 2, Oterm, </t>
  </si>
  <si>
    <t>viticulture, culture de petits fruits</t>
  </si>
  <si>
    <t xml:space="preserve">Bewirtschaftung von Flächen mit Dauerkulturen mit Hilfs-  </t>
  </si>
  <si>
    <t>mitteln entsprechend der biologischen Landwirtschaft</t>
  </si>
  <si>
    <t>Beerenanbau, Permakultur</t>
  </si>
  <si>
    <t xml:space="preserve">viticulture, culture de petits fruits, permaculture </t>
  </si>
  <si>
    <t xml:space="preserve">Verzicht auf Herbizide im Ackerbau </t>
  </si>
  <si>
    <t>und in Spezialkulturen</t>
  </si>
  <si>
    <t xml:space="preserve">Non-recours aux herbicides dans les grandes cultures et </t>
  </si>
  <si>
    <t>les cultures spéciales</t>
  </si>
  <si>
    <t xml:space="preserve">Nützlingsstreifen (DK) </t>
  </si>
  <si>
    <t>Reben, Obstanlagen, Beerenkulturen, Permakultur</t>
  </si>
  <si>
    <t>vigne, culture fruitière, culture de petits fruits, permaculture</t>
  </si>
  <si>
    <t>Einjährige Freilandgemüse, Beerenkulturen, Gewürz- und Medizinalpflanzen</t>
  </si>
  <si>
    <t>(oAF) mit Ausnahme von Freiland-Konservengemüse</t>
  </si>
  <si>
    <t>Freilandgemüse, Beerenkulturen sowie Gewürz-und Medizinalpflanzen</t>
  </si>
  <si>
    <t xml:space="preserve">Hauptkulturen auf offener Ackerfläche mit Ausnahme von einjährigem </t>
  </si>
  <si>
    <t>Schonende Bodenbearbeitung von Hauptkulturen</t>
  </si>
  <si>
    <t>auf der Ackerfläche</t>
  </si>
  <si>
    <t>Techniques culturales préservant le sol dans les cultures principales</t>
  </si>
  <si>
    <t>sur terres assolées</t>
  </si>
  <si>
    <t>Ackerfläche mit Direktsaat, Streifenfrässaat, Streifensaat</t>
  </si>
  <si>
    <t>(Strip-Till) oder Mulchsaat</t>
  </si>
  <si>
    <t>Terres assolées en semis direct, semis en bandes fraisées, semis en bandes</t>
  </si>
  <si>
    <t>(strip-till) ou semis sous litière</t>
  </si>
  <si>
    <t>der Kulturen, gemäss «Suisse-Bilanz»</t>
  </si>
  <si>
    <t xml:space="preserve">L’apport en azote dans l’ensemble de l’exploitation ne dépasse pas 90 % </t>
  </si>
  <si>
    <t>des besoins des cultures (bilan calculé à l’aide de la méthode «Suisse-Bilanz»)</t>
  </si>
  <si>
    <t xml:space="preserve">Gesamtbetrieblich übersteigt die Zufuhr an Stickstoff nicht 90 % des Bedarfs </t>
  </si>
  <si>
    <t>Über 160 Tage alte Tiere der Rindergattung und Wasserbüffel</t>
  </si>
  <si>
    <t>Bovins et buffles d'Asie &gt; 160 jour</t>
  </si>
  <si>
    <t>=H41-H48</t>
  </si>
  <si>
    <t>auf 0 gesetzt, 2022-06-22</t>
  </si>
  <si>
    <t>=I10*K10</t>
  </si>
  <si>
    <t>--&gt; 0, 2022-06-22</t>
  </si>
  <si>
    <t>=SUMME(M17:M20)</t>
  </si>
  <si>
    <t>--&gt; nur Schweine</t>
  </si>
  <si>
    <t>=SUMME(Q10;Q22;Q26;Q41)</t>
  </si>
  <si>
    <t>--&gt; nur Präzise …</t>
  </si>
  <si>
    <t>=SUMME(Q57;Q60)</t>
  </si>
  <si>
    <t>=K60</t>
  </si>
  <si>
    <t>Präzise Applikationstechniken*</t>
  </si>
  <si>
    <t>Tecnica d'applicazione precisa*</t>
  </si>
  <si>
    <t>* Unterblattspritztechnik (Dropleg), driftreduzierende Spritzgeräte im Obst- und Weinbau</t>
  </si>
  <si>
    <t>* Irrorazione sottochioma (dropleg); irrorazione con sistemi antideriva in frutticoltura e viticoltura</t>
  </si>
  <si>
    <t>trifft zu</t>
  </si>
  <si>
    <t>trifft nicht  zu</t>
  </si>
  <si>
    <t>nur gültig bis einschliesslich Erntejahr 2023</t>
  </si>
  <si>
    <t>Name, Vorname</t>
  </si>
  <si>
    <t>Nom, prénom</t>
  </si>
  <si>
    <t>Strasse, Hof</t>
  </si>
  <si>
    <t>Rue, exploitation</t>
  </si>
  <si>
    <t>PLZ, Ort</t>
  </si>
  <si>
    <t>NPA, lieu</t>
  </si>
  <si>
    <t>Fax, E-Mail</t>
  </si>
  <si>
    <t>Fax, e-mail</t>
  </si>
  <si>
    <t>RGVE-Besatz, DGVE-Belastung</t>
  </si>
  <si>
    <t>Charge en UGBB, UGBF</t>
  </si>
  <si>
    <t>Excéd. (+), manque (-) de paille</t>
  </si>
  <si>
    <t xml:space="preserve">  Futterhackfrüchte" sowie "Gemüsebau, Diverses" im Blatt 'Fläche'</t>
  </si>
  <si>
    <t>Winteremmer, -einkorn</t>
  </si>
  <si>
    <t>Wintergemüse, Vorfrüchte vor Sommerkulturen</t>
  </si>
  <si>
    <t xml:space="preserve">Grundfutterverzehr, Nährstoffanfall Betrieb (GFverz)     </t>
  </si>
  <si>
    <t>Nährstoffzufuhr (+), -wegfuhr (-)</t>
  </si>
  <si>
    <t>Import (+), export (-) d'éléments nutritifs</t>
  </si>
  <si>
    <t>Eccedenza (+), mancanza (-) di elementi nutritivi</t>
  </si>
  <si>
    <t>Nährstoffzufuhr (+), -wegfuhr (-) mit Fehlerbereich</t>
  </si>
  <si>
    <t>Import (+), export (-) d'éléments nutritifs avec marge d'erreur</t>
  </si>
  <si>
    <t>Gewächshaus, Hochtunnel</t>
  </si>
  <si>
    <t>Serre, tunnel</t>
  </si>
  <si>
    <t>Parzelle, Sorte</t>
  </si>
  <si>
    <t>Parcelles, variétés</t>
  </si>
  <si>
    <t>davon weiblich (w), männlich (m), bis 160-tägig</t>
  </si>
  <si>
    <t>dont mâles (m), femelles (f) &lt;= 160 jours</t>
  </si>
  <si>
    <t>Achat (+), vente (-) possible</t>
  </si>
  <si>
    <t>Abwasser, Verdünnungswasser in der Wintergülle</t>
  </si>
  <si>
    <t>Ecoulement, eau de dilution dans le purin d'hiver</t>
  </si>
  <si>
    <t>Type d'animaux, Type de production</t>
  </si>
  <si>
    <t>Schweinegülle, Schweinemist</t>
  </si>
  <si>
    <t>Lisier de porc, fumier de porc</t>
  </si>
  <si>
    <t>Reserve (+), Manko (-)</t>
  </si>
  <si>
    <t>Réserve (+), manque (-)</t>
  </si>
  <si>
    <t>Riserva (+), carenza (-)</t>
  </si>
  <si>
    <t>4. Partie C: Achats, Ventes de fourrages</t>
  </si>
  <si>
    <t xml:space="preserve">    - Scegli il codice corrispondente: 1 = ritiro, 2 = cessione, 3 = prodotto al di fuori della SupFor</t>
  </si>
  <si>
    <t>Nom, Prénom</t>
  </si>
  <si>
    <t>Rue, Exploitation</t>
  </si>
  <si>
    <t>NPA, Localité</t>
  </si>
  <si>
    <t>Fax, E-mail</t>
  </si>
  <si>
    <t>Gemeinschaft, ein Betrieb</t>
  </si>
  <si>
    <t>Communauté, une exploitation</t>
  </si>
  <si>
    <t>Berater, Beraterin</t>
  </si>
  <si>
    <t>Ammenkühe 2 Kälber pro Jahr, ohne Kälber</t>
  </si>
  <si>
    <t>Porcs renouvellement, engrais &gt; 26 kg</t>
  </si>
  <si>
    <t>A3: Wiesen-, Weidefutterverzehr übrige Tiere</t>
  </si>
  <si>
    <t>A3: Consommation de fourrage de prairie, pâturages par les autres animaux</t>
  </si>
  <si>
    <t>Maïs plante, maïs ensilage plante entière</t>
  </si>
  <si>
    <t>Partie C: Achats, Ventes de fourrages</t>
  </si>
  <si>
    <t>Coefficiente (somma dei fondi a disp. per il contributo, somma degli mporti di base)</t>
  </si>
  <si>
    <t xml:space="preserve">, contributo per singole colture </t>
  </si>
  <si>
    <t xml:space="preserve">q di SS dai campi / </t>
  </si>
  <si>
    <t>Ortaggi, colture diverse</t>
  </si>
  <si>
    <t>Fossa, e per liquami</t>
  </si>
  <si>
    <t>Concimaia, e</t>
  </si>
  <si>
    <t>Deposito, i per</t>
  </si>
  <si>
    <t>Volume fienile, i</t>
  </si>
  <si>
    <t>Volume silo, i</t>
  </si>
  <si>
    <t>Deposito, i per paglia</t>
  </si>
  <si>
    <t>Aum., dimin. del capitale proprio</t>
  </si>
  <si>
    <t>Formazione, utilizzo del capitale proprio</t>
  </si>
  <si>
    <t>coniugato, a</t>
  </si>
  <si>
    <t>Cognome, Nome</t>
  </si>
  <si>
    <t>via, azienda</t>
  </si>
  <si>
    <t>CAP, località</t>
  </si>
  <si>
    <t>Pommes de terre, consomm., industr. ²</t>
  </si>
  <si>
    <t>Erba aromatica, medic. annuale</t>
  </si>
  <si>
    <t>Pltes médicin., aromat., plurian.</t>
  </si>
  <si>
    <t>Erba aromatica, medic. pluriennale</t>
  </si>
  <si>
    <t xml:space="preserve">Selven gepflegt &lt; 100 Bäume / ha </t>
  </si>
  <si>
    <t>Selva castanile curata (&lt; 100 alb / ha)</t>
  </si>
  <si>
    <t>ja / nein</t>
  </si>
  <si>
    <t>sì / no</t>
  </si>
  <si>
    <t>Rileva l'allevamento come unità combinata sì / no</t>
  </si>
  <si>
    <t>Suino da ingrasso, rimonta</t>
  </si>
  <si>
    <t>LHP / MPP</t>
  </si>
  <si>
    <t>PP / PPE</t>
  </si>
  <si>
    <t>PGO / PPI</t>
  </si>
  <si>
    <t>Albero da frutto ad alto fusto (tipo 8), 1 ara / albero</t>
  </si>
  <si>
    <t>Albero indigeno isolato (tipo 9), 1 ara / albero</t>
  </si>
  <si>
    <t>Carico in UBGFG (foraggio grezzo) / UBGF (carico fertilizzante)</t>
  </si>
  <si>
    <t>RGVE / ha Grünl.</t>
  </si>
  <si>
    <t>UGBB / ha herb.</t>
  </si>
  <si>
    <t>UBGFG / SInerb</t>
  </si>
  <si>
    <t>UBGF / SAU</t>
  </si>
  <si>
    <t>UBGF / SupFert</t>
  </si>
  <si>
    <t>Hofdüngerzu-, wegfuhr</t>
  </si>
  <si>
    <t>Engrais de ferme reprise, cession</t>
  </si>
  <si>
    <t>Ripresa / cessione di concimi aziendali</t>
  </si>
  <si>
    <t>DGVE / ha LN</t>
  </si>
  <si>
    <t>UBGF / ha SAU</t>
  </si>
  <si>
    <t>DGVE / ha düngbare Fläche</t>
  </si>
  <si>
    <t>UGBF / ha surface fertilisable</t>
  </si>
  <si>
    <t>UBGF / ha superficie fertilizzabile</t>
  </si>
  <si>
    <t>Bilancio completo elementi nutritivi / ha SupFert</t>
  </si>
  <si>
    <t>Consumo di for. secondo gli  UBGFG (BioSuisse) (q / ha di SS)</t>
  </si>
  <si>
    <t>oui / non</t>
  </si>
  <si>
    <t>Insilato di cereali con, senza leguminose</t>
  </si>
  <si>
    <t>Somma cereali senza avena, miglio, mais</t>
  </si>
  <si>
    <t xml:space="preserve"> - trasemina nel mais o semina del mais su lettiera, su strisce fresate dopo sovescio o coltura intercalare</t>
  </si>
  <si>
    <t>Ortaggio svernante, intercalare prima di una coltura primaverile</t>
  </si>
  <si>
    <t xml:space="preserve">Tabelle "Sommerkulturen" ausfüllen, aktualisieren </t>
  </si>
  <si>
    <t>remplir, actualiser tableau "cultures printemps avec précédent"</t>
  </si>
  <si>
    <t>Completa, aggiorna tabella «colture primaverili»</t>
  </si>
  <si>
    <t>Via, Azienda</t>
  </si>
  <si>
    <t>CAP, Località</t>
  </si>
  <si>
    <t>dt / Jahr</t>
  </si>
  <si>
    <t>dt / an</t>
  </si>
  <si>
    <t>q / anno</t>
  </si>
  <si>
    <t>kg / Tier / Jahr</t>
  </si>
  <si>
    <t>kg / bête / an</t>
  </si>
  <si>
    <t>kg / capo / anno</t>
  </si>
  <si>
    <t>(q SS / anno e posta)</t>
  </si>
  <si>
    <t>Produzione di elementi nutritivi (kg / posta)</t>
  </si>
  <si>
    <t>Correzione della crescita per ogni 100 g oltre 1'400 g / giorno</t>
  </si>
  <si>
    <t>/ giorno</t>
  </si>
  <si>
    <t>/ anno</t>
  </si>
  <si>
    <t>Produzione di el. nutr. / unità e anno</t>
  </si>
  <si>
    <t>Produzione di el. nutr. / anno</t>
  </si>
  <si>
    <t>kg / an</t>
  </si>
  <si>
    <t>kg / anno</t>
  </si>
  <si>
    <t>Tabelle "Tierart" ausfüllen, aktualisieren</t>
  </si>
  <si>
    <t>Remplir, actualiser tableau "catégories d'animaux"</t>
  </si>
  <si>
    <t>Completa, aggiorna la tabella «Specie e categoria di bestiame»</t>
  </si>
  <si>
    <t>q SS / anno</t>
  </si>
  <si>
    <t>(kg / unità)</t>
  </si>
  <si>
    <t>(kg / anno)</t>
  </si>
  <si>
    <t>Anteile Vollmist-Nges (V1+V2) / (A1+A3)</t>
  </si>
  <si>
    <t>Part Nstock du fumier de stabulation sans purin (V1+V2) / (A1+A3)</t>
  </si>
  <si>
    <t>% di Nstock proveniente da letame di stabulazione libera senza prod. di liquami ( V1 + V2 ) / ( A1 + A3 )</t>
  </si>
  <si>
    <t>Sottoprodotto della molitura, eliminazione glume</t>
  </si>
  <si>
    <t>n° capi x giorni di pascolo x ore / g di pascolo x Nstock</t>
  </si>
  <si>
    <t>Tabelle "Nährstoffbedarf" ausfüllen, aktualisieren</t>
  </si>
  <si>
    <t>remplir, actualiser tableau "besoins nutritifs"</t>
  </si>
  <si>
    <t>Completa, aggiorna la tab. «Fabb. aziendale totale»</t>
  </si>
  <si>
    <t>dt / TS ha</t>
  </si>
  <si>
    <t>dt / MS ha</t>
  </si>
  <si>
    <t>(q SS / ha)</t>
  </si>
  <si>
    <t>(kg / ha)</t>
  </si>
  <si>
    <t>Netto-Nährstoffbedarf, kg / dt TS</t>
  </si>
  <si>
    <t>Besoins nets en kg / dt MS</t>
  </si>
  <si>
    <t>Fabb. netto di el. nutr. (kg / q SS)</t>
  </si>
  <si>
    <t>Netto-Nährstoffbedarf, kg / Jahr</t>
  </si>
  <si>
    <t>Besoins nets en kg / an</t>
  </si>
  <si>
    <t>Fabb. netto di el. nutr. (kg / anno)</t>
  </si>
  <si>
    <t>Maïs plante, maïs  ensilage</t>
  </si>
  <si>
    <t>Netto-Nährstoffbedarf, kg / ha, kg / dt</t>
  </si>
  <si>
    <t xml:space="preserve">Besoins nets en kg / ha, kg / dt </t>
  </si>
  <si>
    <t>Fabb. netto di el. nutr. (kg / ha; kg / q SS)</t>
  </si>
  <si>
    <t>Fabbisogno netto di el. nutr. (kg / anno)</t>
  </si>
  <si>
    <t>Besoins nets en kg / ha</t>
  </si>
  <si>
    <t>Fabbisogno netto di el. nutr. (kg / q SS)</t>
  </si>
  <si>
    <t>Contenuti di el . nutr. (kg / unità)</t>
  </si>
  <si>
    <t>Nährstoffmenge kg / Jahr</t>
  </si>
  <si>
    <t>Contenuti di el . nutr. (kg / anno)</t>
  </si>
  <si>
    <t>el. nutr. kg / ha di superficie fertilizzabile (SFert)</t>
  </si>
  <si>
    <t>Eccedenza (+), mancanza (-) di elementi nutritivi con margine d'errore</t>
  </si>
  <si>
    <t>Serra, tunnel</t>
  </si>
  <si>
    <t>Parcella, varietà</t>
  </si>
  <si>
    <t>Es: parcella: Ronco, varietà: Merlot</t>
  </si>
  <si>
    <t>Es: parcella: Cantina, varietà: Moscato d'Amburgo</t>
  </si>
  <si>
    <t>kg / ara</t>
  </si>
  <si>
    <t>Zusatzformular "Gemüsebau Gewächshaus, Hochtunnel"</t>
  </si>
  <si>
    <t>Modulo aggiuntivo «ortaggi in serra, tunnel»</t>
  </si>
  <si>
    <t>Fabbisogno netto di el. nutr. per gli ortaggi in in serra, tunnel (PRIC 2017)</t>
  </si>
  <si>
    <t>Vitelli / vacca e anno</t>
  </si>
  <si>
    <t>di cui femmine (f), maschi (m)</t>
  </si>
  <si>
    <t>N° di primipare e di tori da riproduzione / anno</t>
  </si>
  <si>
    <t>Vacca da allev., reddito e toro da riproduz.</t>
  </si>
  <si>
    <t xml:space="preserve">     Fabbisogno di rimonta / anno</t>
  </si>
  <si>
    <t>Capo per finissaggio / anno</t>
  </si>
  <si>
    <t>giorni / 365 gg</t>
  </si>
  <si>
    <t>Capo ingrassato / ciclo</t>
  </si>
  <si>
    <t xml:space="preserve">    Capo ingrassato / ciclo</t>
  </si>
  <si>
    <t>Produzione Ø di latte / vacca e anno</t>
  </si>
  <si>
    <t>MS / jour et animal</t>
  </si>
  <si>
    <t>Consumo Ø  di foraggio grezzo / giorno</t>
  </si>
  <si>
    <t>kg TS / Platz</t>
  </si>
  <si>
    <t>kg MS / place</t>
  </si>
  <si>
    <t>kg SS / posta</t>
  </si>
  <si>
    <t>Ritiro (+), cessione (-) possibili</t>
  </si>
  <si>
    <t>q SS / UBG</t>
  </si>
  <si>
    <t>a Hauptfutterfläche pro</t>
  </si>
  <si>
    <t>dt TS Feldertrag</t>
  </si>
  <si>
    <t>a SF principale /</t>
  </si>
  <si>
    <t>a SupFor princip. /</t>
  </si>
  <si>
    <t>a / UBG</t>
  </si>
  <si>
    <t>N° di mesi di foraggiamento invernale, n° di mesi durante i quali è necesario stoccare i liquami:</t>
  </si>
  <si>
    <t xml:space="preserve">UBGF1) / </t>
  </si>
  <si>
    <t>100 PGO /</t>
  </si>
  <si>
    <t>UBGF1) /</t>
  </si>
  <si>
    <t>Fabbisogno, produzione</t>
  </si>
  <si>
    <t>100 LHP /</t>
  </si>
  <si>
    <t>100 PP / PE</t>
  </si>
  <si>
    <t>100 PP /</t>
  </si>
  <si>
    <t>Strohbilanz (dt / Jahr)</t>
  </si>
  <si>
    <t>Bilan de la paille (dt / an)</t>
  </si>
  <si>
    <t>Bilancio della paglia (q / anno)</t>
  </si>
  <si>
    <t xml:space="preserve"> - nur wenn Aktivitäten auch im Winter erfolgen</t>
  </si>
  <si>
    <t>normale Verhältnisse: Waschmasch., Dusche&amp;Bad, WC</t>
  </si>
  <si>
    <t>conditions normales: mach. à laver, douche/bain, WC</t>
  </si>
  <si>
    <t>Scarico, acque di diluizione nei liquami; durante l'inverno</t>
  </si>
  <si>
    <t xml:space="preserve">Blatt "Hofdüngeranfall" einblenden, - nur Lagervolumenberechnung </t>
  </si>
  <si>
    <t>Cat. di bestiame, tipo di prod.</t>
  </si>
  <si>
    <t>Prod. / mois</t>
  </si>
  <si>
    <t>Prod. / mese</t>
  </si>
  <si>
    <t>Zuschlag, Abzug</t>
  </si>
  <si>
    <t>Supplém., déduction</t>
  </si>
  <si>
    <t>Suppl., deduz.</t>
  </si>
  <si>
    <t>Vaches mères, Jeune bétail 1 - 2 ans</t>
  </si>
  <si>
    <t>Vaches mères, Jeune bétail &gt; 2 ans</t>
  </si>
  <si>
    <t>Vaches mères, Taureaux &gt; 2 ans</t>
  </si>
  <si>
    <t>Bisons jusqu'à 900 jours (élevage, engraissement)</t>
  </si>
  <si>
    <t>Bisonte &lt;= 900 giorni (riproduzione, ingrasso)</t>
  </si>
  <si>
    <t>Inserisci l'allevamento come unità combinata sì / no</t>
  </si>
  <si>
    <t>Blé d'automne, panif., bisc.</t>
  </si>
  <si>
    <t xml:space="preserve">S  =  Spezialkulturen
*)      Die Nummern beziehen sich auf Formular A
         der landw. Betriebsstrukturerhebung.
**)    Nur Hauptkulturenfläche erfassen, Rest unter Zweit-, Drittkulturen; </t>
  </si>
  <si>
    <t xml:space="preserve">Queste superfici devono essere registrate nelle caselle gialle del foglio «D_Sup», indicandone la resa / ha. In SuisseBilanz sarà riportato solo il loro fabbisogno standard di N </t>
  </si>
  <si>
    <t>Deduzione /</t>
  </si>
  <si>
    <t>Bande semée pour org. utiles (TO)</t>
  </si>
  <si>
    <t>Bande semée pour org. utiles (CP)</t>
  </si>
  <si>
    <t>Maximaler Fehlerbereich für N und P2O5    13]</t>
  </si>
  <si>
    <t>Marge d'erreur maximale pour N et P2O5    13]</t>
  </si>
  <si>
    <t>Margine d'errore massimo per N e P2O5 13]</t>
  </si>
  <si>
    <t>für SB2</t>
  </si>
  <si>
    <t>ü</t>
  </si>
  <si>
    <t>h: Bsp. für Mitelwert aus 3 Kulturen mit 2 verschiedenen Maxima</t>
  </si>
  <si>
    <t>f: Beispiel für Mittelwert aus 3 Kulturen mit 1 Maximum</t>
  </si>
  <si>
    <t>Einheimische Einzelbäume</t>
  </si>
  <si>
    <t xml:space="preserve">S  =  Coltura speciale
*)      Le cifre si riferiscono al modulo A
         di rilevamento delle strutture agricole
**)    Solo sup. delle colture principali, il resto va inserito come 2a, 3a coltura </t>
  </si>
  <si>
    <t> </t>
  </si>
  <si>
    <t> </t>
  </si>
  <si>
    <t>EM-Abstand links von dieser Zelle</t>
  </si>
  <si>
    <t>EN-Abstand links von dieser Zelle</t>
  </si>
  <si>
    <t>ZeilenUmbruch links von dieser Zelle</t>
  </si>
  <si>
    <t>³</t>
  </si>
  <si>
    <t>¹</t>
  </si>
  <si>
    <t>²</t>
  </si>
  <si>
    <t>Nicht möglich für Kulturen in Nitrat-Projektgebieten nach Art 62a Gewässerschutzgesetz.</t>
  </si>
  <si>
    <t>Impossible pour les cultures des régions en projet nitrate selon art. 62a de la loi sur la protection des eaux.</t>
  </si>
  <si>
    <t>Impossibile per le colture delle regioni che partecipano al progetto nitrati secondo l'art. 62 della legge sulla protezione delle acque</t>
  </si>
  <si>
    <t>Edelkastanien</t>
  </si>
  <si>
    <t>Châtaigniers</t>
  </si>
  <si>
    <t>Castagne dolci</t>
  </si>
  <si>
    <r>
      <t xml:space="preserve">Hochstamm-Feldobst-, Nussbäume, … </t>
    </r>
    <r>
      <rPr>
        <sz val="10"/>
        <color theme="1"/>
        <rFont val="Calibri"/>
        <family val="2"/>
      </rPr>
      <t>³</t>
    </r>
  </si>
  <si>
    <t>Arbres fruitiers haute-tige, noyers, … ³</t>
  </si>
  <si>
    <t>Albero da frutto ad alto fusto, noce … ³</t>
  </si>
  <si>
    <t>Rhabarber, Spargel</t>
  </si>
  <si>
    <t>Rhubarbe, Asperges</t>
  </si>
  <si>
    <t>Rabarbaro, Asparagi</t>
  </si>
  <si>
    <t>SuiBi: Reben, andere Dauerkulturen</t>
  </si>
  <si>
    <t>SuiBi: vigne, autres cultures pérennes</t>
  </si>
  <si>
    <t>CHBZ: vite, altre colture perenne</t>
  </si>
  <si>
    <t>Zusatzformular "Reben und andere Dauerkulturen"</t>
  </si>
  <si>
    <t>Formulaire suppl. « vignes et autres cultures pérennes »</t>
  </si>
  <si>
    <t>Modulo aggiuntivo «vite e altre colture perenne»</t>
  </si>
  <si>
    <t>Formulaire supplémentaire  « légumes de plein champ »</t>
  </si>
  <si>
    <t>Formulaire supplémentaire  « légumes en serre, tunnel »</t>
  </si>
  <si>
    <t>Formulaire supplémentaire « fruits et baies »</t>
  </si>
  <si>
    <t>Altre colture perenne</t>
  </si>
  <si>
    <t>Nährstoffbedarf DK:</t>
  </si>
  <si>
    <t>Eléments nutritifs CP:</t>
  </si>
  <si>
    <t>Fabb. el. nutr. CPER</t>
  </si>
  <si>
    <t>Beispiel: Rharbarber</t>
  </si>
  <si>
    <t>Exemple: rhubarbe</t>
  </si>
  <si>
    <t>Es: rabarbaro</t>
  </si>
  <si>
    <t>Spargel, Bleich-</t>
  </si>
  <si>
    <t>Spargel, Grün-</t>
  </si>
  <si>
    <t>Beispiel: Spargel, Grün-</t>
  </si>
  <si>
    <t>Exemple: asperge verte</t>
  </si>
  <si>
    <t>Es: asparago verde</t>
  </si>
  <si>
    <t>Beispiel: Spargel, Bleich-</t>
  </si>
  <si>
    <t>Exemple: asperge blanche</t>
  </si>
  <si>
    <t>Es: asparago bianco</t>
  </si>
  <si>
    <t>Hopfen, Rharbarber, Spargel</t>
  </si>
  <si>
    <t>Houblon, rhubarbe, asperges</t>
  </si>
  <si>
    <t>Luppolo, rarbarbaro, asparagi</t>
  </si>
  <si>
    <t>share of place</t>
  </si>
  <si>
    <t>Import-/Exportbilanz:</t>
  </si>
  <si>
    <t>Bilancio import/export</t>
  </si>
  <si>
    <t>m³ / Monat</t>
  </si>
  <si>
    <t>m³ / mois</t>
  </si>
  <si>
    <t>m³ / mese</t>
  </si>
  <si>
    <t>q per</t>
  </si>
  <si>
    <t>4) Die hinterlegte Norm gilt bei 100 % Belegung. Geringeren Belegungen kann durch Wahl der Auslastung Rechnung getragen werden.</t>
  </si>
  <si>
    <t>4) La norme s'applique à une occupation à 100 %. Une occupation plus faible peut être prise en compte par le calcul des absences.</t>
  </si>
  <si>
    <t>4) La norma vale per un grado d'occupazione del 100 % e va diminuita in funzione del grado d'occupazione effettivo</t>
  </si>
  <si>
    <t>aumentare del 5 %</t>
  </si>
  <si>
    <t xml:space="preserve">     est diminué ou augmenté de 5 %.</t>
  </si>
  <si>
    <t>davon Betrieb, Nebenerwerb</t>
  </si>
  <si>
    <t>dont exploitation, activité annexe</t>
  </si>
  <si>
    <t>di cui in azienda, attività acc.</t>
  </si>
  <si>
    <t>JT</t>
  </si>
  <si>
    <t>AT</t>
  </si>
  <si>
    <t>ggLav</t>
  </si>
  <si>
    <t>AT pro</t>
  </si>
  <si>
    <t>per an</t>
  </si>
  <si>
    <t>JT par</t>
  </si>
  <si>
    <t>h par</t>
  </si>
  <si>
    <t>AKh pro</t>
  </si>
  <si>
    <t>Disponibilità di hMO: riserva / carenza</t>
  </si>
  <si>
    <t>Disponibilité en MOh: réserve ou manque</t>
  </si>
  <si>
    <t>AKh-Angebot: Reserve oder Manko</t>
  </si>
  <si>
    <t>i</t>
  </si>
  <si>
    <t>j</t>
  </si>
  <si>
    <t>Durata d’utilizzo prolungata delle vacche</t>
  </si>
  <si>
    <t>Abkalbungen</t>
  </si>
  <si>
    <t>durchschnittliche Anzahl</t>
  </si>
  <si>
    <t>Nombre moyen</t>
  </si>
  <si>
    <t>de vêlages</t>
  </si>
  <si>
    <t xml:space="preserve"> di parti</t>
  </si>
  <si>
    <t>Bovini e bufali &gt;160 giorni</t>
  </si>
  <si>
    <t>Zusatzbeitrag f. Zuckerr. z. Zuckerherst. bei Bio oder Verzicht auf Fungizid- und Herbizideinsatz</t>
  </si>
  <si>
    <t>Uferwiese, ohne Weiden</t>
  </si>
  <si>
    <t>Prairies riveraines, sauf les pâturages</t>
  </si>
  <si>
    <t>Prati rivieraschi, senza pascoli</t>
  </si>
  <si>
    <t>Mais «verde» o erbaio di mais, 2a coltura</t>
  </si>
  <si>
    <t>Sorgo da silo, trinciato di pianta intera, 2a coltura</t>
  </si>
  <si>
    <t>Coltura intercalare, senza prato temporaneo</t>
  </si>
  <si>
    <t>Coltura intercalare, prato temp. seminato in autunno</t>
  </si>
  <si>
    <t>Sovescio, senza leguminose</t>
  </si>
  <si>
    <t>Sovescio, con leguminose</t>
  </si>
  <si>
    <t>Walnüsse, &lt; 185 Bäume pro ha</t>
  </si>
  <si>
    <r>
      <t xml:space="preserve"> ≥ </t>
    </r>
    <r>
      <rPr>
        <sz val="9"/>
        <rFont val="Symbol"/>
        <family val="1"/>
        <charset val="2"/>
      </rPr>
      <t xml:space="preserve"> </t>
    </r>
  </si>
  <si>
    <t>Walnüsse, ≥ 185 Bäume pro ha</t>
  </si>
  <si>
    <t>Noce di Grenoble ≥ 185 alberi / ha</t>
  </si>
  <si>
    <t>Noix de Grenoble ≥ 185 arbres / ha</t>
  </si>
  <si>
    <t>Bande semée pour org. utiles</t>
  </si>
  <si>
    <t>Jachère tourn. et flor., ourlets sur terres assolées, bande semée p. org. uti.</t>
  </si>
  <si>
    <t>Nützlingsstreifen ansähen</t>
  </si>
  <si>
    <t>Semis bande semée pour org. utiles</t>
  </si>
  <si>
    <t>bande semée pour org. utiles</t>
  </si>
  <si>
    <t>Säume auf Ackerflächen und Nützlingsstreifen</t>
  </si>
  <si>
    <t>Ourlets sur terres assolées et bande semée pour org. utiles</t>
  </si>
  <si>
    <t>Strisce per organismi utili</t>
  </si>
  <si>
    <t>Fascia colturale estensiva in campicoltura e strisce per organismi utili</t>
  </si>
  <si>
    <t>Strisce per organismi utili in ZP e ZC</t>
  </si>
  <si>
    <t>Nützlingsstreifen TZ und HZ</t>
  </si>
  <si>
    <t>Bande semée pour org. utiles ZP et ZC</t>
  </si>
  <si>
    <t>Bunt- und Rotationsbrachen, Säume auf Ackerfläche, Nützlingsstreifen</t>
  </si>
  <si>
    <t>Maggese fior., rotaz., striscia sup. coltiva, fascia estensiva e strisce p.org.utili</t>
  </si>
  <si>
    <t>* Die Beiträge werden auf der Basis des Normalbesatzes gerechnet, wenn der effektive Jahresbesatz zwischen 75 % und 110 % liegt</t>
  </si>
  <si>
    <t>* Le montant des contributions est calculé en fonction de la charge usuelle, pour autant que la charge annuelle effective se situe entre 75 % et 110 %</t>
  </si>
  <si>
    <t>* L'ammontare del contributo si calcola in funzione del carico usuale, a condizione che il carico annuale effettivo sia compreso tra il 75 e il 110 % del CU</t>
  </si>
  <si>
    <t>N (max. Fehlerbereich + 10 %)</t>
  </si>
  <si>
    <t>P2O5 (max. Fehlerbereich + 10 %)</t>
  </si>
  <si>
    <t>N (marge d'erreur maximale + 10 %)</t>
  </si>
  <si>
    <t>P2O5 (marge d'erreur maximale + 10 %)</t>
  </si>
  <si>
    <t>Margine max errore N: +10 %</t>
  </si>
  <si>
    <t>Margine max errore P2O5: +10 %</t>
  </si>
  <si>
    <t>Plus 1-3 Kulturen, falls Total der Kumulation &gt; 10 %</t>
  </si>
  <si>
    <t>Plus 1-3 cultures, si total cumulé &gt;10 %</t>
  </si>
  <si>
    <t>Zuzüglich Lagerungs- und Krippenverluste, 0 - 5 % von Netto-Grundfutterbedarf</t>
  </si>
  <si>
    <t>Pertes de conservation et à la crèche: 0 - 5 % des besoins nets en fourrage</t>
  </si>
  <si>
    <t>Perdite di conservazione e alla mangiatoia; 0 - 5 % del fabbisogno netto di foraggio grezzo</t>
  </si>
  <si>
    <t>Fehlerbereich der Grundfutterbilanz: 0 - 5 %</t>
  </si>
  <si>
    <t>Marges d'erreur sur le bilan de matière (MS): 0 - 5 %</t>
  </si>
  <si>
    <t>Margine d'errore esperesso sul bilancio della SS; 0 - 5% del fabb. netto di foraggio grezzo</t>
  </si>
  <si>
    <t xml:space="preserve">-Type 0: Seulement du lisier, du purin et du fumier, du purin et moins de 10 % de fumier </t>
  </si>
  <si>
    <t>o di liquami con meno del 10 % letame di stabulazione libera</t>
  </si>
  <si>
    <t>Tiefstreulaufstall für Schweine, alle Systeme für Geflügel (&lt;10 % Gülle).</t>
  </si>
  <si>
    <t>systèmes pour volaille (&lt; 10% de purin). Reporter tout le Nstock produit à l'étable.</t>
  </si>
  <si>
    <t>sistema per il pollame (&lt; 10 % di liquami) Riporta tutto l'Nstock prodotto</t>
  </si>
  <si>
    <t xml:space="preserve"> -Typ 50: Zweiraumlaufstall (10-90 % Vollmist). </t>
  </si>
  <si>
    <t xml:space="preserve">-Type  50: Système de stabulation  libre sur paille à deux secteurs entre 10 - 90 % de fumier </t>
  </si>
  <si>
    <t>- Tipo 50: Stabulazione libera su paglia a due settori (10 - 90 % letame di stabulazione libera)</t>
  </si>
  <si>
    <t>concimati (max 25 % del foraggio grezzo aziendale)</t>
  </si>
  <si>
    <t>La resa del mais da silo deve essere almeno il 125 % di quella del prato intensivo!</t>
  </si>
  <si>
    <t>La resa di mais e sorgo da silo deve essere almeno il 125 % di quella del prato intensivo!</t>
  </si>
  <si>
    <t xml:space="preserve">Nährstoffe aus der Tierhaltung (% = Eigenversorgung Betrieb)  </t>
  </si>
  <si>
    <t>+ Krippenverluste, ca. 5 %</t>
  </si>
  <si>
    <t>+ Pertes à la crèche, env. 5 %</t>
  </si>
  <si>
    <t>+ perdite in mangiatoia (5 % ca.)</t>
  </si>
  <si>
    <t>1) Riferita a una produzione annua media di 7'500 kg di latte. Per ogni 1'000 kg di latte in meno, diminuire del 5 %. Per ogni 1'000 kg in più,</t>
  </si>
  <si>
    <t>2) Die hinterlegte Norm gilt bei 100 % Belegung. Geringeren Belegungen kann durch Wahl der Auslastungen Rechnung getragen werden.</t>
  </si>
  <si>
    <t>2) La norme s'applique à une occupation à 100 %. Une occupation plus faible peut être prise en compte par le calcul des absences.</t>
  </si>
  <si>
    <t>2) La norma vale per un grado d'occupazione del 100 % e va diminuita in funzione del grado d'occupazione effettivo.</t>
  </si>
  <si>
    <t>C7: Zuzüglich Lagerungs- und Krippenverluste, 0-5 % vom Netto-Grundfutterbedarf</t>
  </si>
  <si>
    <t xml:space="preserve">C7: Pertes de conservation et à la crèche : 0 - 5 % des besoins nets en fourrages   </t>
  </si>
  <si>
    <t>C7: + perdite di conservazione e alla mangiatoia, 0 - 5 % del fabbisogno netto di foraggio grezzo</t>
  </si>
  <si>
    <t>C8: Fehlerbereich der Grundfutterbilanz: 0 - 5 % vom Netto-Grundfutterbedarf</t>
  </si>
  <si>
    <t xml:space="preserve">C8: Marge d'erreur sur le bilan de matière sèche (MS) : 0 - 5 % des besoins nets en fourrages </t>
  </si>
  <si>
    <t>C8: + margine d'errore espresso sul bilancio della sostanza secca (SS), 0 - 5 % del fabb. netto di foraggio grezzo</t>
  </si>
  <si>
    <t>* per ottenere il 100 % dei contributo PLCSI (UBGFG/ha di superficie inerbita)</t>
  </si>
  <si>
    <t>L'exigence d'une charge minimale en bétail (UGBFG/ha herb.) pour 100 % des contributions pour PLVH</t>
  </si>
  <si>
    <t>Fattore «carico di bestiame» (UBG effettivi/UBG minimi). Se F=100 %, carico minimo rispettato</t>
  </si>
  <si>
    <t>% de la ch. en bétail réalisé (= UGB eff./ UGB min.), (si la charge minimale en bétail est atteinte = 100 %)</t>
  </si>
  <si>
    <t>18 - 35 % declività</t>
  </si>
  <si>
    <t>35 - 50 % declività</t>
  </si>
  <si>
    <t>Superficie con diritto ai contributi &gt; 35 % di pendenza*</t>
  </si>
  <si>
    <t>Progressione lineare del contributo dal 30 % di pendenza (100 CHF/ha)</t>
  </si>
  <si>
    <t>fino al 100 % (1'000 CHF/ha)</t>
  </si>
  <si>
    <t>30 - 50 % declività</t>
  </si>
  <si>
    <t xml:space="preserve">25 % des coûts d'acquisition par pulvérisateur à jets projetés </t>
  </si>
  <si>
    <t xml:space="preserve">25 % del prezzo d'acquisto per un atomizzatore a flusso d'aria tangenziale </t>
  </si>
  <si>
    <t>1. Pulvérisation sous-foliaire: 75 % des coûts d'acquisition par rampe,</t>
  </si>
  <si>
    <t>1. Tecnica d'irrorazione sottochioma: 75 % del prezzo d'acquisto per irroratrice,</t>
  </si>
  <si>
    <t>25 % del prezzo d'acquisto per irroratrici con rilevatori di vegetazione,</t>
  </si>
  <si>
    <t>25 % des coûts d'acquisition, jusqu'à un maximum de CHF 10'000.-</t>
  </si>
  <si>
    <t>Il contributo ammonta al 50 % del prezzo d'acquisto di ogni sistema di lavaggio,</t>
  </si>
  <si>
    <t>- Mindestarbeitsaufkommen: 0.20 SAK</t>
  </si>
  <si>
    <t>- Mindestanteil betriebseigener Arbeitskräfte: 50 %</t>
  </si>
  <si>
    <t>- Altersgrenze: 65 Jahre</t>
  </si>
  <si>
    <t>- Charge minimale de travail: 0.20 UMOS</t>
  </si>
  <si>
    <t>- Part minimale de main-d'œuvre propre à l'exploitation: 50%</t>
  </si>
  <si>
    <t>- Limite d'âge: 65 ans</t>
  </si>
  <si>
    <t>- Limite massimo d'età: 65 anni</t>
  </si>
  <si>
    <t>- Onere lavorativo minimo: 0.20 USM</t>
  </si>
  <si>
    <t>- Quota minima di manodopera propria dell'azienda: 50 %</t>
  </si>
  <si>
    <t>- Prova che esigenze ecologiche sono rispettate, PER</t>
  </si>
  <si>
    <t>Riassunto da riportare nel foglio « Riassunto » e « FluCas »</t>
  </si>
  <si>
    <t>Contributi comunali e cantonali per la protezione della natura e per i terreni in pendenza, solo cantonali</t>
  </si>
  <si>
    <t>2014 - 2016: &gt; 35 - 50% und &gt; 50% = 0.03</t>
  </si>
  <si>
    <t>ab 2017: &gt; 35 - 50 % = 0.025; &gt; 50% = 0.05</t>
  </si>
  <si>
    <t>2014-2016: &gt;35 - 50 % und &gt; 50 % = 0.03</t>
  </si>
  <si>
    <t>dès 2017: &gt;35 - 50 % = 0.025; &gt; 50 % = 0.05</t>
  </si>
  <si>
    <t>2014 - 2016: &gt; 35 - 50 % e &gt; 50 % = 0.03</t>
  </si>
  <si>
    <t>dal 2017: &gt;35 - 50 % = 0.025; &gt; 50 % = 0.05</t>
  </si>
  <si>
    <t>Terrains en forte pente, &gt; 50 %</t>
  </si>
  <si>
    <t>Terreno in forte pendenza, &gt; 50 %</t>
  </si>
  <si>
    <t>Flächen in Hanglage, &gt; 50 %</t>
  </si>
  <si>
    <t>Flächen in Hanglage, 18 - 35 %</t>
  </si>
  <si>
    <t>Terrains en pente, 18 - 35 %</t>
  </si>
  <si>
    <t>Terreno in pendenza, 18 - 35 %</t>
  </si>
  <si>
    <t>inkl. Hecken, Feld- und Ufergehölze, Uferwiesen</t>
  </si>
  <si>
    <t>y.c. haies, bosquets et berges boisées, surfaces à litière, zones de berge</t>
  </si>
  <si>
    <t>incl. siepi e boschetti, bordi rivieraschi, superfici da strame, …</t>
  </si>
  <si>
    <t>Terreno in forte pendenza, &gt; 35 - 50 %</t>
  </si>
  <si>
    <t>Terrains en forte pente, &gt; 35 - 50 %</t>
  </si>
  <si>
    <t>Flächen in Hanglage, &gt; 35 - 50 %</t>
  </si>
  <si>
    <t>SAK technischer Fortschritt, provisorisch ausser Kraft</t>
  </si>
  <si>
    <t>UMOS progres technique, provisoirment suspendu</t>
  </si>
  <si>
    <t>Ansatz / Einh.</t>
  </si>
  <si>
    <t>Taux / unité</t>
  </si>
  <si>
    <t>Coeff. / unità</t>
  </si>
  <si>
    <t>ora / anno (h / an)</t>
  </si>
  <si>
    <t>entspricht 100 % des Übergangsbeitrags:</t>
  </si>
  <si>
    <t>déduction de 100 % de la contribution de transition</t>
  </si>
  <si>
    <t>Deduzione pari al 100 % se la sostanza</t>
  </si>
  <si>
    <t xml:space="preserve"> + 40 % der ordentlichen Beiträge für die BV  - 2. Säule</t>
  </si>
  <si>
    <t xml:space="preserve"> + 40 % des cotisations ordinaires à la PP - 2ème pilier</t>
  </si>
  <si>
    <t>+ 40 % dei contributi ordinari alla PrevProf - 2° pilastro</t>
  </si>
  <si>
    <t xml:space="preserve"> + 50 % von AHV, IV, EO für BL-Paar,  Korrektur für LE</t>
  </si>
  <si>
    <t xml:space="preserve"> + 50 % de AVS, AI, APG pour CE,  corr.  rev. agr.</t>
  </si>
  <si>
    <t>+ 50 % di AVS, AI, IPG fam. gestori, corr. reddito agricolo</t>
  </si>
  <si>
    <t>Evoluzione media (%)</t>
  </si>
  <si>
    <t>5]</t>
  </si>
  <si>
    <t>5], 9]</t>
  </si>
  <si>
    <t>Il calcolo del carico effettivo di bestiame per il bilancio foraggero " &amp; Q!GültigAbErntejahr &amp; " si basa sulle presenze</t>
  </si>
  <si>
    <t>Tiere der Rindergattung und Wasserbüffel, bis 160 Tage</t>
  </si>
  <si>
    <t>heit.</t>
  </si>
  <si>
    <t>unit.</t>
  </si>
  <si>
    <t>Arbres fruitiers à haute tige, noyers, châtaigniers: 1 are par arbre</t>
  </si>
  <si>
    <t>Albero da frutto ad alto fusto, noce, castagna: 1 ara / albero</t>
  </si>
  <si>
    <t>Hochstamm-Feldobstbäume, Nussbäume, Edelkastanien: 1 Are pro  Baum</t>
  </si>
  <si>
    <t>Max.</t>
  </si>
  <si>
    <t xml:space="preserve"> Höhe ü. M.:</t>
  </si>
  <si>
    <t>k</t>
  </si>
  <si>
    <t>Bezeichnung aus |Fläche|</t>
  </si>
  <si>
    <t>Bezeichnung aus |SB2|</t>
  </si>
  <si>
    <t>Abzug für Tiere über 160 Tage, die keinen Weidebeitrag erhalten</t>
  </si>
  <si>
    <t>Abzug für Tiere bis 160 Tage, die keinen Weidebeitrag erhalten</t>
  </si>
  <si>
    <t>to take the korekt index x, x it must be row x of Range "Gülle"</t>
  </si>
  <si>
    <t>table must be sortet by "Dungtyp Index" because range "Gülle" is referred in |HDC| to bring p. e. "Gülletyp"</t>
  </si>
  <si>
    <t>Kultur Anz.</t>
  </si>
  <si>
    <t>Riduzione per bovino e bufalo &gt;160 g., senza ~</t>
  </si>
  <si>
    <t>Riduzione per bovino e bufalo &lt;160 g., senza ~</t>
  </si>
  <si>
    <t>Déduction pour ~ &lt; 160 jours, sans contrib. mise au pât.</t>
  </si>
  <si>
    <t>Déduction pour ~ &gt; 160 jours, sans contrib. mise au pât.</t>
  </si>
  <si>
    <t>Facteur consommation FG au carré</t>
  </si>
  <si>
    <t>Spécifique à l'exploitation</t>
  </si>
  <si>
    <t>Min.</t>
  </si>
  <si>
    <t>Spécifique à l'exploitation entre Min. et Max.</t>
  </si>
  <si>
    <t>Correction accroissement</t>
  </si>
  <si>
    <t>Correction PV sortie</t>
  </si>
  <si>
    <t>Consommation de fourrage grossier</t>
  </si>
  <si>
    <t>en dt MS par an et par place</t>
  </si>
  <si>
    <t>Production de nutriments en kg par place</t>
  </si>
  <si>
    <t>Bovins à l'engrais de plus de 160 jours, standard</t>
  </si>
  <si>
    <t>Corr. accroissement, par 100 g par jour suppl. au-delà de 1400 g</t>
  </si>
  <si>
    <t>Correction PV sortie, par 20 kg au-delà de 530 kg PV</t>
  </si>
  <si>
    <t>Corrigé</t>
  </si>
  <si>
    <t>valable uniquement jusqu'à l'année de récolte 2023 incluse</t>
  </si>
  <si>
    <t xml:space="preserve">Fattore ingestione di foraggio grezzo al quadrato </t>
  </si>
  <si>
    <t>Valido solo fino alla campagna 2023 compresa</t>
  </si>
  <si>
    <t>Forma di proprietà</t>
  </si>
  <si>
    <t>Contribution supplémentaire pour betteraves à sucre en bio ou en cas de non-recours à l'utilisation de fongicide et d'herbicide</t>
  </si>
  <si>
    <t>Contr. suppl. per la bietola da zucchero, prod. BIO di zucch. o per la rinuncia a erbicidi e fungicidi</t>
  </si>
  <si>
    <t xml:space="preserve">  a complemento del contributo precedente</t>
  </si>
  <si>
    <t>Rinuncia ai prodotti fitosanitari</t>
  </si>
  <si>
    <t>Rinuncia ai prodotti fitosanitari in campicoltura</t>
  </si>
  <si>
    <t>a) - Non è versato alcun contributo per: mais, cereali insilati, colture speciali, superfici per la promozione della biodiversità ai sensi dell’articolo 55 (fatta eccezione per i cereali in file distanziate) e colture per le quali ai sensi dell’art. 18 cP. 1 - 5 non possono essere impiegati insetticidi ne fungicidi</t>
  </si>
  <si>
    <t>Rinuncia a insetticidi e acaricidi</t>
  </si>
  <si>
    <t>nella coltivazione di ortaggi e bacche</t>
  </si>
  <si>
    <t>Beispiel eine Kultur, kein Maximum</t>
  </si>
  <si>
    <t>Coltivazione di ortaggi annuali di pieno campo e di bacche annuali</t>
  </si>
  <si>
    <t>Rinuncia a insetticidi, acaricidi e</t>
  </si>
  <si>
    <t>fungicidi nelle colture perenni dopo la fioritura</t>
  </si>
  <si>
    <t>Frutticoltura per i frutteti secondo l’art. 22 cp. 2 OTerm</t>
  </si>
  <si>
    <t>viticoltura e coltivazione di bacche</t>
  </si>
  <si>
    <t>Gestione di superfici con colture perenni con mezzi ausiliari</t>
  </si>
  <si>
    <t>conformi all’agricoltura biologica</t>
  </si>
  <si>
    <t>viticoltura, coltivazione di bacche e permacultura</t>
  </si>
  <si>
    <t xml:space="preserve">Rinuncia a erbicidi in campicoltura e </t>
  </si>
  <si>
    <t>nelle colture speciali</t>
  </si>
  <si>
    <t xml:space="preserve">Colza, patata e ortaggi di pieno campo per la conservazione </t>
  </si>
  <si>
    <t>Colture speciali, eccetto tabacco e indivia</t>
  </si>
  <si>
    <t>Colture principali sulle altre terre aperte</t>
  </si>
  <si>
    <t>viticoltura, frutticoltura, coltivazione di bacche e permacultura</t>
  </si>
  <si>
    <t>Miglioramento della fertilità del suolo</t>
  </si>
  <si>
    <t>Copertura adeguata del suolo</t>
  </si>
  <si>
    <t>Colture principali sulle terre aperte eccetto le colture di ortaggi annuali in pieno</t>
  </si>
  <si>
    <t>campo, le bacche annuali, così come le piante aromatiche e medicinali</t>
  </si>
  <si>
    <t>Colture di ortaggi annuali di pieno campo, colture di bacche, piante</t>
  </si>
  <si>
    <t>aromatiche e medicinali (TA), eccetto gli ortaggi per la conservazione</t>
  </si>
  <si>
    <t>Viticoltura</t>
  </si>
  <si>
    <t>Lavorazione rispettosa del suolo nelle</t>
  </si>
  <si>
    <t>colture principali sulle terre da rotazione</t>
  </si>
  <si>
    <t>Semina diretta, semina a bande (strip till)</t>
  </si>
  <si>
    <t>e semina su lettiera</t>
  </si>
  <si>
    <t>Impiego efficiente dell'azoto in campicoltura</t>
  </si>
  <si>
    <t>l'apporto di Ndisp sull'insieme dell'azienda non supera il 90 %</t>
  </si>
  <si>
    <t>del fabbisogno di N delle colture (Suisse-Bilanz)</t>
  </si>
  <si>
    <t>Terre di rotazione</t>
  </si>
  <si>
    <t>Contributi per il pascolo</t>
  </si>
  <si>
    <t>correct</t>
  </si>
  <si>
    <t>pas correct</t>
  </si>
  <si>
    <t>non corretto</t>
  </si>
  <si>
    <t>Bovino e bufalo &gt; 160 giorni</t>
  </si>
  <si>
    <t>*Il contributo è versato solo se le uscite previste dalle norme URA sono concesse a tutti gli animali delle categorie bovini e bufali</t>
  </si>
  <si>
    <t>* Il contributo URA non è versato per le categorie di animali per le quali è già versato un contributo per il pascolo</t>
  </si>
  <si>
    <t>Contributo supplementare per la barbabietola da zucchero</t>
  </si>
  <si>
    <t>** Il supplemento è versato solo se è versato anche uno dei contributi seguenti: contributo per l'agricoltura biologica o contributo per la rinuncia ai fungicidi e agli insetticidi</t>
  </si>
  <si>
    <t>N° medio di parti</t>
  </si>
  <si>
    <t>* per vacca eliminata nei tre anni civili precedenti</t>
  </si>
  <si>
    <t>b) - Non è versato alcun contributo per gli ortaggi di pieno campo per la conservazione</t>
  </si>
  <si>
    <t>c) - Non è versato alcun contributo per le superfici per le quali è versato un contributo per l'agricoltura biologica</t>
  </si>
  <si>
    <t>d) - Non è versato alcun contributo per le superfici per la promozione della biodiversità ai sensi dell’art. 55, (fatta eccezione per i cereali in file distanziate), le strisce per organismi utili sulle terre aperte secondo l’art. 71b cp. 1 let. a, la fungicoltura, le colture protette tutto l'anno</t>
  </si>
  <si>
    <t>Biodiversità funzionale</t>
  </si>
  <si>
    <t>Misure in favore del clima</t>
  </si>
  <si>
    <t xml:space="preserve">Forme di produzione particolarmente rispettose degli animali </t>
  </si>
  <si>
    <t>e) - Non è versato alcun contributo per le strisce per organismi utili in vigneti con biodiversità naturale secondo l'art. 55, cp. 1, let. n e per le superfici per la promozione della biodiversità specifiche di una regione secondo l’art. 55 cp. 1 let. p</t>
  </si>
  <si>
    <t>i) - Non sono versati contributi per la semina di prati temporanei tramite semina su lettiera, colture intercalari e frumento o triticale dopo mais</t>
  </si>
  <si>
    <t>Sì = 1; No = 0</t>
  </si>
  <si>
    <t>** L'importo è proporzionale al n° medio di parti. Per le vacche da latte: tra Fr. 10.- per una media di 3 parti e Fr. 200.- per una media di 7 e più parti; per le altre vacche: tra  Fr. 10.- per una media di 4 parti. e Fr. 200.- per una media di 8 e più parti</t>
  </si>
  <si>
    <t>UGB vacche</t>
  </si>
  <si>
    <t>Nel 2023, il fattore per il contributo di transizione dovrebbe aumentare fino a ca. 0,2-0,25 per poi diminuire nuovamente, a seconda della partecipazione ai nuovi programmi</t>
  </si>
  <si>
    <t>(impiego di erbicidi autorizzato)</t>
  </si>
  <si>
    <t>f) - se, entro 7 settimane dal raccolto, sull’insieme dell’azienda si impianta un’altra coltura, una coltura autunnale, una coltura intercalare o un sovescio invernale e se non viene effettuata alcuna
lavorazione del suolo nelle superfici coperte con colture, colture intercalari e sovescio invernale fino al 15 febbraio dell'anno successivo</t>
  </si>
  <si>
    <t>g) - se almeno il 70% della superficie interessata sull'insieme dell'azienda è sempre coperto con una coltura o una coltura intercalare</t>
  </si>
  <si>
    <t>h) - se sull’insieme dell’azienda almeno il 70% della superficie del vigneto è sempre inerbita e se le vinacce sono riportate e distribuite sulla superficie del vigneto dell’azienda</t>
  </si>
  <si>
    <t>j) - Le condizioni per il contributo per una copertura adeguata del suolo sono rispettate</t>
  </si>
  <si>
    <t>k) - La superficie che dà diritto ai contributi comprende almeno il 60% delle terre aperte dell'azienda</t>
  </si>
  <si>
    <t>superficie inerbita (ha)</t>
  </si>
  <si>
    <t>Bovino e bufalo &gt; 160 giorni, equino &gt; 30 mesi, capra &gt; 1 anno</t>
  </si>
  <si>
    <t>Bovino e bufalo &gt; 160 giorni, equino &gt; 30 mesi,</t>
  </si>
  <si>
    <t>e bufalo che durante l'estate resta esclusivamente al pascolo</t>
  </si>
  <si>
    <t>N° medio</t>
  </si>
  <si>
    <t>* Pulvérisation sous-foliaire (droplegs); pulvérisateurs anti-dérive utilisés en arboriculture fruitière et en viticulture</t>
  </si>
  <si>
    <t>grains, de haricots en grains ou de lupins avec des céréales.</t>
  </si>
  <si>
    <t>Colza, patata, ortaggi di pieno campo per la conserv. e bietola da zucchero</t>
  </si>
  <si>
    <t>Frumento panificabile, grano duro, frumento da foraggio, segale,</t>
  </si>
  <si>
    <t>spelta, avena, orzo, triticale, riso coltivato in asciutta, grande spelta,</t>
  </si>
  <si>
    <t xml:space="preserve">piccola spelta e loro miscele, lino, girasole, pisello da granella, fagiolo </t>
  </si>
  <si>
    <t>e veccia da granella, lupino e cece, nonché miscele di pisello, fagiolo,</t>
  </si>
  <si>
    <t>veccia, lupino e cece, tutti da granella, con cereali o dorella</t>
  </si>
  <si>
    <t>Colza, PdT, légumes de conserve de plein champ et betteraves sucrières</t>
  </si>
  <si>
    <t>Mod. de prod. portant sur une partie de l'exploit.</t>
  </si>
  <si>
    <t>Tipi di prod. applicati nei diversi settori az.</t>
  </si>
  <si>
    <t>Mod. de prod. conformes au principe de la globalité</t>
  </si>
  <si>
    <t>Sistemi di prod. applicati all'intera az.</t>
  </si>
  <si>
    <t>nur F</t>
  </si>
  <si>
    <t>Cultures principales sur terres ouvertes à l’exception des cultures annuelles de légumes de</t>
  </si>
  <si>
    <t>plein champ et des cult. annuelles de petits fruits, ainsi que des plantes arom. et méd.</t>
  </si>
  <si>
    <t>plantes arom. et médicinales (TO) à l’exception des légumes de conserve</t>
  </si>
  <si>
    <t xml:space="preserve">Cultures annuelles de légumes de plein champ, cultures annuelles de petits fruits, </t>
  </si>
  <si>
    <t>3 Wiesen, BERECHNETER Ertrag (Spalte J) höher als Max-Ertrag (Spalte M)</t>
  </si>
  <si>
    <t>Bv97062</t>
  </si>
  <si>
    <t>Text Anmerk_6</t>
  </si>
  <si>
    <t>Text Anmerk_5</t>
  </si>
  <si>
    <t>Comment 5</t>
  </si>
  <si>
    <t>Comment 6</t>
  </si>
  <si>
    <t>Check Box 8</t>
  </si>
  <si>
    <t>Check Box 9</t>
  </si>
  <si>
    <t>AckerS-</t>
  </si>
  <si>
    <t>streifen</t>
  </si>
  <si>
    <t>Ackerkult.</t>
  </si>
  <si>
    <t>Bandes</t>
  </si>
  <si>
    <t>cult. ext.</t>
  </si>
  <si>
    <t>Fascia</t>
  </si>
  <si>
    <t>colt. est.</t>
  </si>
  <si>
    <t>Acker-Biodiversitätsförderflächen</t>
  </si>
  <si>
    <t>Mindestfläche Acker-BFF</t>
  </si>
  <si>
    <t>SPB minimale sur terres assolées</t>
  </si>
  <si>
    <t>Surfaces de promotion de la biodiversité sur terres assolées</t>
  </si>
  <si>
    <t>maximal</t>
  </si>
  <si>
    <t>Emmer / Einkorn</t>
  </si>
  <si>
    <t>Superfici per la promozione della biodiversità sulla superficie coltiva</t>
  </si>
  <si>
    <t>SPB minima sulla superficie coltiva</t>
  </si>
  <si>
    <t>GC</t>
  </si>
  <si>
    <t>Colt. campi-</t>
  </si>
  <si>
    <t>cole Sup.</t>
  </si>
  <si>
    <t>Ackerschonstreifen, Summe</t>
  </si>
  <si>
    <t>Total surface bandes culturales extensives</t>
  </si>
  <si>
    <t>Somma superficie fasce di colture extensive in campicoltura</t>
  </si>
  <si>
    <t>- ständige Behirtung</t>
  </si>
  <si>
    <t>- surveillance permanente</t>
  </si>
  <si>
    <t xml:space="preserve"> - sorveglianza permanente</t>
  </si>
  <si>
    <t>Zusatzbeitrag für die Umsetzung einzelbetrieblicher Herdenschutzmassnahmen</t>
  </si>
  <si>
    <t>Schafe (mit Ausnahme von Milchschafen) bei ständiger Behirtung oder Umtriebsweide</t>
  </si>
  <si>
    <t>Milchschafe, Ziegen, Tiere der Rindergattung und Wasserbüffel bis 365 Tage alt</t>
  </si>
  <si>
    <t>moutons (sans brebis laitières), sous surveillance permanente ou en pâturages tournants</t>
  </si>
  <si>
    <t>brebis laitières, chèvres, bovins et buffles d’Asie jusqu’à l’âge de 365 jours</t>
  </si>
  <si>
    <t>pecore da latte, capre, bovini e bufali fino all'età di 365 giorni</t>
  </si>
  <si>
    <t>pecore (senza pecore da latte) in caso di sorveglianza permanente o in pascoli a rotazione</t>
  </si>
  <si>
    <t>Contribution supplém. pour la mise en oeuvre de mesures individuelles de protection des troupeaux</t>
  </si>
  <si>
    <t xml:space="preserve">  laitières, en complément des contributions ci-dessus</t>
  </si>
  <si>
    <t>Contributo supplem. per l'attuazione di misure individuali di protezione del bestiame</t>
  </si>
  <si>
    <t>2023 / 2024</t>
  </si>
  <si>
    <t>Ansatz linear von 100 CHF / ha ab 30 % bis 1'000 CHF / ha</t>
  </si>
  <si>
    <t>bei 100 % Anteil</t>
  </si>
  <si>
    <t>entre 30 % et 100 % de pente</t>
  </si>
  <si>
    <t>Brebis laitière</t>
  </si>
  <si>
    <t>Autres moutons, &gt; 365 jours</t>
  </si>
  <si>
    <t>Altri ovini &gt; 365 gioni di età</t>
  </si>
  <si>
    <t>Bovins d'élevage, jusqu'à 160 jours</t>
  </si>
  <si>
    <t>Agneaux, jusqu'à 180 jours</t>
  </si>
  <si>
    <t>Andere Schafe, über 365-tägig</t>
  </si>
  <si>
    <t>Lämmer, bis 180-tägig</t>
  </si>
  <si>
    <t>Andere Zeigen, über 365-tägig</t>
  </si>
  <si>
    <t>Autres chèveres, &gt; 365 jours</t>
  </si>
  <si>
    <t>Altri caprini, &gt; 365 gioni di età</t>
  </si>
  <si>
    <t>Zicklein bis 180-tägig, Mutterziegenherde</t>
  </si>
  <si>
    <t>Zicklein bis 180-tägig, Milchziegenherde</t>
  </si>
  <si>
    <t>Capretti &lt;= 180 giorni di età, gregge di capre da latte</t>
  </si>
  <si>
    <t>Capretti &lt;= 180 giorni di età, gregge di capre madre</t>
  </si>
  <si>
    <t>Cabris jusqu'à 180 jours, troup. de chèvres laitières</t>
  </si>
  <si>
    <t>Cabris jusqu'à 180 jours, troup. de chèvres mères</t>
  </si>
  <si>
    <t>Milchschafe, Ø Milchmenge:</t>
  </si>
  <si>
    <t>Milchziegen, Ø Milchmenge:</t>
  </si>
  <si>
    <t>Brebis laitière, prod. laitière Ø:</t>
  </si>
  <si>
    <t>Chèvres laitières, prod. laitière Ø:</t>
  </si>
  <si>
    <t xml:space="preserve">Pecora da latte, prod. di latte Ø </t>
  </si>
  <si>
    <t xml:space="preserve">Capra da latte, prod. di latte Ø </t>
  </si>
  <si>
    <t>1.10</t>
  </si>
  <si>
    <t>+- 25 kg</t>
  </si>
  <si>
    <t>Mastkälber aus Import/Export Bilanz</t>
  </si>
  <si>
    <t>Veaux à l'engr., provenant du bilan import/export</t>
  </si>
  <si>
    <t>Vitello da ingr., riporto dal bilancio import/export</t>
  </si>
  <si>
    <t>Veaux à l'engrais</t>
  </si>
  <si>
    <t>I/E-Bilanzwerte aus Mastkälberhaltung</t>
  </si>
  <si>
    <t>Valeurs du bilan I/E de veaux à l'engrais</t>
  </si>
  <si>
    <t>Bilancio Imp/Exp di vitello da ingrasso</t>
  </si>
  <si>
    <t>Valeurs pour porcs, volaille, veaux à engr. et lapins à partir du bilan import / export</t>
  </si>
  <si>
    <t>Valori per suini, pollame, vitello da ingr.  e conigli secondo i bilanci import / export</t>
  </si>
  <si>
    <t>Werte für Schweine, Geflügel, Mastkälber und Kaninchen aus Im- / Exportbilanzen</t>
  </si>
  <si>
    <t>Reprennent sortie sur cour</t>
  </si>
  <si>
    <t>Reprennent pârture</t>
  </si>
  <si>
    <t>Rilevare aria d'escersizio</t>
  </si>
  <si>
    <t>Rilevare pascolo</t>
  </si>
  <si>
    <t>Laufhof-Tage übernehmen</t>
  </si>
  <si>
    <t>Weide-Tage übernehmen</t>
  </si>
  <si>
    <t>ACKERSCHONSTREIFEN werden neu direkt im Blatt "Kennz" erfasst.</t>
  </si>
  <si>
    <t xml:space="preserve">BANDES CULTURALES EXTENSIVES doivent être saisies sur « SCE » </t>
  </si>
  <si>
    <t>FASCIA COLT. ESTENSIVA IN CAMPICOLTURA devono essere registrate nella casella gialla del «SPB».</t>
  </si>
  <si>
    <t>Jungschafe, über 180 bis 365-tägig</t>
  </si>
  <si>
    <t>Jungziegen, über 180 bis 365-tägig</t>
  </si>
  <si>
    <t>Jeune chèvres, &gt; 180 à 365 jours</t>
  </si>
  <si>
    <t>Jeunes moutons, &gt; 180 à 365 jours</t>
  </si>
  <si>
    <t>Agnelli &lt; 180 giorni di età</t>
  </si>
  <si>
    <t>Ovini giovani &gt;180-365 giorni di età</t>
  </si>
  <si>
    <t>Caprini giovani &gt; 180-365 giorni di età</t>
  </si>
  <si>
    <t>Rucola, 1 Schnitt</t>
  </si>
  <si>
    <t>Rucola, 2 Schnitte</t>
  </si>
  <si>
    <t>über ein Jahr alte Tiere der Schaf- und Ziegengattung</t>
  </si>
  <si>
    <t>Bovins et buffles d'Asie &gt;160 jours, équidés, chèvres et moutons &gt; 1 an</t>
  </si>
  <si>
    <t>capra e pecora &gt; 1 anno</t>
  </si>
  <si>
    <t>Dieses Makro darf nur aus dem Betriebsvoranschlag heraus ausgeführt werden!</t>
  </si>
  <si>
    <t>Betvor_I</t>
  </si>
  <si>
    <t>Ab 2025 gibt es für präzise Applikationstechniken keine Beiträge mehr.</t>
  </si>
  <si>
    <t>A partir de 2025, il n'y aura plus de contributions pour les techniques d'application précises.</t>
  </si>
  <si>
    <t>Dal 2025 non ci saranno più contributi per tecniche di applicazione precise.</t>
  </si>
  <si>
    <t>Eigentumsverhältnis</t>
  </si>
  <si>
    <t>Kraftfutterverbrauch tot. für MILCHKÜHE</t>
  </si>
  <si>
    <t>auf Ganzjahresbetrieb</t>
  </si>
  <si>
    <t>dans l’exploitation à l‘année</t>
  </si>
  <si>
    <t>Concentrés tot. pour vaches laitières</t>
  </si>
  <si>
    <t>Foraggio concentrato dalle VLatte</t>
  </si>
  <si>
    <t xml:space="preserve">consumato annualmente </t>
  </si>
  <si>
    <t xml:space="preserve">Falscher Eingabewert wurde gelöscht - bitte unbedingt korrigieren, Zahl eingeben! </t>
  </si>
  <si>
    <t>Une valeur de saisie erronée a été effacée - veuillez impérativement la corriger, saisir un chiffre !</t>
  </si>
  <si>
    <t>È stato cancellato un valore di input errato - correggere, inserire il numero!</t>
  </si>
  <si>
    <t>über 365 bis 730 Tage</t>
  </si>
  <si>
    <t>über 160 bis 365 Tage</t>
  </si>
  <si>
    <t>bis 160 Tage</t>
  </si>
  <si>
    <t>über 730 Tage</t>
  </si>
  <si>
    <t>Fleischziegen</t>
  </si>
  <si>
    <t>Chèvres à viande</t>
  </si>
  <si>
    <t>Capra da carne</t>
  </si>
  <si>
    <t>Pecora da carne</t>
  </si>
  <si>
    <t>Moutons à viande</t>
  </si>
  <si>
    <t>Fleischschafe</t>
  </si>
  <si>
    <t>10 capi, cura dei agnelli inclusa</t>
  </si>
  <si>
    <t>50 capi, cura dei agnelli inclusa</t>
  </si>
  <si>
    <t>100 capi, cura dei agnelli inclusa</t>
  </si>
  <si>
    <t>200 capi, cura dei agnelli inclusa</t>
  </si>
  <si>
    <t>10 Tiere, inklusive Gizzibetreuung</t>
  </si>
  <si>
    <t>10 animaux, y c. soin des chevreau</t>
  </si>
  <si>
    <t>50 Tiere, inklusive Gizzibetreuung</t>
  </si>
  <si>
    <t>50 animaux, y c. soin des chevreau</t>
  </si>
  <si>
    <t>100 Tiere, inklusive Gizzibetreuung</t>
  </si>
  <si>
    <t>100 animaux, y c. soin des chevreau</t>
  </si>
  <si>
    <t>200 Tiere, inklusive Gizzibetreuung</t>
  </si>
  <si>
    <t>200 animaux, y c. soin des chevreau</t>
  </si>
  <si>
    <t>0197-001</t>
  </si>
  <si>
    <t>Imhof &amp; Zaehner Betriebsgemeinschaft</t>
  </si>
  <si>
    <t>Nicht aufgefuehrte Ackerkultur</t>
  </si>
  <si>
    <t>Biorga (Recyclingduenger)</t>
  </si>
  <si>
    <t>Brinogia</t>
  </si>
  <si>
    <t>Hühnermist</t>
  </si>
  <si>
    <t>Milchschafe, 450 kg</t>
  </si>
  <si>
    <t>Milchziegen, 550 kg</t>
  </si>
  <si>
    <t>Rindergülle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</si>
</sst>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4">
    <numFmt numFmtId="164" formatCode="_(* #,##0.00_);_(* \(#,##0.00\);_(* &quot;-&quot;??_);_(@_)"/>
    <numFmt numFmtId="165" formatCode="&quot;Fr.&quot;#,##0_);\(&quot;Fr.&quot;#,##0\)"/>
    <numFmt numFmtId="166" formatCode="#,##0\ &quot;CHF&quot;;[Red]\-#,##0\ &quot;CHF&quot;"/>
    <numFmt numFmtId="167" formatCode="0\ &quot;Tage&quot;"/>
    <numFmt numFmtId="168" formatCode="#,##0\ &quot;kg&quot;"/>
    <numFmt numFmtId="169" formatCode="0.00\ &quot;ha&quot;"/>
    <numFmt numFmtId="170" formatCode="0.00\ &quot;dt&quot;"/>
    <numFmt numFmtId="171" formatCode="0\ &quot;kg&quot;"/>
    <numFmt numFmtId="172" formatCode="0.0"/>
    <numFmt numFmtId="173" formatCode="0.0\ &quot;%&quot;"/>
    <numFmt numFmtId="174" formatCode="0\ &quot;%&quot;"/>
    <numFmt numFmtId="175" formatCode="0\ &quot;kg N&quot;"/>
    <numFmt numFmtId="176" formatCode="0\ &quot;kg P&quot;"/>
    <numFmt numFmtId="177" formatCode="#,##0.0\ &quot;m³&quot;"/>
    <numFmt numFmtId="178" formatCode="0.0\ &quot;Mte.&quot;"/>
    <numFmt numFmtId="179" formatCode="0\ &quot;dt&quot;"/>
    <numFmt numFmtId="180" formatCode="0.0%"/>
    <numFmt numFmtId="181" formatCode="0\ &quot;dt TS&quot;"/>
    <numFmt numFmtId="182" formatCode="0.0\ &quot;dt TS&quot;"/>
    <numFmt numFmtId="183" formatCode="0.0\ &quot;kg&quot;"/>
    <numFmt numFmtId="184" formatCode="0.000"/>
    <numFmt numFmtId="185" formatCode="0.0\ &quot;kg/Stk.&quot;"/>
    <numFmt numFmtId="186" formatCode="&quot;x&quot;\ 0.0"/>
    <numFmt numFmtId="187" formatCode="0.0&quot;%&quot;"/>
    <numFmt numFmtId="188" formatCode="0.0000"/>
    <numFmt numFmtId="189" formatCode="0.00\ &quot;%&quot;"/>
    <numFmt numFmtId="190" formatCode="0.0\ &quot;g&quot;"/>
    <numFmt numFmtId="191" formatCode="0\ &quot;g&quot;"/>
    <numFmt numFmtId="192" formatCode="#,##0\ &quot;m³&quot;"/>
    <numFmt numFmtId="193" formatCode="0.0\ &quot;MJ&quot;"/>
    <numFmt numFmtId="194" formatCode="#,##0.0"/>
    <numFmt numFmtId="195" formatCode="General_)"/>
    <numFmt numFmtId="196" formatCode="0.00_)"/>
    <numFmt numFmtId="197" formatCode="0.0_)"/>
    <numFmt numFmtId="198" formatCode="#,##0_)"/>
    <numFmt numFmtId="199" formatCode="0_)"/>
    <numFmt numFmtId="200" formatCode="0_)\ "/>
    <numFmt numFmtId="201" formatCode="&quot;(&quot;0.00\ &quot;ha)&quot;"/>
    <numFmt numFmtId="202" formatCode="[$-807]d/\ mmmm\ yyyy;@"/>
    <numFmt numFmtId="203" formatCode="0\ &quot;m. ü. M.&quot;"/>
    <numFmt numFmtId="204" formatCode="#,##0.0000"/>
    <numFmt numFmtId="205" formatCode="0.0_);\-0.0_);&quot;0.0&quot;_)"/>
    <numFmt numFmtId="206" formatCode="0.00000"/>
    <numFmt numFmtId="207" formatCode="#,##0.00000"/>
    <numFmt numFmtId="208" formatCode="_ * #,##0_ ;_ * \-#,##0_ ;\ ;_ @_ "/>
    <numFmt numFmtId="209" formatCode="_ * #,##0_ ;_ * \-#,##0_ ;\ ;_ @"/>
    <numFmt numFmtId="210" formatCode="_ * #,##0.0_ ;_ * \-#,##0.0_ ;\ ;_ @_ "/>
    <numFmt numFmtId="211" formatCode="_ * #,##0.0000_ ;_ * \-#,##0.0000_ ;\ ;_ @_ "/>
    <numFmt numFmtId="212" formatCode="_ * #,##0.00_ ;_ * \-#,##0.00_ ;\ ;_ @_ "/>
    <numFmt numFmtId="213" formatCode="_ * #,##0.00_ ;_ * \-#,##0.00_ ;_ * #,##0.00_ ;_ @_ "/>
    <numFmt numFmtId="214" formatCode="0.0##;;;"/>
    <numFmt numFmtId="215" formatCode="#,##0;\ \-#,##0;\ #,##0"/>
    <numFmt numFmtId="216" formatCode="#,##0_ ;\-#,##0\ "/>
    <numFmt numFmtId="217" formatCode="_ * #,##0_ ;_ * \-#,##0_ ;_ * #,##0_ ;_ @_ "/>
    <numFmt numFmtId="218" formatCode="_ * 0.0\ &quot;%&quot;_ ;_ * \-0.0\ &quot;%&quot;_ ;\ ;_ @_ "/>
    <numFmt numFmtId="219" formatCode="0.0\ ;\ \-0.0\ ;\ ;@"/>
    <numFmt numFmtId="220" formatCode="0.00\ ;\ \-0.00\ ;\ ;@"/>
    <numFmt numFmtId="221" formatCode="0.000\ ;\ \-0.000;\ ;@"/>
    <numFmt numFmtId="222" formatCode="0\ ;\ \-0\ ;\ ;@"/>
    <numFmt numFmtId="223" formatCode="\ 0.00\ ;\-\ 0.00\ ;\ 0.00\ "/>
    <numFmt numFmtId="224" formatCode="\ 0\ ;\-\ 0\ ;\ 0\ "/>
    <numFmt numFmtId="225" formatCode="_ * #,##0.000_ ;_ * \-#,##0.000_ ;\ ;_ @_ "/>
    <numFmt numFmtId="226" formatCode="0.00;;0"/>
    <numFmt numFmtId="227" formatCode="#,##0\ &quot;kg &quot;"/>
  </numFmts>
  <fonts count="175">
    <font>
      <sz val="9"/>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name val="Arial"/>
      <family val="2"/>
    </font>
    <font>
      <sz val="10"/>
      <name val="Arial"/>
      <family val="2"/>
    </font>
    <font>
      <sz val="10"/>
      <name val="Arial"/>
      <family val="2"/>
    </font>
    <font>
      <b/>
      <sz val="10"/>
      <name val="Arial"/>
      <family val="2"/>
    </font>
    <font>
      <b/>
      <sz val="11"/>
      <name val="Arial"/>
      <family val="2"/>
    </font>
    <font>
      <b/>
      <sz val="14"/>
      <name val="Arial"/>
      <family val="2"/>
    </font>
    <font>
      <b/>
      <sz val="12"/>
      <name val="Arial"/>
      <family val="2"/>
    </font>
    <font>
      <sz val="14"/>
      <name val="Arial"/>
      <family val="2"/>
    </font>
    <font>
      <b/>
      <i/>
      <sz val="14"/>
      <name val="Arial"/>
      <family val="2"/>
    </font>
    <font>
      <sz val="10"/>
      <color indexed="22"/>
      <name val="Arial"/>
      <family val="2"/>
    </font>
    <font>
      <sz val="11"/>
      <name val="Arial"/>
      <family val="2"/>
    </font>
    <font>
      <vertAlign val="subscript"/>
      <sz val="18"/>
      <name val="Arial"/>
      <family val="2"/>
    </font>
    <font>
      <b/>
      <sz val="9"/>
      <name val="Arial"/>
      <family val="2"/>
    </font>
    <font>
      <sz val="9"/>
      <name val="Arial"/>
      <family val="2"/>
    </font>
    <font>
      <sz val="8"/>
      <name val="Arial"/>
      <family val="2"/>
    </font>
    <font>
      <sz val="9"/>
      <color indexed="9"/>
      <name val="Arial"/>
      <family val="2"/>
    </font>
    <font>
      <sz val="10"/>
      <color indexed="10"/>
      <name val="Arial"/>
      <family val="2"/>
    </font>
    <font>
      <sz val="10"/>
      <color indexed="47"/>
      <name val="Arial"/>
      <family val="2"/>
    </font>
    <font>
      <b/>
      <sz val="9"/>
      <color indexed="61"/>
      <name val="Arial"/>
      <family val="2"/>
    </font>
    <font>
      <i/>
      <sz val="10"/>
      <name val="Arial"/>
      <family val="2"/>
    </font>
    <font>
      <i/>
      <sz val="9"/>
      <name val="Arial"/>
      <family val="2"/>
    </font>
    <font>
      <b/>
      <sz val="8"/>
      <name val="Arial"/>
      <family val="2"/>
    </font>
    <font>
      <vertAlign val="superscript"/>
      <sz val="9"/>
      <name val="Arial"/>
      <family val="2"/>
    </font>
    <font>
      <vertAlign val="superscript"/>
      <sz val="8"/>
      <name val="Arial"/>
      <family val="2"/>
    </font>
    <font>
      <vertAlign val="superscript"/>
      <sz val="10"/>
      <name val="Arial"/>
      <family val="2"/>
    </font>
    <font>
      <sz val="9"/>
      <name val="Wingdings"/>
      <charset val="2"/>
    </font>
    <font>
      <vertAlign val="subscript"/>
      <sz val="8"/>
      <name val="Arial"/>
      <family val="2"/>
    </font>
    <font>
      <vertAlign val="subscript"/>
      <sz val="9"/>
      <name val="Arial"/>
      <family val="2"/>
    </font>
    <font>
      <sz val="8"/>
      <name val="Wingdings"/>
      <charset val="2"/>
    </font>
    <font>
      <sz val="7"/>
      <name val="Arial"/>
      <family val="2"/>
    </font>
    <font>
      <sz val="6"/>
      <name val="Arial"/>
      <family val="2"/>
    </font>
    <font>
      <sz val="10"/>
      <color indexed="9"/>
      <name val="Arial"/>
      <family val="2"/>
    </font>
    <font>
      <b/>
      <i/>
      <sz val="12"/>
      <name val="Arial"/>
      <family val="2"/>
    </font>
    <font>
      <i/>
      <sz val="8"/>
      <name val="Arial"/>
      <family val="2"/>
    </font>
    <font>
      <sz val="9"/>
      <color indexed="10"/>
      <name val="Arial"/>
      <family val="2"/>
    </font>
    <font>
      <sz val="12"/>
      <name val="Arial"/>
      <family val="2"/>
    </font>
    <font>
      <b/>
      <i/>
      <sz val="9"/>
      <name val="Arial"/>
      <family val="2"/>
    </font>
    <font>
      <sz val="9"/>
      <color indexed="22"/>
      <name val="Arial"/>
      <family val="2"/>
    </font>
    <font>
      <b/>
      <sz val="16"/>
      <name val="Arial"/>
      <family val="2"/>
    </font>
    <font>
      <sz val="8"/>
      <name val="Arial"/>
      <family val="2"/>
    </font>
    <font>
      <b/>
      <sz val="8"/>
      <name val="Arial"/>
      <family val="2"/>
    </font>
    <font>
      <sz val="24"/>
      <name val="SwitzerlandBlack"/>
      <family val="2"/>
    </font>
    <font>
      <sz val="8"/>
      <color indexed="8"/>
      <name val="Arial"/>
      <family val="2"/>
    </font>
    <font>
      <b/>
      <vertAlign val="subscript"/>
      <sz val="8"/>
      <name val="Arial"/>
      <family val="2"/>
    </font>
    <font>
      <b/>
      <sz val="9"/>
      <name val="Arial"/>
      <family val="2"/>
    </font>
    <font>
      <sz val="9"/>
      <name val="Arial"/>
      <family val="2"/>
    </font>
    <font>
      <sz val="8"/>
      <color indexed="8"/>
      <name val="MS Sans Serif"/>
      <family val="2"/>
    </font>
    <font>
      <b/>
      <sz val="10"/>
      <color indexed="8"/>
      <name val="Arial"/>
      <family val="2"/>
    </font>
    <font>
      <b/>
      <sz val="12"/>
      <name val="Arial"/>
      <family val="2"/>
    </font>
    <font>
      <sz val="10"/>
      <color indexed="8"/>
      <name val="Arial"/>
      <family val="2"/>
    </font>
    <font>
      <sz val="9"/>
      <color indexed="8"/>
      <name val="Arial"/>
      <family val="2"/>
    </font>
    <font>
      <sz val="10"/>
      <color indexed="26"/>
      <name val="Arial"/>
      <family val="2"/>
    </font>
    <font>
      <b/>
      <i/>
      <sz val="11"/>
      <name val="Arial"/>
      <family val="2"/>
    </font>
    <font>
      <b/>
      <sz val="10"/>
      <color indexed="10"/>
      <name val="Arial"/>
      <family val="2"/>
    </font>
    <font>
      <sz val="8"/>
      <name val="Tahoma"/>
      <family val="2"/>
    </font>
    <font>
      <b/>
      <i/>
      <sz val="10"/>
      <name val="Arial"/>
      <family val="2"/>
    </font>
    <font>
      <sz val="14"/>
      <name val="Arial"/>
      <family val="2"/>
    </font>
    <font>
      <b/>
      <sz val="7"/>
      <name val="Arial"/>
      <family val="2"/>
    </font>
    <font>
      <b/>
      <sz val="10"/>
      <color indexed="16"/>
      <name val="Arial"/>
      <family val="2"/>
    </font>
    <font>
      <sz val="10"/>
      <name val="Arial Narrow"/>
      <family val="2"/>
    </font>
    <font>
      <b/>
      <sz val="9"/>
      <color indexed="16"/>
      <name val="Arial"/>
      <family val="2"/>
    </font>
    <font>
      <sz val="9"/>
      <name val="Arial Narrow"/>
      <family val="2"/>
    </font>
    <font>
      <sz val="8"/>
      <name val="Arial Narrow"/>
      <family val="2"/>
    </font>
    <font>
      <vertAlign val="subscript"/>
      <sz val="10"/>
      <name val="Arial Narrow"/>
      <family val="2"/>
    </font>
    <font>
      <b/>
      <u/>
      <sz val="16"/>
      <name val="Arial"/>
      <family val="2"/>
    </font>
    <font>
      <vertAlign val="subscript"/>
      <sz val="11"/>
      <name val="Arial Narrow"/>
      <family val="2"/>
    </font>
    <font>
      <b/>
      <sz val="10"/>
      <name val="Arial Narrow"/>
      <family val="2"/>
    </font>
    <font>
      <b/>
      <sz val="12"/>
      <name val="Arial Narrow"/>
      <family val="2"/>
    </font>
    <font>
      <sz val="10"/>
      <color indexed="10"/>
      <name val="Arial"/>
      <family val="2"/>
    </font>
    <font>
      <sz val="9"/>
      <color indexed="10"/>
      <name val="Arial"/>
      <family val="2"/>
    </font>
    <font>
      <sz val="10"/>
      <color indexed="9"/>
      <name val="Arial Narrow"/>
      <family val="2"/>
    </font>
    <font>
      <b/>
      <sz val="8"/>
      <name val="Arial Narrow"/>
      <family val="2"/>
    </font>
    <font>
      <sz val="9"/>
      <color indexed="52"/>
      <name val="Arial"/>
      <family val="2"/>
    </font>
    <font>
      <sz val="10"/>
      <name val="Times New Roman"/>
      <family val="1"/>
    </font>
    <font>
      <sz val="10"/>
      <color indexed="55"/>
      <name val="Arial"/>
      <family val="2"/>
    </font>
    <font>
      <sz val="10"/>
      <color indexed="53"/>
      <name val="Arial"/>
      <family val="2"/>
    </font>
    <font>
      <sz val="10"/>
      <color indexed="60"/>
      <name val="Arial"/>
      <family val="2"/>
    </font>
    <font>
      <b/>
      <sz val="10"/>
      <color indexed="9"/>
      <name val="Arial"/>
      <family val="2"/>
    </font>
    <font>
      <b/>
      <sz val="8"/>
      <color indexed="10"/>
      <name val="Arial"/>
      <family val="2"/>
    </font>
    <font>
      <sz val="8"/>
      <name val="Arial"/>
      <family val="2"/>
    </font>
    <font>
      <sz val="10"/>
      <color indexed="22"/>
      <name val="Arial"/>
      <family val="2"/>
    </font>
    <font>
      <u/>
      <sz val="8"/>
      <name val="Arial"/>
      <family val="2"/>
    </font>
    <font>
      <sz val="10"/>
      <color indexed="10"/>
      <name val="Arial"/>
      <family val="2"/>
    </font>
    <font>
      <sz val="10"/>
      <color indexed="9"/>
      <name val="Arial"/>
      <family val="2"/>
    </font>
    <font>
      <b/>
      <sz val="10"/>
      <color indexed="26"/>
      <name val="Arial"/>
      <family val="2"/>
    </font>
    <font>
      <sz val="10"/>
      <color indexed="9"/>
      <name val="Arial"/>
      <family val="2"/>
    </font>
    <font>
      <vertAlign val="subscript"/>
      <sz val="10"/>
      <name val="Arial"/>
      <family val="2"/>
    </font>
    <font>
      <sz val="10"/>
      <color indexed="10"/>
      <name val="Arial"/>
      <family val="2"/>
    </font>
    <font>
      <sz val="9"/>
      <color indexed="10"/>
      <name val="Arial"/>
      <family val="2"/>
    </font>
    <font>
      <sz val="9"/>
      <name val="Helvetica"/>
    </font>
    <font>
      <sz val="9"/>
      <name val="Tahoma"/>
      <family val="2"/>
    </font>
    <font>
      <sz val="10"/>
      <color indexed="9"/>
      <name val="Arial"/>
      <family val="2"/>
    </font>
    <font>
      <sz val="10"/>
      <color indexed="22"/>
      <name val="Arial"/>
      <family val="2"/>
    </font>
    <font>
      <sz val="9"/>
      <name val="Arial"/>
      <family val="2"/>
    </font>
    <font>
      <sz val="8"/>
      <name val="Arial"/>
      <family val="2"/>
    </font>
    <font>
      <sz val="8.5"/>
      <name val="Arial"/>
      <family val="2"/>
    </font>
    <font>
      <sz val="9"/>
      <color indexed="47"/>
      <name val="Arial"/>
      <family val="2"/>
    </font>
    <font>
      <sz val="10"/>
      <color indexed="22"/>
      <name val="Arial"/>
      <family val="2"/>
    </font>
    <font>
      <sz val="10"/>
      <color indexed="55"/>
      <name val="Arial"/>
      <family val="2"/>
    </font>
    <font>
      <b/>
      <sz val="9"/>
      <color indexed="55"/>
      <name val="Arial"/>
      <family val="2"/>
    </font>
    <font>
      <sz val="9"/>
      <color indexed="55"/>
      <name val="Arial"/>
      <family val="2"/>
    </font>
    <font>
      <sz val="9"/>
      <color indexed="55"/>
      <name val="Arial"/>
      <family val="2"/>
    </font>
    <font>
      <sz val="9"/>
      <color indexed="19"/>
      <name val="Tahoma"/>
      <family val="2"/>
    </font>
    <font>
      <b/>
      <sz val="10"/>
      <color rgb="FF0000FF"/>
      <name val="Arial"/>
      <family val="2"/>
    </font>
    <font>
      <sz val="8"/>
      <color rgb="FF000000"/>
      <name val="Segoe UI"/>
      <family val="2"/>
    </font>
    <font>
      <sz val="10"/>
      <color rgb="FF000000"/>
      <name val="Arial"/>
      <family val="2"/>
    </font>
    <font>
      <b/>
      <sz val="9"/>
      <color rgb="FF0000FF"/>
      <name val="Arial"/>
      <family val="2"/>
    </font>
    <font>
      <b/>
      <sz val="12"/>
      <color rgb="FF0000FF"/>
      <name val="Arial"/>
      <family val="2"/>
    </font>
    <font>
      <sz val="10"/>
      <color rgb="FFFF0000"/>
      <name val="Arial"/>
      <family val="2"/>
    </font>
    <font>
      <sz val="9"/>
      <color rgb="FFFF0000"/>
      <name val="Arial"/>
      <family val="2"/>
    </font>
    <font>
      <sz val="8"/>
      <color rgb="FFFF0000"/>
      <name val="Arial"/>
      <family val="2"/>
    </font>
    <font>
      <b/>
      <sz val="9"/>
      <name val="Tahoma"/>
      <family val="2"/>
    </font>
    <font>
      <sz val="10"/>
      <color theme="9" tint="-0.249977111117893"/>
      <name val="Arial"/>
      <family val="2"/>
    </font>
    <font>
      <sz val="9"/>
      <color theme="0" tint="-0.14999847407452621"/>
      <name val="Arial"/>
      <family val="2"/>
    </font>
    <font>
      <sz val="10"/>
      <color rgb="FF7030A0"/>
      <name val="Arial"/>
      <family val="2"/>
    </font>
    <font>
      <b/>
      <sz val="9"/>
      <color rgb="FFFF0000"/>
      <name val="Arial"/>
      <family val="2"/>
    </font>
    <font>
      <i/>
      <sz val="9"/>
      <color theme="3" tint="0.39994506668294322"/>
      <name val="Arial"/>
      <family val="2"/>
    </font>
    <font>
      <sz val="10"/>
      <color theme="0" tint="-0.34998626667073579"/>
      <name val="Arial"/>
      <family val="2"/>
    </font>
    <font>
      <sz val="9"/>
      <color theme="0" tint="-0.34998626667073579"/>
      <name val="Arial"/>
      <family val="2"/>
    </font>
    <font>
      <sz val="9"/>
      <color theme="0" tint="-0.499984740745262"/>
      <name val="Arial"/>
      <family val="2"/>
    </font>
    <font>
      <sz val="9"/>
      <color theme="0" tint="-0.249977111117893"/>
      <name val="Arial"/>
      <family val="2"/>
    </font>
    <font>
      <b/>
      <sz val="8"/>
      <color rgb="FFFF0000"/>
      <name val="Arial"/>
      <family val="2"/>
    </font>
    <font>
      <sz val="9"/>
      <color indexed="81"/>
      <name val="Segoe UI"/>
      <family val="2"/>
    </font>
    <font>
      <b/>
      <sz val="9"/>
      <color indexed="81"/>
      <name val="Segoe UI"/>
      <family val="2"/>
    </font>
    <font>
      <b/>
      <sz val="12"/>
      <color rgb="FFFF0000"/>
      <name val="Arial"/>
      <family val="2"/>
    </font>
    <font>
      <sz val="10"/>
      <color theme="0"/>
      <name val="Arial"/>
      <family val="2"/>
    </font>
    <font>
      <b/>
      <sz val="9"/>
      <color rgb="FF7030A0"/>
      <name val="Arial"/>
      <family val="2"/>
    </font>
    <font>
      <sz val="9"/>
      <color rgb="FF7030A0"/>
      <name val="Arial"/>
      <family val="2"/>
    </font>
    <font>
      <sz val="10"/>
      <color theme="1"/>
      <name val="Arial"/>
      <family val="2"/>
    </font>
    <font>
      <b/>
      <sz val="10"/>
      <color theme="1"/>
      <name val="Arial"/>
      <family val="2"/>
    </font>
    <font>
      <i/>
      <sz val="10"/>
      <color theme="1"/>
      <name val="Arial"/>
      <family val="2"/>
    </font>
    <font>
      <b/>
      <sz val="10"/>
      <color rgb="FF7030A0"/>
      <name val="Arial"/>
      <family val="2"/>
    </font>
    <font>
      <sz val="11"/>
      <color theme="1"/>
      <name val="Tahoma"/>
      <family val="2"/>
    </font>
    <font>
      <sz val="9"/>
      <name val="Calibri"/>
      <family val="2"/>
    </font>
    <font>
      <sz val="10"/>
      <color theme="1"/>
      <name val="Calibri"/>
      <family val="2"/>
    </font>
    <font>
      <b/>
      <sz val="10"/>
      <color rgb="FFFF0000"/>
      <name val="Arial"/>
      <family val="2"/>
    </font>
    <font>
      <sz val="9"/>
      <color rgb="FF0070C0"/>
      <name val="Arial"/>
      <family val="2"/>
    </font>
    <font>
      <sz val="9"/>
      <color rgb="FFC0C0C0"/>
      <name val="Arial"/>
      <family val="2"/>
    </font>
    <font>
      <sz val="10"/>
      <name val="Tahoma"/>
      <family val="2"/>
    </font>
    <font>
      <sz val="11"/>
      <name val="Calibri"/>
      <family val="2"/>
    </font>
    <font>
      <sz val="9"/>
      <name val="Symbol"/>
      <family val="1"/>
      <charset val="2"/>
    </font>
    <font>
      <sz val="10"/>
      <color rgb="FF1F2326"/>
      <name val="Arial"/>
      <family val="2"/>
    </font>
    <font>
      <sz val="10"/>
      <color theme="0" tint="-0.249977111117893"/>
      <name val="Arial"/>
      <family val="2"/>
    </font>
    <font>
      <sz val="9"/>
      <color rgb="FFC00000"/>
      <name val="Arial"/>
      <family val="2"/>
    </font>
    <font>
      <sz val="10"/>
      <color rgb="FF0070C0"/>
      <name val="Arial"/>
      <family val="2"/>
    </font>
    <font>
      <sz val="9"/>
      <color theme="5" tint="-0.499984740745262"/>
      <name val="Arial"/>
      <family val="2"/>
    </font>
    <font>
      <sz val="8"/>
      <color rgb="FF000000"/>
      <name val="Arial"/>
      <family val="2"/>
    </font>
    <font>
      <b/>
      <sz val="10"/>
      <color rgb="FFC00000"/>
      <name val="Arial"/>
      <family val="2"/>
    </font>
    <font>
      <b/>
      <sz val="10"/>
      <name val="Calibri"/>
      <family val="2"/>
    </font>
  </fonts>
  <fills count="30">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indexed="42"/>
        <bgColor indexed="64"/>
      </patternFill>
    </fill>
    <fill>
      <patternFill patternType="solid">
        <fgColor indexed="22"/>
        <bgColor indexed="8"/>
      </patternFill>
    </fill>
    <fill>
      <patternFill patternType="solid">
        <fgColor indexed="65"/>
        <bgColor indexed="64"/>
      </patternFill>
    </fill>
    <fill>
      <patternFill patternType="solid">
        <fgColor indexed="26"/>
        <bgColor indexed="8"/>
      </patternFill>
    </fill>
    <fill>
      <patternFill patternType="solid">
        <fgColor indexed="9"/>
        <bgColor indexed="64"/>
      </patternFill>
    </fill>
    <fill>
      <patternFill patternType="solid">
        <fgColor indexed="47"/>
        <bgColor indexed="64"/>
      </patternFill>
    </fill>
    <fill>
      <patternFill patternType="solid">
        <fgColor indexed="45"/>
        <bgColor indexed="64"/>
      </patternFill>
    </fill>
    <fill>
      <patternFill patternType="solid">
        <fgColor rgb="FFC0C0C0"/>
        <bgColor indexed="64"/>
      </patternFill>
    </fill>
    <fill>
      <patternFill patternType="solid">
        <fgColor rgb="FFFF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E4D2F2"/>
        <bgColor indexed="64"/>
      </patternFill>
    </fill>
    <fill>
      <patternFill patternType="solid">
        <fgColor theme="5" tint="0.59999389629810485"/>
        <bgColor indexed="64"/>
      </patternFill>
    </fill>
    <fill>
      <patternFill patternType="solid">
        <fgColor rgb="FFCCCCFF"/>
        <bgColor indexed="64"/>
      </patternFill>
    </fill>
    <fill>
      <patternFill patternType="solid">
        <fgColor rgb="FFFFCCFF"/>
        <bgColor indexed="64"/>
      </patternFill>
    </fill>
    <fill>
      <patternFill patternType="solid">
        <fgColor rgb="FFFF99FF"/>
        <bgColor indexed="64"/>
      </patternFill>
    </fill>
    <fill>
      <patternFill patternType="solid">
        <fgColor theme="4" tint="0.79998168889431442"/>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0000"/>
        <bgColor indexed="64"/>
      </patternFill>
    </fill>
    <fill>
      <patternFill patternType="solid">
        <fgColor theme="0" tint="-0.249977111117893"/>
        <bgColor indexed="64"/>
      </patternFill>
    </fill>
    <fill>
      <patternFill patternType="solid">
        <fgColor rgb="FFFFCCCC"/>
        <bgColor indexed="64"/>
      </patternFill>
    </fill>
    <fill>
      <patternFill patternType="solid">
        <fgColor rgb="FFC6E7C6"/>
      </patternFill>
    </fill>
    <fill>
      <patternFill patternType="solid">
        <fgColor rgb="FFFFC773"/>
      </patternFill>
    </fill>
    <fill>
      <patternFill patternType="solid">
        <fgColor rgb="FFFDF6DC"/>
      </patternFill>
    </fill>
  </fills>
  <borders count="208">
    <border>
      <left/>
      <right/>
      <top/>
      <bottom/>
      <diagonal/>
    </border>
    <border>
      <left style="hair">
        <color indexed="64"/>
      </left>
      <right/>
      <top style="thin">
        <color indexed="64"/>
      </top>
      <bottom style="thin">
        <color indexed="64"/>
      </bottom>
      <diagonal/>
    </border>
    <border>
      <left style="thin">
        <color indexed="64"/>
      </left>
      <right/>
      <top/>
      <bottom style="hair">
        <color indexed="64"/>
      </bottom>
      <diagonal/>
    </border>
    <border>
      <left style="hair">
        <color indexed="64"/>
      </left>
      <right/>
      <top/>
      <bottom style="hair">
        <color indexed="64"/>
      </bottom>
      <diagonal/>
    </border>
    <border>
      <left/>
      <right/>
      <top style="thin">
        <color indexed="64"/>
      </top>
      <bottom/>
      <diagonal/>
    </border>
    <border>
      <left style="thin">
        <color indexed="64"/>
      </left>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style="hair">
        <color indexed="64"/>
      </bottom>
      <diagonal/>
    </border>
    <border>
      <left/>
      <right/>
      <top/>
      <bottom style="medium">
        <color indexed="64"/>
      </bottom>
      <diagonal/>
    </border>
    <border>
      <left/>
      <right/>
      <top/>
      <bottom style="hair">
        <color indexed="64"/>
      </bottom>
      <diagonal/>
    </border>
    <border>
      <left/>
      <right/>
      <top/>
      <bottom style="dotted">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diagonal/>
    </border>
    <border>
      <left style="hair">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diagonal/>
    </border>
    <border>
      <left style="hair">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style="hair">
        <color indexed="64"/>
      </left>
      <right style="medium">
        <color indexed="64"/>
      </right>
      <top/>
      <bottom style="medium">
        <color indexed="64"/>
      </bottom>
      <diagonal/>
    </border>
    <border>
      <left style="medium">
        <color indexed="64"/>
      </left>
      <right/>
      <top/>
      <bottom style="hair">
        <color indexed="64"/>
      </bottom>
      <diagonal/>
    </border>
    <border>
      <left/>
      <right style="medium">
        <color indexed="64"/>
      </right>
      <top/>
      <bottom style="medium">
        <color indexed="64"/>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style="hair">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style="hair">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thin">
        <color indexed="64"/>
      </bottom>
      <diagonal/>
    </border>
    <border>
      <left style="hair">
        <color indexed="64"/>
      </left>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hair">
        <color indexed="64"/>
      </left>
      <right style="hair">
        <color indexed="64"/>
      </right>
      <top/>
      <bottom/>
      <diagonal/>
    </border>
    <border>
      <left style="hair">
        <color indexed="64"/>
      </left>
      <right style="thin">
        <color indexed="64"/>
      </right>
      <top/>
      <bottom/>
      <diagonal/>
    </border>
    <border>
      <left/>
      <right style="hair">
        <color indexed="64"/>
      </right>
      <top/>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right style="hair">
        <color indexed="64"/>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diagonal/>
    </border>
    <border>
      <left style="hair">
        <color indexed="64"/>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hair">
        <color indexed="64"/>
      </top>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right style="hair">
        <color indexed="64"/>
      </right>
      <top/>
      <bottom style="thin">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style="medium">
        <color indexed="64"/>
      </right>
      <top/>
      <bottom style="hair">
        <color indexed="64"/>
      </bottom>
      <diagonal/>
    </border>
    <border>
      <left style="medium">
        <color indexed="64"/>
      </left>
      <right/>
      <top style="medium">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style="hair">
        <color indexed="64"/>
      </left>
      <right style="hair">
        <color indexed="64"/>
      </right>
      <top style="thin">
        <color indexed="64"/>
      </top>
      <bottom style="thin">
        <color indexed="64"/>
      </bottom>
      <diagonal/>
    </border>
    <border>
      <left style="medium">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style="hair">
        <color indexed="64"/>
      </top>
      <bottom/>
      <diagonal/>
    </border>
    <border>
      <left style="thin">
        <color indexed="64"/>
      </left>
      <right style="hair">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double">
        <color indexed="64"/>
      </top>
      <bottom style="thin">
        <color indexed="64"/>
      </bottom>
      <diagonal/>
    </border>
    <border>
      <left/>
      <right/>
      <top style="double">
        <color indexed="64"/>
      </top>
      <bottom style="thin">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style="thin">
        <color indexed="64"/>
      </right>
      <top/>
      <bottom style="double">
        <color indexed="64"/>
      </bottom>
      <diagonal/>
    </border>
    <border>
      <left/>
      <right style="double">
        <color indexed="64"/>
      </right>
      <top style="thin">
        <color indexed="64"/>
      </top>
      <bottom/>
      <diagonal/>
    </border>
    <border>
      <left style="double">
        <color indexed="64"/>
      </left>
      <right/>
      <top style="thin">
        <color indexed="64"/>
      </top>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hair">
        <color indexed="64"/>
      </bottom>
      <diagonal/>
    </border>
    <border>
      <left style="double">
        <color indexed="64"/>
      </left>
      <right style="thin">
        <color indexed="64"/>
      </right>
      <top/>
      <bottom style="hair">
        <color indexed="64"/>
      </bottom>
      <diagonal/>
    </border>
    <border>
      <left style="thin">
        <color indexed="64"/>
      </left>
      <right style="double">
        <color indexed="64"/>
      </right>
      <top style="thin">
        <color indexed="64"/>
      </top>
      <bottom style="hair">
        <color indexed="64"/>
      </bottom>
      <diagonal/>
    </border>
    <border>
      <left style="double">
        <color indexed="64"/>
      </left>
      <right style="thin">
        <color indexed="64"/>
      </right>
      <top style="thin">
        <color indexed="64"/>
      </top>
      <bottom style="hair">
        <color indexed="64"/>
      </bottom>
      <diagonal/>
    </border>
    <border>
      <left style="thin">
        <color indexed="64"/>
      </left>
      <right style="hair">
        <color indexed="64"/>
      </right>
      <top/>
      <bottom style="thin">
        <color indexed="64"/>
      </bottom>
      <diagonal/>
    </border>
    <border>
      <left/>
      <right style="hair">
        <color indexed="64"/>
      </right>
      <top style="thin">
        <color indexed="64"/>
      </top>
      <bottom/>
      <diagonal/>
    </border>
    <border>
      <left/>
      <right style="thin">
        <color indexed="64"/>
      </right>
      <top style="hair">
        <color indexed="64"/>
      </top>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style="double">
        <color indexed="64"/>
      </left>
      <right style="thin">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style="hair">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thin">
        <color indexed="64"/>
      </left>
      <right style="double">
        <color indexed="64"/>
      </right>
      <top style="hair">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right style="hair">
        <color indexed="64"/>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thin">
        <color auto="1"/>
      </top>
      <bottom/>
      <diagonal/>
    </border>
    <border>
      <left style="medium">
        <color indexed="64"/>
      </left>
      <right/>
      <top style="hair">
        <color indexed="64"/>
      </top>
      <bottom style="hair">
        <color indexed="64"/>
      </bottom>
      <diagonal/>
    </border>
    <border>
      <left style="medium">
        <color rgb="FFA3A3A3"/>
      </left>
      <right style="medium">
        <color rgb="FFA3A3A3"/>
      </right>
      <top style="medium">
        <color rgb="FFA3A3A3"/>
      </top>
      <bottom style="medium">
        <color rgb="FFA3A3A3"/>
      </bottom>
      <diagonal/>
    </border>
    <border>
      <left/>
      <right style="medium">
        <color rgb="FFA3A3A3"/>
      </right>
      <top style="medium">
        <color rgb="FFA3A3A3"/>
      </top>
      <bottom style="medium">
        <color rgb="FFA3A3A3"/>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hair">
        <color indexed="64"/>
      </top>
      <bottom/>
      <diagonal/>
    </border>
    <border>
      <left style="thin">
        <color indexed="64"/>
      </left>
      <right style="medium">
        <color indexed="64"/>
      </right>
      <top style="hair">
        <color indexed="64"/>
      </top>
      <bottom style="medium">
        <color indexed="64"/>
      </bottom>
      <diagonal/>
    </border>
    <border>
      <left style="medium">
        <color indexed="64"/>
      </left>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style="thin">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mediumDashed">
        <color indexed="64"/>
      </left>
      <right/>
      <top style="hair">
        <color indexed="64"/>
      </top>
      <bottom/>
      <diagonal/>
    </border>
    <border>
      <left/>
      <right style="mediumDashed">
        <color indexed="64"/>
      </right>
      <top style="hair">
        <color indexed="64"/>
      </top>
      <bottom/>
      <diagonal/>
    </border>
    <border>
      <left style="mediumDashed">
        <color indexed="64"/>
      </left>
      <right/>
      <top/>
      <bottom/>
      <diagonal/>
    </border>
    <border>
      <left/>
      <right style="mediumDashed">
        <color indexed="64"/>
      </right>
      <top/>
      <bottom/>
      <diagonal/>
    </border>
    <border>
      <left style="dashed">
        <color indexed="64"/>
      </left>
      <right/>
      <top style="hair">
        <color indexed="64"/>
      </top>
      <bottom/>
      <diagonal/>
    </border>
    <border>
      <left/>
      <right style="dashed">
        <color indexed="64"/>
      </right>
      <top style="hair">
        <color indexed="64"/>
      </top>
      <bottom/>
      <diagonal/>
    </border>
    <border>
      <left style="dashed">
        <color indexed="64"/>
      </left>
      <right/>
      <top/>
      <bottom/>
      <diagonal/>
    </border>
    <border>
      <left/>
      <right style="dashed">
        <color indexed="64"/>
      </right>
      <top/>
      <bottom/>
      <diagonal/>
    </border>
    <border>
      <left style="hair">
        <color indexed="64"/>
      </left>
      <right style="medium">
        <color indexed="64"/>
      </right>
      <top style="hair">
        <color indexed="64"/>
      </top>
      <bottom style="medium">
        <color indexed="64"/>
      </bottom>
      <diagonal/>
    </border>
    <border>
      <left style="thin">
        <color rgb="FFB0B0B0"/>
      </left>
      <right style="thin">
        <color rgb="FFB0B0B0"/>
      </right>
      <top style="thin">
        <color rgb="FFB0B0B0"/>
      </top>
      <bottom style="thin">
        <color rgb="FFB0B0B0"/>
      </bottom>
      <diagonal/>
    </border>
  </borders>
  <cellStyleXfs count="20">
    <xf numFmtId="0" fontId="0" fillId="0" borderId="0" applyFill="0" applyBorder="0" applyProtection="0">
      <alignment vertical="center"/>
    </xf>
    <xf numFmtId="0" fontId="27" fillId="0" borderId="0"/>
    <xf numFmtId="208" fontId="39" fillId="0" borderId="30" applyFont="0" applyFill="0" applyBorder="0" applyAlignment="0" applyProtection="0">
      <alignment vertical="center"/>
    </xf>
    <xf numFmtId="0" fontId="46" fillId="0" borderId="0" applyNumberFormat="0" applyFill="0" applyProtection="0">
      <alignment horizontal="left" vertical="center" indent="1"/>
    </xf>
    <xf numFmtId="165" fontId="26" fillId="0" borderId="0" applyNumberFormat="0">
      <alignment vertical="center"/>
    </xf>
    <xf numFmtId="209" fontId="40" fillId="0" borderId="0" applyFill="0" applyBorder="0" applyProtection="0">
      <alignment horizontal="right" vertical="center"/>
    </xf>
    <xf numFmtId="165" fontId="142" fillId="0" borderId="0" applyNumberFormat="0" applyFill="0" applyBorder="0" applyAlignment="0">
      <alignment horizontal="left" indent="1"/>
    </xf>
    <xf numFmtId="210" fontId="39" fillId="0" borderId="30" applyFont="0" applyFill="0" applyBorder="0" applyAlignment="0" applyProtection="0">
      <alignment vertical="center"/>
    </xf>
    <xf numFmtId="211" fontId="39" fillId="0" borderId="30" applyFont="0" applyFill="0" applyBorder="0" applyAlignment="0" applyProtection="0">
      <alignment vertical="center"/>
    </xf>
    <xf numFmtId="212" fontId="39" fillId="0" borderId="30" applyFont="0" applyFill="0" applyBorder="0" applyAlignment="0" applyProtection="0">
      <alignment vertical="center"/>
    </xf>
    <xf numFmtId="213" fontId="39" fillId="0" borderId="30" applyFont="0" applyFill="0" applyBorder="0" applyAlignment="0" applyProtection="0">
      <alignment vertical="center"/>
    </xf>
    <xf numFmtId="9" fontId="27" fillId="0" borderId="0" applyFont="0" applyFill="0" applyBorder="0" applyAlignment="0" applyProtection="0"/>
    <xf numFmtId="0" fontId="116" fillId="0" borderId="0"/>
    <xf numFmtId="0" fontId="158" fillId="17" borderId="0" applyNumberFormat="0" applyBorder="0" applyAlignment="0" applyProtection="0"/>
    <xf numFmtId="217" fontId="39" fillId="0" borderId="30" applyFont="0" applyFill="0" applyBorder="0" applyAlignment="0" applyProtection="0">
      <alignment vertical="center"/>
    </xf>
    <xf numFmtId="218" fontId="39" fillId="0" borderId="30" applyFont="0" applyFill="0" applyBorder="0" applyAlignment="0" applyProtection="0">
      <alignment vertical="center"/>
    </xf>
    <xf numFmtId="219" fontId="39" fillId="0" borderId="30" applyFont="0" applyFill="0" applyBorder="0" applyAlignment="0" applyProtection="0">
      <alignment vertical="center"/>
    </xf>
    <xf numFmtId="220" fontId="39" fillId="0" borderId="30" applyFont="0" applyFill="0" applyBorder="0" applyAlignment="0" applyProtection="0">
      <alignment vertical="center"/>
    </xf>
    <xf numFmtId="222" fontId="39" fillId="0" borderId="30" applyFont="0" applyFill="0" applyBorder="0" applyAlignment="0" applyProtection="0">
      <alignment vertical="center"/>
    </xf>
    <xf numFmtId="221" fontId="39" fillId="0" borderId="30" applyFont="0" applyFill="0" applyBorder="0" applyAlignment="0" applyProtection="0">
      <alignment vertical="center"/>
    </xf>
  </cellStyleXfs>
  <cellXfs count="3459">
    <xf numFmtId="0" fontId="0" fillId="0" borderId="0" xfId="0">
      <alignment vertical="center"/>
    </xf>
    <xf numFmtId="0" fontId="28" fillId="0" borderId="0" xfId="0" applyFont="1" applyFill="1" applyBorder="1" applyAlignment="1" applyProtection="1"/>
    <xf numFmtId="0" fontId="28" fillId="0" borderId="0" xfId="0" applyFont="1" applyFill="1" applyBorder="1" applyAlignment="1" applyProtection="1">
      <alignment horizontal="center"/>
    </xf>
    <xf numFmtId="0" fontId="29" fillId="0" borderId="0" xfId="0" applyFont="1" applyFill="1" applyBorder="1" applyAlignment="1" applyProtection="1">
      <alignment horizontal="right"/>
    </xf>
    <xf numFmtId="0" fontId="30" fillId="0" borderId="0" xfId="0" applyFont="1" applyFill="1" applyBorder="1" applyAlignment="1" applyProtection="1">
      <alignment horizontal="right"/>
    </xf>
    <xf numFmtId="14" fontId="29" fillId="0" borderId="0" xfId="0" applyNumberFormat="1" applyFont="1" applyFill="1" applyBorder="1" applyAlignment="1" applyProtection="1">
      <alignment horizontal="right"/>
    </xf>
    <xf numFmtId="0" fontId="32" fillId="0" borderId="1" xfId="0" applyFont="1" applyFill="1" applyBorder="1" applyAlignment="1" applyProtection="1">
      <alignment horizontal="left" vertical="center"/>
    </xf>
    <xf numFmtId="0" fontId="28" fillId="0" borderId="2" xfId="0" applyFont="1" applyFill="1" applyBorder="1" applyAlignment="1" applyProtection="1"/>
    <xf numFmtId="0" fontId="28" fillId="0" borderId="3" xfId="0" applyFont="1" applyFill="1" applyBorder="1" applyAlignment="1" applyProtection="1"/>
    <xf numFmtId="1" fontId="28" fillId="0" borderId="2" xfId="0" applyNumberFormat="1" applyFont="1" applyFill="1" applyBorder="1" applyAlignment="1" applyProtection="1"/>
    <xf numFmtId="2" fontId="28" fillId="0" borderId="2" xfId="0" applyNumberFormat="1" applyFont="1" applyFill="1" applyBorder="1" applyAlignment="1" applyProtection="1"/>
    <xf numFmtId="38" fontId="28" fillId="0" borderId="2" xfId="0" applyNumberFormat="1" applyFont="1" applyFill="1" applyBorder="1" applyAlignment="1" applyProtection="1"/>
    <xf numFmtId="0" fontId="28" fillId="0" borderId="4" xfId="0" applyFont="1" applyFill="1" applyBorder="1" applyAlignment="1" applyProtection="1"/>
    <xf numFmtId="0" fontId="32" fillId="0" borderId="5" xfId="0" applyFont="1" applyFill="1" applyBorder="1" applyAlignment="1" applyProtection="1"/>
    <xf numFmtId="0" fontId="32" fillId="0" borderId="6" xfId="0" applyFont="1" applyFill="1" applyBorder="1" applyAlignment="1" applyProtection="1">
      <alignment horizontal="centerContinuous"/>
    </xf>
    <xf numFmtId="0" fontId="28" fillId="0" borderId="7" xfId="0" applyFont="1" applyFill="1" applyBorder="1" applyProtection="1">
      <alignment vertical="center"/>
    </xf>
    <xf numFmtId="0" fontId="28" fillId="0" borderId="8" xfId="0" applyFont="1" applyFill="1" applyBorder="1" applyAlignment="1" applyProtection="1">
      <alignment horizontal="center" vertical="center"/>
    </xf>
    <xf numFmtId="0" fontId="28" fillId="0" borderId="2" xfId="0" applyFont="1" applyFill="1" applyBorder="1" applyAlignment="1" applyProtection="1">
      <alignment horizontal="left"/>
    </xf>
    <xf numFmtId="0" fontId="28" fillId="0" borderId="9" xfId="0" applyFont="1" applyFill="1" applyBorder="1" applyAlignment="1" applyProtection="1">
      <alignment horizontal="center"/>
    </xf>
    <xf numFmtId="0" fontId="31" fillId="0" borderId="0" xfId="0" applyFont="1" applyFill="1" applyBorder="1" applyAlignment="1" applyProtection="1"/>
    <xf numFmtId="0" fontId="33" fillId="0" borderId="0" xfId="0" applyFont="1" applyFill="1" applyBorder="1" applyAlignment="1" applyProtection="1">
      <alignment horizontal="right"/>
    </xf>
    <xf numFmtId="0" fontId="28" fillId="0" borderId="10" xfId="0" applyFont="1" applyFill="1" applyBorder="1" applyAlignment="1" applyProtection="1"/>
    <xf numFmtId="0" fontId="34" fillId="0" borderId="0" xfId="0" applyFont="1" applyFill="1" applyBorder="1" applyAlignment="1" applyProtection="1">
      <alignment horizontal="left"/>
    </xf>
    <xf numFmtId="0" fontId="28" fillId="0" borderId="0" xfId="0" applyFont="1" applyFill="1" applyBorder="1" applyAlignment="1" applyProtection="1">
      <alignment horizontal="centerContinuous"/>
    </xf>
    <xf numFmtId="0" fontId="34" fillId="0" borderId="0" xfId="0" applyFont="1" applyFill="1" applyBorder="1" applyAlignment="1" applyProtection="1">
      <alignment horizontal="right"/>
    </xf>
    <xf numFmtId="0" fontId="35" fillId="0" borderId="0" xfId="0" applyFont="1" applyFill="1" applyBorder="1" applyAlignment="1" applyProtection="1"/>
    <xf numFmtId="0" fontId="30" fillId="0" borderId="0" xfId="0" applyFont="1" applyFill="1" applyBorder="1" applyAlignment="1" applyProtection="1"/>
    <xf numFmtId="0" fontId="36" fillId="2" borderId="11" xfId="0" applyFont="1" applyFill="1" applyBorder="1" applyAlignment="1" applyProtection="1">
      <alignment horizontal="left"/>
      <protection locked="0"/>
    </xf>
    <xf numFmtId="0" fontId="36" fillId="2" borderId="11" xfId="0" applyFont="1" applyFill="1" applyBorder="1" applyAlignment="1" applyProtection="1">
      <alignment horizontal="left"/>
    </xf>
    <xf numFmtId="0" fontId="36" fillId="2" borderId="11" xfId="0" applyFont="1" applyFill="1" applyBorder="1" applyAlignment="1" applyProtection="1"/>
    <xf numFmtId="0" fontId="28" fillId="0" borderId="0" xfId="0" applyFont="1" applyFill="1" applyBorder="1" applyProtection="1">
      <alignment vertical="center"/>
    </xf>
    <xf numFmtId="0" fontId="36" fillId="0" borderId="0" xfId="0" applyFont="1" applyFill="1" applyBorder="1" applyAlignment="1" applyProtection="1">
      <alignment horizontal="left"/>
    </xf>
    <xf numFmtId="0" fontId="30" fillId="0" borderId="11" xfId="0" applyFont="1" applyFill="1" applyBorder="1" applyAlignment="1" applyProtection="1">
      <alignment horizontal="center"/>
    </xf>
    <xf numFmtId="0" fontId="30" fillId="0" borderId="0" xfId="0" applyFont="1" applyFill="1" applyBorder="1" applyAlignment="1" applyProtection="1">
      <alignment horizontal="center"/>
    </xf>
    <xf numFmtId="0" fontId="30" fillId="0" borderId="11" xfId="0" applyFont="1" applyFill="1" applyBorder="1" applyAlignment="1" applyProtection="1">
      <alignment horizontal="centerContinuous"/>
    </xf>
    <xf numFmtId="49" fontId="36" fillId="2" borderId="11" xfId="0" applyNumberFormat="1" applyFont="1" applyFill="1" applyBorder="1" applyAlignment="1" applyProtection="1">
      <alignment horizontal="left"/>
      <protection locked="0"/>
    </xf>
    <xf numFmtId="1" fontId="36" fillId="2" borderId="11" xfId="0" applyNumberFormat="1" applyFont="1" applyFill="1" applyBorder="1" applyAlignment="1" applyProtection="1">
      <alignment horizontal="center"/>
      <protection locked="0"/>
    </xf>
    <xf numFmtId="168" fontId="36" fillId="2" borderId="11" xfId="0" applyNumberFormat="1" applyFont="1" applyFill="1" applyBorder="1" applyAlignment="1" applyProtection="1">
      <alignment horizontal="center"/>
      <protection locked="0"/>
    </xf>
    <xf numFmtId="169" fontId="36" fillId="2" borderId="11" xfId="0" applyNumberFormat="1" applyFont="1" applyFill="1" applyBorder="1" applyAlignment="1" applyProtection="1">
      <alignment horizontal="center"/>
      <protection locked="0"/>
    </xf>
    <xf numFmtId="0" fontId="36" fillId="0" borderId="0" xfId="0" applyFont="1" applyFill="1" applyBorder="1" applyAlignment="1" applyProtection="1">
      <alignment horizontal="center"/>
    </xf>
    <xf numFmtId="0" fontId="36" fillId="0" borderId="0" xfId="0" applyFont="1" applyFill="1" applyBorder="1" applyAlignment="1" applyProtection="1"/>
    <xf numFmtId="49" fontId="36" fillId="2" borderId="11" xfId="0" applyNumberFormat="1" applyFont="1" applyFill="1" applyBorder="1" applyAlignment="1" applyProtection="1">
      <protection locked="0"/>
    </xf>
    <xf numFmtId="0" fontId="36" fillId="2" borderId="12" xfId="0" applyFont="1" applyFill="1" applyBorder="1" applyAlignment="1" applyProtection="1">
      <alignment horizontal="left"/>
    </xf>
    <xf numFmtId="0" fontId="29" fillId="0" borderId="0" xfId="0" applyFont="1" applyFill="1" applyBorder="1" applyAlignment="1" applyProtection="1"/>
    <xf numFmtId="0" fontId="28" fillId="0" borderId="10" xfId="0" applyFont="1" applyFill="1" applyBorder="1" applyAlignment="1" applyProtection="1">
      <alignment horizontal="right"/>
    </xf>
    <xf numFmtId="0" fontId="29" fillId="0" borderId="0" xfId="0" applyFont="1" applyFill="1" applyBorder="1" applyAlignment="1" applyProtection="1">
      <alignment horizontal="left"/>
    </xf>
    <xf numFmtId="0" fontId="28" fillId="0" borderId="11" xfId="0" applyFont="1" applyFill="1" applyBorder="1" applyAlignment="1" applyProtection="1"/>
    <xf numFmtId="1" fontId="28" fillId="0" borderId="11" xfId="0" applyNumberFormat="1" applyFont="1" applyFill="1" applyBorder="1" applyAlignment="1" applyProtection="1">
      <alignment horizontal="right"/>
    </xf>
    <xf numFmtId="0" fontId="38" fillId="0" borderId="0" xfId="0" applyFont="1" applyFill="1" applyBorder="1" applyAlignment="1" applyProtection="1"/>
    <xf numFmtId="0" fontId="38" fillId="0" borderId="0" xfId="0" applyFont="1" applyFill="1" applyBorder="1" applyAlignment="1" applyProtection="1">
      <alignment horizontal="center"/>
    </xf>
    <xf numFmtId="0" fontId="39" fillId="0" borderId="13" xfId="0" applyFont="1" applyFill="1" applyBorder="1" applyAlignment="1" applyProtection="1">
      <alignment horizontal="left" vertical="center" wrapText="1"/>
    </xf>
    <xf numFmtId="0" fontId="39" fillId="0" borderId="14" xfId="0" applyFont="1" applyFill="1" applyBorder="1" applyAlignment="1" applyProtection="1">
      <alignment horizontal="center" vertical="center" wrapText="1"/>
    </xf>
    <xf numFmtId="0" fontId="39" fillId="0" borderId="15" xfId="0" applyFont="1" applyFill="1" applyBorder="1" applyAlignment="1" applyProtection="1">
      <alignment horizontal="centerContinuous" vertical="center"/>
    </xf>
    <xf numFmtId="0" fontId="39" fillId="0" borderId="16" xfId="0" applyFont="1" applyFill="1" applyBorder="1" applyAlignment="1" applyProtection="1">
      <alignment horizontal="centerContinuous" vertical="center" wrapText="1"/>
    </xf>
    <xf numFmtId="0" fontId="39" fillId="0" borderId="15" xfId="0" applyFont="1" applyFill="1" applyBorder="1" applyAlignment="1" applyProtection="1">
      <alignment horizontal="centerContinuous" vertical="center" wrapText="1"/>
    </xf>
    <xf numFmtId="0" fontId="39" fillId="0" borderId="14" xfId="0" applyFont="1" applyFill="1" applyBorder="1" applyAlignment="1" applyProtection="1">
      <alignment horizontal="centerContinuous" vertical="center" wrapText="1"/>
    </xf>
    <xf numFmtId="0" fontId="40" fillId="0" borderId="17" xfId="0" applyFont="1" applyFill="1" applyBorder="1" applyAlignment="1" applyProtection="1">
      <alignment horizontal="centerContinuous" vertical="center"/>
    </xf>
    <xf numFmtId="0" fontId="39" fillId="0" borderId="0" xfId="0" applyFont="1" applyFill="1" applyBorder="1" applyProtection="1">
      <alignment vertical="center"/>
    </xf>
    <xf numFmtId="0" fontId="39" fillId="0" borderId="13" xfId="0" applyFont="1" applyFill="1" applyBorder="1" applyProtection="1">
      <alignment vertical="center"/>
    </xf>
    <xf numFmtId="0" fontId="39" fillId="0" borderId="17" xfId="0" applyFont="1" applyFill="1" applyBorder="1" applyAlignment="1" applyProtection="1">
      <alignment horizontal="centerContinuous" vertical="center"/>
    </xf>
    <xf numFmtId="0" fontId="38" fillId="0" borderId="18" xfId="0" applyFont="1" applyFill="1" applyBorder="1" applyAlignment="1" applyProtection="1">
      <alignment horizontal="left" vertical="center" wrapText="1"/>
    </xf>
    <xf numFmtId="0" fontId="39" fillId="0" borderId="0" xfId="0" applyFont="1" applyFill="1" applyBorder="1" applyAlignment="1" applyProtection="1">
      <alignment horizontal="center" vertical="center" wrapText="1"/>
    </xf>
    <xf numFmtId="0" fontId="39" fillId="0" borderId="19" xfId="0" applyFont="1" applyFill="1" applyBorder="1" applyAlignment="1" applyProtection="1">
      <alignment horizontal="centerContinuous" vertical="center"/>
    </xf>
    <xf numFmtId="0" fontId="39" fillId="0" borderId="20" xfId="0" applyFont="1" applyFill="1" applyBorder="1" applyAlignment="1" applyProtection="1">
      <alignment horizontal="center" vertical="center" wrapText="1"/>
    </xf>
    <xf numFmtId="0" fontId="39" fillId="0" borderId="19" xfId="0" applyFont="1" applyFill="1" applyBorder="1" applyAlignment="1" applyProtection="1">
      <alignment horizontal="center" vertical="center"/>
    </xf>
    <xf numFmtId="0" fontId="39" fillId="0" borderId="20" xfId="0" applyFont="1" applyFill="1" applyBorder="1" applyAlignment="1" applyProtection="1">
      <alignment horizontal="centerContinuous" vertical="center" wrapText="1"/>
    </xf>
    <xf numFmtId="0" fontId="40" fillId="0" borderId="21" xfId="0" applyFont="1" applyFill="1" applyBorder="1" applyAlignment="1" applyProtection="1">
      <alignment horizontal="centerContinuous" vertical="center"/>
    </xf>
    <xf numFmtId="0" fontId="38" fillId="0" borderId="18" xfId="0" applyFont="1" applyFill="1" applyBorder="1" applyProtection="1">
      <alignment vertical="center"/>
    </xf>
    <xf numFmtId="0" fontId="39" fillId="0" borderId="22" xfId="0" applyFont="1" applyFill="1" applyBorder="1" applyAlignment="1" applyProtection="1">
      <alignment vertical="center" wrapText="1"/>
    </xf>
    <xf numFmtId="0" fontId="39" fillId="0" borderId="10" xfId="0" applyFont="1" applyFill="1" applyBorder="1" applyAlignment="1" applyProtection="1">
      <alignment horizontal="center" vertical="center" wrapText="1"/>
    </xf>
    <xf numFmtId="0" fontId="39" fillId="0" borderId="23" xfId="0" applyFont="1" applyFill="1" applyBorder="1" applyAlignment="1" applyProtection="1">
      <alignment horizontal="centerContinuous" vertical="center" wrapText="1"/>
    </xf>
    <xf numFmtId="0" fontId="39" fillId="0" borderId="24" xfId="0" applyFont="1" applyFill="1" applyBorder="1" applyAlignment="1" applyProtection="1">
      <alignment horizontal="center" vertical="center"/>
    </xf>
    <xf numFmtId="0" fontId="39" fillId="0" borderId="23" xfId="0" applyFont="1" applyFill="1" applyBorder="1" applyAlignment="1" applyProtection="1">
      <alignment horizontal="center" vertical="center"/>
    </xf>
    <xf numFmtId="0" fontId="39" fillId="0" borderId="25" xfId="0" applyFont="1" applyFill="1" applyBorder="1" applyAlignment="1" applyProtection="1">
      <alignment horizontal="center" vertical="center"/>
    </xf>
    <xf numFmtId="0" fontId="39" fillId="0" borderId="10" xfId="0" applyFont="1" applyFill="1" applyBorder="1" applyAlignment="1" applyProtection="1">
      <alignment vertical="center" wrapText="1"/>
    </xf>
    <xf numFmtId="0" fontId="38" fillId="0" borderId="26" xfId="0" applyFont="1" applyFill="1" applyBorder="1" applyProtection="1">
      <alignment vertical="center"/>
    </xf>
    <xf numFmtId="0" fontId="39" fillId="0" borderId="11" xfId="0" applyFont="1" applyFill="1" applyBorder="1" applyAlignment="1" applyProtection="1">
      <alignment horizontal="center" vertical="center"/>
    </xf>
    <xf numFmtId="2" fontId="38" fillId="0" borderId="22" xfId="0" applyNumberFormat="1" applyFont="1" applyFill="1" applyBorder="1" applyAlignment="1" applyProtection="1">
      <alignment horizontal="center" vertical="center"/>
    </xf>
    <xf numFmtId="0" fontId="39" fillId="3" borderId="22" xfId="0" applyFont="1" applyFill="1" applyBorder="1" applyAlignment="1" applyProtection="1">
      <alignment horizontal="center" vertical="center"/>
    </xf>
    <xf numFmtId="0" fontId="39" fillId="3" borderId="10" xfId="0" applyFont="1" applyFill="1" applyBorder="1" applyAlignment="1" applyProtection="1">
      <alignment horizontal="center" vertical="center"/>
    </xf>
    <xf numFmtId="0" fontId="39" fillId="0" borderId="0" xfId="0" applyFont="1" applyFill="1" applyBorder="1" applyAlignment="1" applyProtection="1"/>
    <xf numFmtId="0" fontId="38" fillId="0" borderId="26" xfId="0" applyFont="1" applyFill="1" applyBorder="1" applyAlignment="1" applyProtection="1">
      <alignment vertical="center" wrapText="1"/>
    </xf>
    <xf numFmtId="0" fontId="38" fillId="0" borderId="11" xfId="0" applyFont="1" applyFill="1" applyBorder="1" applyAlignment="1" applyProtection="1">
      <alignment vertical="center" wrapText="1"/>
    </xf>
    <xf numFmtId="0" fontId="39" fillId="0" borderId="11" xfId="0" applyFont="1" applyFill="1" applyBorder="1" applyAlignment="1" applyProtection="1">
      <alignment horizontal="center" vertical="center" wrapText="1"/>
    </xf>
    <xf numFmtId="0" fontId="39" fillId="0" borderId="26" xfId="0" applyFont="1" applyFill="1" applyBorder="1" applyAlignment="1" applyProtection="1">
      <alignment horizontal="left" vertical="center"/>
    </xf>
    <xf numFmtId="2" fontId="39" fillId="2" borderId="2" xfId="0" applyNumberFormat="1" applyFont="1" applyFill="1" applyBorder="1" applyAlignment="1" applyProtection="1">
      <alignment horizontal="center" vertical="center"/>
      <protection locked="0"/>
    </xf>
    <xf numFmtId="0" fontId="39" fillId="0" borderId="18" xfId="0" applyFont="1" applyFill="1" applyBorder="1" applyAlignment="1" applyProtection="1">
      <alignment vertical="center" wrapText="1"/>
    </xf>
    <xf numFmtId="0" fontId="39" fillId="0" borderId="11" xfId="0" applyFont="1" applyFill="1" applyBorder="1" applyAlignment="1" applyProtection="1">
      <alignment vertical="center" wrapText="1"/>
    </xf>
    <xf numFmtId="0" fontId="35" fillId="0" borderId="0" xfId="0" quotePrefix="1" applyFont="1" applyFill="1" applyBorder="1" applyAlignment="1" applyProtection="1"/>
    <xf numFmtId="0" fontId="39" fillId="0" borderId="26" xfId="0" applyFont="1" applyFill="1" applyBorder="1" applyAlignment="1" applyProtection="1">
      <alignment vertical="center" wrapText="1"/>
    </xf>
    <xf numFmtId="0" fontId="41" fillId="0" borderId="26" xfId="0" applyFont="1" applyFill="1" applyBorder="1" applyAlignment="1" applyProtection="1">
      <alignment vertical="center" wrapText="1"/>
    </xf>
    <xf numFmtId="0" fontId="39" fillId="0" borderId="26" xfId="0" applyFont="1" applyFill="1" applyBorder="1" applyProtection="1">
      <alignment vertical="center"/>
    </xf>
    <xf numFmtId="0" fontId="39" fillId="0" borderId="11" xfId="0" applyFont="1" applyFill="1" applyBorder="1" applyProtection="1">
      <alignment vertical="center"/>
    </xf>
    <xf numFmtId="0" fontId="41" fillId="0" borderId="26" xfId="0" applyFont="1" applyFill="1" applyBorder="1" applyAlignment="1" applyProtection="1">
      <alignment wrapText="1"/>
    </xf>
    <xf numFmtId="0" fontId="39" fillId="0" borderId="18" xfId="0" applyFont="1" applyFill="1" applyBorder="1" applyAlignment="1" applyProtection="1">
      <alignment wrapText="1"/>
    </xf>
    <xf numFmtId="0" fontId="39" fillId="0" borderId="29" xfId="0" applyFont="1" applyFill="1" applyBorder="1" applyProtection="1">
      <alignment vertical="center"/>
    </xf>
    <xf numFmtId="0" fontId="39" fillId="0" borderId="30" xfId="0" applyFont="1" applyFill="1" applyBorder="1" applyAlignment="1" applyProtection="1">
      <alignment horizontal="center" vertical="center"/>
    </xf>
    <xf numFmtId="0" fontId="39" fillId="0" borderId="11" xfId="0" applyFont="1" applyFill="1" applyBorder="1" applyAlignment="1" applyProtection="1">
      <alignment horizontal="left" vertical="center" wrapText="1"/>
    </xf>
    <xf numFmtId="2" fontId="38" fillId="0" borderId="31" xfId="0" applyNumberFormat="1" applyFont="1" applyFill="1" applyBorder="1" applyAlignment="1" applyProtection="1">
      <alignment horizontal="center" vertical="center"/>
    </xf>
    <xf numFmtId="0" fontId="39" fillId="3" borderId="32" xfId="0" applyFont="1" applyFill="1" applyBorder="1" applyAlignment="1" applyProtection="1">
      <alignment horizontal="center" vertical="center"/>
    </xf>
    <xf numFmtId="0" fontId="39" fillId="0" borderId="18" xfId="0" applyFont="1" applyFill="1" applyBorder="1" applyProtection="1">
      <alignment vertical="center"/>
    </xf>
    <xf numFmtId="0" fontId="39" fillId="0" borderId="30" xfId="0" applyFont="1" applyFill="1" applyBorder="1" applyAlignment="1" applyProtection="1">
      <alignment vertical="center" wrapText="1"/>
    </xf>
    <xf numFmtId="0" fontId="39" fillId="0" borderId="30" xfId="0" applyFont="1" applyFill="1" applyBorder="1" applyAlignment="1" applyProtection="1">
      <alignment horizontal="center" vertical="center" wrapText="1"/>
    </xf>
    <xf numFmtId="2" fontId="39" fillId="2" borderId="19" xfId="0" applyNumberFormat="1" applyFont="1" applyFill="1" applyBorder="1" applyAlignment="1" applyProtection="1">
      <alignment horizontal="center" vertical="center"/>
      <protection locked="0"/>
    </xf>
    <xf numFmtId="0" fontId="38" fillId="0" borderId="11" xfId="0" applyFont="1" applyFill="1" applyBorder="1" applyProtection="1">
      <alignment vertical="center"/>
    </xf>
    <xf numFmtId="0" fontId="39" fillId="3" borderId="13" xfId="0" applyFont="1" applyFill="1" applyBorder="1" applyAlignment="1" applyProtection="1">
      <alignment horizontal="center" vertical="center"/>
    </xf>
    <xf numFmtId="0" fontId="39" fillId="3" borderId="0" xfId="0" applyFont="1" applyFill="1" applyBorder="1" applyAlignment="1" applyProtection="1">
      <alignment horizontal="center" vertical="center"/>
    </xf>
    <xf numFmtId="0" fontId="39" fillId="3" borderId="18" xfId="0" applyFont="1" applyFill="1" applyBorder="1" applyAlignment="1" applyProtection="1">
      <alignment horizontal="center" vertical="center"/>
    </xf>
    <xf numFmtId="0" fontId="39" fillId="2" borderId="10" xfId="0" applyFont="1" applyFill="1" applyBorder="1" applyAlignment="1" applyProtection="1">
      <alignment horizontal="center" vertical="center"/>
      <protection locked="0"/>
    </xf>
    <xf numFmtId="0" fontId="40" fillId="0" borderId="0" xfId="0" applyFont="1" applyFill="1" applyBorder="1" applyAlignment="1" applyProtection="1"/>
    <xf numFmtId="0" fontId="39" fillId="0" borderId="30" xfId="0" applyFont="1" applyFill="1" applyBorder="1" applyAlignment="1" applyProtection="1"/>
    <xf numFmtId="0" fontId="38" fillId="0" borderId="30" xfId="0" applyFont="1" applyFill="1" applyBorder="1" applyProtection="1">
      <alignment vertical="center"/>
    </xf>
    <xf numFmtId="2" fontId="39" fillId="2" borderId="7" xfId="0" applyNumberFormat="1" applyFont="1" applyFill="1" applyBorder="1" applyAlignment="1" applyProtection="1">
      <alignment horizontal="center" vertical="center"/>
      <protection locked="0"/>
    </xf>
    <xf numFmtId="0" fontId="38" fillId="0" borderId="29" xfId="0" applyFont="1" applyFill="1" applyBorder="1" applyProtection="1">
      <alignment vertical="center"/>
    </xf>
    <xf numFmtId="0" fontId="39" fillId="0" borderId="30" xfId="0" applyFont="1" applyFill="1" applyBorder="1" applyProtection="1">
      <alignment vertical="center"/>
    </xf>
    <xf numFmtId="0" fontId="39" fillId="0" borderId="22" xfId="0" applyFont="1" applyFill="1" applyBorder="1" applyProtection="1">
      <alignment vertical="center"/>
    </xf>
    <xf numFmtId="0" fontId="39" fillId="0" borderId="10" xfId="0" applyFont="1" applyFill="1" applyBorder="1" applyProtection="1">
      <alignment vertical="center"/>
    </xf>
    <xf numFmtId="0" fontId="39" fillId="0" borderId="10" xfId="0" applyFont="1" applyFill="1" applyBorder="1" applyAlignment="1" applyProtection="1">
      <alignment horizontal="center" vertical="center"/>
    </xf>
    <xf numFmtId="0" fontId="38" fillId="0" borderId="22" xfId="0" applyFont="1" applyFill="1" applyBorder="1" applyProtection="1">
      <alignment vertical="center"/>
    </xf>
    <xf numFmtId="0" fontId="38" fillId="0" borderId="10" xfId="0" applyFont="1" applyFill="1" applyBorder="1" applyProtection="1">
      <alignment vertical="center"/>
    </xf>
    <xf numFmtId="0" fontId="38" fillId="0" borderId="10" xfId="0" applyFont="1" applyFill="1" applyBorder="1" applyAlignment="1" applyProtection="1">
      <alignment horizontal="center" vertical="center"/>
    </xf>
    <xf numFmtId="0" fontId="42" fillId="0" borderId="0" xfId="0" applyFont="1" applyFill="1" applyBorder="1" applyAlignment="1" applyProtection="1"/>
    <xf numFmtId="0" fontId="38" fillId="0" borderId="35" xfId="0" applyFont="1" applyFill="1" applyBorder="1" applyAlignment="1" applyProtection="1">
      <alignment horizontal="centerContinuous" vertical="center"/>
    </xf>
    <xf numFmtId="0" fontId="39" fillId="0" borderId="36" xfId="0" applyFont="1" applyFill="1" applyBorder="1" applyAlignment="1" applyProtection="1">
      <alignment horizontal="centerContinuous" vertical="center"/>
    </xf>
    <xf numFmtId="0" fontId="39" fillId="0" borderId="37" xfId="0" applyFont="1" applyFill="1" applyBorder="1" applyAlignment="1" applyProtection="1">
      <alignment horizontal="centerContinuous" vertical="center"/>
    </xf>
    <xf numFmtId="0" fontId="39" fillId="0" borderId="0" xfId="0" applyFont="1" applyFill="1" applyBorder="1" applyAlignment="1" applyProtection="1">
      <alignment horizontal="center" vertical="center"/>
    </xf>
    <xf numFmtId="0" fontId="28" fillId="0" borderId="14" xfId="0" applyFont="1" applyFill="1" applyBorder="1" applyAlignment="1" applyProtection="1"/>
    <xf numFmtId="0" fontId="39" fillId="0" borderId="39" xfId="0" applyFont="1" applyFill="1" applyBorder="1" applyProtection="1">
      <alignment vertical="center"/>
    </xf>
    <xf numFmtId="0" fontId="28" fillId="0" borderId="40" xfId="0" applyFont="1" applyFill="1" applyBorder="1" applyAlignment="1" applyProtection="1"/>
    <xf numFmtId="2" fontId="39" fillId="2" borderId="23" xfId="0" applyNumberFormat="1" applyFont="1" applyFill="1" applyBorder="1" applyAlignment="1" applyProtection="1">
      <alignment horizontal="center" vertical="center"/>
      <protection locked="0"/>
    </xf>
    <xf numFmtId="0" fontId="39" fillId="0" borderId="13" xfId="0" applyFont="1" applyFill="1" applyBorder="1" applyAlignment="1" applyProtection="1"/>
    <xf numFmtId="0" fontId="39" fillId="0" borderId="14" xfId="0" applyFont="1" applyFill="1" applyBorder="1" applyAlignment="1" applyProtection="1"/>
    <xf numFmtId="0" fontId="39" fillId="0" borderId="15" xfId="0" applyFont="1" applyFill="1" applyBorder="1" applyAlignment="1" applyProtection="1">
      <alignment horizontal="center" vertical="center" wrapText="1"/>
    </xf>
    <xf numFmtId="0" fontId="39" fillId="0" borderId="15" xfId="0" applyFont="1" applyFill="1" applyBorder="1" applyAlignment="1" applyProtection="1">
      <alignment horizontal="center" vertical="center"/>
    </xf>
    <xf numFmtId="0" fontId="39" fillId="0" borderId="15" xfId="0" applyFont="1" applyFill="1" applyBorder="1" applyAlignment="1" applyProtection="1">
      <alignment horizontal="center"/>
    </xf>
    <xf numFmtId="0" fontId="39" fillId="0" borderId="15" xfId="0" applyFont="1" applyFill="1" applyBorder="1" applyAlignment="1" applyProtection="1">
      <alignment horizontal="centerContinuous"/>
    </xf>
    <xf numFmtId="0" fontId="39" fillId="0" borderId="14" xfId="0" applyFont="1" applyFill="1" applyBorder="1" applyAlignment="1" applyProtection="1">
      <alignment horizontal="centerContinuous"/>
    </xf>
    <xf numFmtId="0" fontId="39" fillId="0" borderId="0" xfId="0" applyFont="1" applyFill="1" applyBorder="1" applyAlignment="1" applyProtection="1">
      <alignment horizontal="left"/>
    </xf>
    <xf numFmtId="0" fontId="39" fillId="0" borderId="0" xfId="0" applyFont="1" applyFill="1" applyBorder="1" applyAlignment="1" applyProtection="1">
      <alignment horizontal="center"/>
    </xf>
    <xf numFmtId="0" fontId="39" fillId="0" borderId="19" xfId="0" applyFont="1" applyFill="1" applyBorder="1" applyAlignment="1" applyProtection="1">
      <alignment horizontal="center"/>
    </xf>
    <xf numFmtId="0" fontId="39" fillId="0" borderId="0" xfId="0" applyFont="1" applyFill="1" applyBorder="1" applyAlignment="1" applyProtection="1">
      <alignment horizontal="centerContinuous"/>
    </xf>
    <xf numFmtId="0" fontId="39" fillId="0" borderId="22" xfId="0" applyFont="1" applyFill="1" applyBorder="1" applyAlignment="1" applyProtection="1">
      <alignment horizontal="center"/>
    </xf>
    <xf numFmtId="0" fontId="39" fillId="0" borderId="10" xfId="0" applyFont="1" applyFill="1" applyBorder="1" applyAlignment="1" applyProtection="1">
      <alignment horizontal="center"/>
    </xf>
    <xf numFmtId="0" fontId="39" fillId="0" borderId="23" xfId="0" applyFont="1" applyFill="1" applyBorder="1" applyAlignment="1" applyProtection="1">
      <alignment horizontal="center" vertical="center" textRotation="255"/>
    </xf>
    <xf numFmtId="0" fontId="39" fillId="0" borderId="23" xfId="0" applyFont="1" applyFill="1" applyBorder="1" applyAlignment="1" applyProtection="1">
      <alignment horizontal="center"/>
    </xf>
    <xf numFmtId="0" fontId="38" fillId="0" borderId="30" xfId="0" applyFont="1" applyFill="1" applyBorder="1" applyAlignment="1" applyProtection="1">
      <alignment horizontal="left" vertical="center"/>
    </xf>
    <xf numFmtId="0" fontId="39" fillId="0" borderId="30" xfId="0" applyFont="1" applyFill="1" applyBorder="1" applyAlignment="1" applyProtection="1">
      <alignment horizontal="center" vertical="center" textRotation="255"/>
    </xf>
    <xf numFmtId="0" fontId="38" fillId="0" borderId="30" xfId="0" applyFont="1" applyFill="1" applyBorder="1" applyAlignment="1" applyProtection="1">
      <alignment horizontal="center" vertical="center"/>
    </xf>
    <xf numFmtId="1" fontId="39" fillId="0" borderId="44" xfId="0" applyNumberFormat="1" applyFont="1" applyFill="1" applyBorder="1" applyProtection="1">
      <alignment vertical="center"/>
    </xf>
    <xf numFmtId="1" fontId="39" fillId="0" borderId="45" xfId="0" applyNumberFormat="1" applyFont="1" applyFill="1" applyBorder="1" applyProtection="1">
      <alignment vertical="center"/>
    </xf>
    <xf numFmtId="171" fontId="39" fillId="2" borderId="3" xfId="0" applyNumberFormat="1" applyFont="1" applyFill="1" applyBorder="1" applyAlignment="1" applyProtection="1">
      <alignment horizontal="center" vertical="center" wrapText="1"/>
      <protection locked="0"/>
    </xf>
    <xf numFmtId="2" fontId="39" fillId="0" borderId="44" xfId="0" applyNumberFormat="1" applyFont="1" applyFill="1" applyBorder="1" applyProtection="1">
      <alignment vertical="center"/>
    </xf>
    <xf numFmtId="1" fontId="39" fillId="2" borderId="2" xfId="0" applyNumberFormat="1" applyFont="1" applyFill="1" applyBorder="1" applyAlignment="1" applyProtection="1">
      <alignment horizontal="center" vertical="center"/>
      <protection locked="0"/>
    </xf>
    <xf numFmtId="2" fontId="39" fillId="0" borderId="44" xfId="0" applyNumberFormat="1" applyFont="1" applyFill="1" applyBorder="1" applyAlignment="1" applyProtection="1">
      <alignment horizontal="center" vertical="center"/>
    </xf>
    <xf numFmtId="172" fontId="39" fillId="2" borderId="2" xfId="0" applyNumberFormat="1" applyFont="1" applyFill="1" applyBorder="1" applyAlignment="1" applyProtection="1">
      <alignment horizontal="center" vertical="center"/>
      <protection locked="0"/>
    </xf>
    <xf numFmtId="1" fontId="39" fillId="2" borderId="46" xfId="0" applyNumberFormat="1" applyFont="1" applyFill="1" applyBorder="1" applyAlignment="1" applyProtection="1">
      <alignment horizontal="center" vertical="center"/>
      <protection locked="0"/>
    </xf>
    <xf numFmtId="1" fontId="35" fillId="0" borderId="0" xfId="0" applyNumberFormat="1" applyFont="1" applyFill="1" applyBorder="1" applyAlignment="1" applyProtection="1"/>
    <xf numFmtId="0" fontId="35" fillId="0" borderId="0" xfId="0" applyFont="1" applyFill="1" applyBorder="1" applyAlignment="1" applyProtection="1">
      <protection locked="0"/>
    </xf>
    <xf numFmtId="2" fontId="39" fillId="0" borderId="2" xfId="0" applyNumberFormat="1" applyFont="1" applyFill="1" applyBorder="1" applyProtection="1">
      <alignment vertical="center"/>
    </xf>
    <xf numFmtId="2" fontId="39" fillId="0" borderId="11" xfId="0" applyNumberFormat="1" applyFont="1" applyFill="1" applyBorder="1" applyProtection="1">
      <alignment vertical="center"/>
    </xf>
    <xf numFmtId="2" fontId="39" fillId="0" borderId="2" xfId="0" applyNumberFormat="1" applyFont="1" applyFill="1" applyBorder="1" applyAlignment="1" applyProtection="1">
      <alignment horizontal="center" vertical="center"/>
    </xf>
    <xf numFmtId="0" fontId="39" fillId="0" borderId="2" xfId="0" applyFont="1" applyFill="1" applyBorder="1" applyAlignment="1" applyProtection="1">
      <alignment horizontal="center" vertical="center"/>
    </xf>
    <xf numFmtId="2" fontId="35" fillId="0" borderId="0" xfId="0" applyNumberFormat="1" applyFont="1" applyFill="1" applyBorder="1" applyAlignment="1" applyProtection="1"/>
    <xf numFmtId="2" fontId="39" fillId="0" borderId="45" xfId="0" applyNumberFormat="1" applyFont="1" applyFill="1" applyBorder="1" applyProtection="1">
      <alignment vertical="center"/>
    </xf>
    <xf numFmtId="172" fontId="39" fillId="2" borderId="44" xfId="0" applyNumberFormat="1" applyFont="1" applyFill="1" applyBorder="1" applyAlignment="1" applyProtection="1">
      <alignment horizontal="center" vertical="center"/>
      <protection locked="0"/>
    </xf>
    <xf numFmtId="1" fontId="39" fillId="2" borderId="44" xfId="0" applyNumberFormat="1" applyFont="1" applyFill="1" applyBorder="1" applyAlignment="1" applyProtection="1">
      <alignment horizontal="center" vertical="center"/>
      <protection locked="0"/>
    </xf>
    <xf numFmtId="1" fontId="39" fillId="2" borderId="47" xfId="0" applyNumberFormat="1" applyFont="1" applyFill="1" applyBorder="1" applyAlignment="1" applyProtection="1">
      <alignment horizontal="center" vertical="center"/>
      <protection locked="0"/>
    </xf>
    <xf numFmtId="0" fontId="43" fillId="0" borderId="0" xfId="0" applyFont="1" applyFill="1" applyBorder="1" applyAlignment="1" applyProtection="1"/>
    <xf numFmtId="2" fontId="39" fillId="0" borderId="11" xfId="0" applyNumberFormat="1" applyFont="1" applyFill="1" applyBorder="1" applyAlignment="1" applyProtection="1">
      <alignment vertical="center" wrapText="1"/>
    </xf>
    <xf numFmtId="2" fontId="39" fillId="0" borderId="7" xfId="0" applyNumberFormat="1" applyFont="1" applyFill="1" applyBorder="1" applyProtection="1">
      <alignment vertical="center"/>
    </xf>
    <xf numFmtId="49" fontId="39" fillId="2" borderId="48" xfId="0" applyNumberFormat="1" applyFont="1" applyFill="1" applyBorder="1" applyProtection="1">
      <alignment vertical="center"/>
      <protection locked="0"/>
    </xf>
    <xf numFmtId="2" fontId="39" fillId="2" borderId="30" xfId="0" applyNumberFormat="1" applyFont="1" applyFill="1" applyBorder="1" applyProtection="1">
      <alignment vertical="center"/>
    </xf>
    <xf numFmtId="2" fontId="39" fillId="0" borderId="7" xfId="0" applyNumberFormat="1" applyFont="1" applyFill="1" applyBorder="1" applyAlignment="1" applyProtection="1">
      <alignment horizontal="center" vertical="center"/>
    </xf>
    <xf numFmtId="172" fontId="39" fillId="2" borderId="7" xfId="0" applyNumberFormat="1" applyFont="1" applyFill="1" applyBorder="1" applyAlignment="1" applyProtection="1">
      <alignment horizontal="center" vertical="center"/>
      <protection locked="0"/>
    </xf>
    <xf numFmtId="1" fontId="39" fillId="2" borderId="7" xfId="0" applyNumberFormat="1" applyFont="1" applyFill="1" applyBorder="1" applyAlignment="1" applyProtection="1">
      <alignment horizontal="center" vertical="center"/>
      <protection locked="0"/>
    </xf>
    <xf numFmtId="0" fontId="39" fillId="0" borderId="7" xfId="0" applyFont="1" applyFill="1" applyBorder="1" applyAlignment="1" applyProtection="1">
      <alignment horizontal="center" vertical="center"/>
    </xf>
    <xf numFmtId="1" fontId="39" fillId="2" borderId="49" xfId="0" applyNumberFormat="1" applyFont="1" applyFill="1" applyBorder="1" applyAlignment="1" applyProtection="1">
      <alignment horizontal="center" vertical="center"/>
      <protection locked="0"/>
    </xf>
    <xf numFmtId="2" fontId="39" fillId="0" borderId="50" xfId="0" applyNumberFormat="1" applyFont="1" applyFill="1" applyBorder="1" applyProtection="1">
      <alignment vertical="center"/>
    </xf>
    <xf numFmtId="2" fontId="39" fillId="2" borderId="11" xfId="0" applyNumberFormat="1" applyFont="1" applyFill="1" applyBorder="1" applyProtection="1">
      <alignment vertical="center"/>
    </xf>
    <xf numFmtId="0" fontId="38" fillId="0" borderId="33" xfId="0" applyFont="1" applyFill="1" applyBorder="1" applyProtection="1">
      <alignment vertical="center"/>
    </xf>
    <xf numFmtId="0" fontId="39" fillId="0" borderId="33" xfId="0" applyFont="1" applyFill="1" applyBorder="1" applyProtection="1">
      <alignment vertical="center"/>
    </xf>
    <xf numFmtId="0" fontId="39" fillId="0" borderId="33" xfId="0" applyFont="1" applyFill="1" applyBorder="1" applyAlignment="1" applyProtection="1">
      <alignment horizontal="center" vertical="center"/>
    </xf>
    <xf numFmtId="0" fontId="38" fillId="0" borderId="0" xfId="0" applyFont="1" applyFill="1" applyBorder="1" applyProtection="1">
      <alignment vertical="center"/>
    </xf>
    <xf numFmtId="1" fontId="39" fillId="0" borderId="0" xfId="0" applyNumberFormat="1" applyFont="1" applyFill="1" applyBorder="1" applyAlignment="1" applyProtection="1">
      <alignment horizontal="center" vertical="center"/>
    </xf>
    <xf numFmtId="172" fontId="39" fillId="0" borderId="2" xfId="0" applyNumberFormat="1" applyFont="1" applyFill="1" applyBorder="1" applyAlignment="1" applyProtection="1">
      <alignment horizontal="center" vertical="center"/>
    </xf>
    <xf numFmtId="2" fontId="39" fillId="0" borderId="30" xfId="0" applyNumberFormat="1" applyFont="1" applyFill="1" applyBorder="1" applyProtection="1">
      <alignment vertical="center"/>
    </xf>
    <xf numFmtId="172" fontId="39" fillId="0" borderId="49" xfId="0" applyNumberFormat="1" applyFont="1" applyFill="1" applyBorder="1" applyAlignment="1" applyProtection="1">
      <alignment horizontal="center" vertical="center"/>
    </xf>
    <xf numFmtId="1" fontId="39" fillId="0" borderId="2" xfId="0" applyNumberFormat="1" applyFont="1" applyFill="1" applyBorder="1" applyAlignment="1" applyProtection="1">
      <alignment horizontal="center" vertical="center"/>
    </xf>
    <xf numFmtId="1" fontId="39" fillId="0" borderId="46" xfId="0" applyNumberFormat="1" applyFont="1" applyFill="1" applyBorder="1" applyAlignment="1" applyProtection="1">
      <alignment horizontal="center" vertical="center"/>
    </xf>
    <xf numFmtId="2" fontId="39" fillId="2" borderId="11" xfId="0" applyNumberFormat="1" applyFont="1" applyFill="1" applyBorder="1" applyProtection="1">
      <alignment vertical="center"/>
      <protection locked="0"/>
    </xf>
    <xf numFmtId="0" fontId="28" fillId="0" borderId="4" xfId="0" applyFont="1" applyFill="1" applyBorder="1" applyProtection="1">
      <alignment vertical="center"/>
    </xf>
    <xf numFmtId="0" fontId="39" fillId="0" borderId="4" xfId="0" applyFont="1" applyFill="1" applyBorder="1" applyProtection="1">
      <alignment vertical="center"/>
    </xf>
    <xf numFmtId="0" fontId="28" fillId="0" borderId="4" xfId="0" applyFont="1" applyFill="1" applyBorder="1" applyAlignment="1" applyProtection="1">
      <alignment horizontal="centerContinuous" vertical="center"/>
    </xf>
    <xf numFmtId="0" fontId="39" fillId="0" borderId="4" xfId="0" applyFont="1" applyFill="1" applyBorder="1" applyAlignment="1" applyProtection="1">
      <alignment horizontal="centerContinuous" vertical="center"/>
    </xf>
    <xf numFmtId="0" fontId="38" fillId="0" borderId="4" xfId="0" applyFont="1" applyFill="1" applyBorder="1" applyAlignment="1" applyProtection="1">
      <alignment horizontal="right" vertical="center"/>
    </xf>
    <xf numFmtId="0" fontId="38" fillId="0" borderId="4" xfId="0" applyFont="1" applyFill="1" applyBorder="1" applyAlignment="1" applyProtection="1">
      <alignment horizontal="right"/>
    </xf>
    <xf numFmtId="0" fontId="28" fillId="0" borderId="0" xfId="0" applyFont="1" applyFill="1" applyBorder="1" applyAlignment="1" applyProtection="1">
      <alignment horizontal="right"/>
    </xf>
    <xf numFmtId="2" fontId="39" fillId="0" borderId="0" xfId="0" applyNumberFormat="1" applyFont="1" applyFill="1" applyBorder="1" applyProtection="1">
      <alignment vertical="center"/>
    </xf>
    <xf numFmtId="2" fontId="39" fillId="0" borderId="51" xfId="0" applyNumberFormat="1" applyFont="1" applyFill="1" applyBorder="1" applyAlignment="1" applyProtection="1">
      <alignment horizontal="center" vertical="center"/>
    </xf>
    <xf numFmtId="0" fontId="39" fillId="0" borderId="0" xfId="0" applyFont="1" applyFill="1" applyBorder="1" applyAlignment="1" applyProtection="1">
      <alignment horizontal="right" vertical="center"/>
    </xf>
    <xf numFmtId="2" fontId="39" fillId="0" borderId="49" xfId="0" applyNumberFormat="1" applyFont="1" applyFill="1" applyBorder="1" applyAlignment="1" applyProtection="1">
      <alignment horizontal="center" vertical="center"/>
    </xf>
    <xf numFmtId="2" fontId="39" fillId="2" borderId="49" xfId="0" applyNumberFormat="1" applyFont="1" applyFill="1" applyBorder="1" applyAlignment="1" applyProtection="1">
      <alignment horizontal="center" vertical="center"/>
      <protection locked="0"/>
    </xf>
    <xf numFmtId="0" fontId="39" fillId="0" borderId="52" xfId="0" applyFont="1" applyFill="1" applyBorder="1" applyAlignment="1" applyProtection="1">
      <alignment horizontal="centerContinuous" vertical="center"/>
    </xf>
    <xf numFmtId="0" fontId="39" fillId="0" borderId="53" xfId="0" applyFont="1" applyFill="1" applyBorder="1" applyAlignment="1" applyProtection="1">
      <alignment horizontal="centerContinuous" vertical="center"/>
    </xf>
    <xf numFmtId="0" fontId="39" fillId="0" borderId="54" xfId="0" applyFont="1" applyFill="1" applyBorder="1" applyAlignment="1" applyProtection="1">
      <alignment horizontal="center" vertical="center"/>
    </xf>
    <xf numFmtId="0" fontId="28" fillId="0" borderId="54" xfId="0" applyFont="1" applyFill="1" applyBorder="1" applyAlignment="1" applyProtection="1">
      <alignment horizontal="center"/>
    </xf>
    <xf numFmtId="2" fontId="39" fillId="0" borderId="55" xfId="0" applyNumberFormat="1" applyFont="1" applyFill="1" applyBorder="1" applyAlignment="1" applyProtection="1">
      <alignment horizontal="center" vertical="center"/>
    </xf>
    <xf numFmtId="0" fontId="28" fillId="0" borderId="49" xfId="0" applyFont="1" applyFill="1" applyBorder="1" applyAlignment="1" applyProtection="1">
      <alignment horizontal="center"/>
    </xf>
    <xf numFmtId="0" fontId="39" fillId="2" borderId="52" xfId="0" applyFont="1" applyFill="1" applyBorder="1" applyAlignment="1" applyProtection="1">
      <alignment horizontal="center" vertical="center"/>
      <protection locked="0"/>
    </xf>
    <xf numFmtId="2" fontId="39" fillId="0" borderId="0" xfId="0" applyNumberFormat="1" applyFont="1" applyFill="1" applyBorder="1" applyAlignment="1" applyProtection="1">
      <alignment horizontal="center" vertical="center"/>
    </xf>
    <xf numFmtId="2" fontId="39" fillId="0" borderId="52" xfId="0" applyNumberFormat="1" applyFont="1" applyFill="1" applyBorder="1" applyAlignment="1" applyProtection="1">
      <alignment horizontal="center" vertical="center"/>
    </xf>
    <xf numFmtId="173" fontId="39" fillId="0" borderId="51" xfId="0" applyNumberFormat="1" applyFont="1" applyFill="1" applyBorder="1" applyAlignment="1" applyProtection="1">
      <alignment horizontal="center" vertical="center"/>
    </xf>
    <xf numFmtId="174" fontId="39" fillId="0" borderId="51" xfId="0" applyNumberFormat="1" applyFont="1" applyFill="1" applyBorder="1" applyAlignment="1" applyProtection="1">
      <alignment horizontal="center" vertical="center"/>
    </xf>
    <xf numFmtId="2" fontId="39" fillId="0" borderId="0" xfId="0" applyNumberFormat="1" applyFont="1" applyFill="1" applyBorder="1" applyAlignment="1" applyProtection="1">
      <alignment horizontal="center"/>
    </xf>
    <xf numFmtId="0" fontId="39" fillId="0" borderId="7" xfId="0" applyFont="1" applyFill="1" applyBorder="1" applyAlignment="1" applyProtection="1">
      <alignment horizontal="centerContinuous" vertical="center"/>
    </xf>
    <xf numFmtId="0" fontId="28" fillId="0" borderId="19" xfId="0" applyFont="1" applyFill="1" applyBorder="1" applyAlignment="1" applyProtection="1"/>
    <xf numFmtId="2" fontId="39" fillId="0" borderId="54" xfId="0" applyNumberFormat="1" applyFont="1" applyFill="1" applyBorder="1" applyAlignment="1" applyProtection="1">
      <alignment horizontal="center" vertical="center"/>
    </xf>
    <xf numFmtId="173" fontId="39" fillId="0" borderId="0" xfId="0" applyNumberFormat="1" applyFont="1" applyFill="1" applyBorder="1" applyAlignment="1" applyProtection="1">
      <alignment horizontal="center" vertical="center"/>
    </xf>
    <xf numFmtId="0" fontId="39" fillId="0" borderId="52" xfId="0" applyFont="1" applyFill="1" applyBorder="1" applyProtection="1">
      <alignment vertical="center"/>
    </xf>
    <xf numFmtId="0" fontId="39" fillId="0" borderId="52" xfId="0" applyFont="1" applyFill="1" applyBorder="1" applyAlignment="1" applyProtection="1">
      <alignment horizontal="center" vertical="center"/>
    </xf>
    <xf numFmtId="0" fontId="39" fillId="0" borderId="51" xfId="0" applyFont="1" applyFill="1" applyBorder="1" applyAlignment="1" applyProtection="1">
      <alignment horizontal="center" vertical="center"/>
    </xf>
    <xf numFmtId="0" fontId="39" fillId="0" borderId="30" xfId="0" applyFont="1" applyFill="1" applyBorder="1" applyAlignment="1" applyProtection="1">
      <alignment horizontal="centerContinuous" vertical="center"/>
    </xf>
    <xf numFmtId="172" fontId="39" fillId="0" borderId="7" xfId="0" applyNumberFormat="1" applyFont="1" applyFill="1" applyBorder="1" applyAlignment="1" applyProtection="1">
      <alignment horizontal="center" vertical="center"/>
    </xf>
    <xf numFmtId="0" fontId="39" fillId="0" borderId="0" xfId="0" applyFont="1" applyFill="1" applyBorder="1" applyAlignment="1" applyProtection="1">
      <alignment horizontal="centerContinuous" vertical="center"/>
    </xf>
    <xf numFmtId="0" fontId="28" fillId="0" borderId="0" xfId="0" applyFont="1" applyFill="1" applyBorder="1" applyAlignment="1" applyProtection="1">
      <alignment horizontal="left"/>
    </xf>
    <xf numFmtId="0" fontId="31" fillId="0" borderId="0" xfId="0" applyFont="1" applyFill="1" applyBorder="1" applyAlignment="1" applyProtection="1">
      <alignment horizontal="left"/>
    </xf>
    <xf numFmtId="0" fontId="28" fillId="0" borderId="10" xfId="0" applyFont="1" applyFill="1" applyBorder="1" applyAlignment="1" applyProtection="1">
      <alignment horizontal="left"/>
    </xf>
    <xf numFmtId="0" fontId="39" fillId="0" borderId="0" xfId="0" applyFont="1" applyFill="1" applyBorder="1" applyAlignment="1" applyProtection="1">
      <alignment horizontal="left" vertical="center"/>
    </xf>
    <xf numFmtId="0" fontId="32" fillId="0" borderId="0" xfId="0" applyFont="1" applyFill="1" applyBorder="1" applyProtection="1">
      <alignment vertical="center"/>
    </xf>
    <xf numFmtId="0" fontId="38" fillId="0" borderId="0" xfId="0" applyFont="1" applyFill="1" applyBorder="1" applyAlignment="1" applyProtection="1">
      <alignment horizontal="left" vertical="center"/>
    </xf>
    <xf numFmtId="9" fontId="28" fillId="0" borderId="51" xfId="0" applyNumberFormat="1" applyFont="1" applyFill="1" applyBorder="1" applyAlignment="1" applyProtection="1">
      <alignment horizontal="center"/>
    </xf>
    <xf numFmtId="0" fontId="45" fillId="2" borderId="30" xfId="0" applyFont="1" applyFill="1" applyBorder="1" applyAlignment="1" applyProtection="1">
      <protection locked="0"/>
    </xf>
    <xf numFmtId="0" fontId="28" fillId="2" borderId="30" xfId="0" applyFont="1" applyFill="1" applyBorder="1" applyAlignment="1" applyProtection="1"/>
    <xf numFmtId="0" fontId="45" fillId="2" borderId="30" xfId="0" applyFont="1" applyFill="1" applyBorder="1" applyAlignment="1" applyProtection="1"/>
    <xf numFmtId="0" fontId="32" fillId="0" borderId="0" xfId="0" applyFont="1" applyFill="1" applyBorder="1" applyAlignment="1" applyProtection="1"/>
    <xf numFmtId="0" fontId="28" fillId="0" borderId="51" xfId="0" applyFont="1" applyFill="1" applyBorder="1" applyAlignment="1" applyProtection="1"/>
    <xf numFmtId="0" fontId="28" fillId="0" borderId="51" xfId="0" applyFont="1" applyFill="1" applyBorder="1" applyAlignment="1" applyProtection="1">
      <alignment horizontal="center"/>
    </xf>
    <xf numFmtId="0" fontId="28" fillId="2" borderId="51" xfId="0" applyFont="1" applyFill="1" applyBorder="1" applyAlignment="1" applyProtection="1">
      <alignment horizontal="center"/>
      <protection locked="0"/>
    </xf>
    <xf numFmtId="1" fontId="28" fillId="0" borderId="51" xfId="0" applyNumberFormat="1" applyFont="1" applyFill="1" applyBorder="1" applyAlignment="1" applyProtection="1">
      <alignment horizontal="center"/>
    </xf>
    <xf numFmtId="2" fontId="28" fillId="0" borderId="51" xfId="0" applyNumberFormat="1" applyFont="1" applyFill="1" applyBorder="1" applyAlignment="1" applyProtection="1">
      <alignment horizontal="center"/>
    </xf>
    <xf numFmtId="175" fontId="28" fillId="0" borderId="51" xfId="0" applyNumberFormat="1" applyFont="1" applyFill="1" applyBorder="1" applyAlignment="1" applyProtection="1">
      <alignment horizontal="center"/>
    </xf>
    <xf numFmtId="176" fontId="28" fillId="0" borderId="51" xfId="0" applyNumberFormat="1" applyFont="1" applyFill="1" applyBorder="1" applyAlignment="1" applyProtection="1">
      <alignment horizontal="center"/>
    </xf>
    <xf numFmtId="175" fontId="28" fillId="0" borderId="0" xfId="0" applyNumberFormat="1" applyFont="1" applyFill="1" applyBorder="1" applyAlignment="1" applyProtection="1">
      <alignment horizontal="center"/>
    </xf>
    <xf numFmtId="9" fontId="28" fillId="0" borderId="0" xfId="0" applyNumberFormat="1" applyFont="1" applyFill="1" applyBorder="1" applyAlignment="1" applyProtection="1">
      <alignment horizontal="center"/>
    </xf>
    <xf numFmtId="176" fontId="28" fillId="0" borderId="0" xfId="0" applyNumberFormat="1" applyFont="1" applyFill="1" applyBorder="1" applyAlignment="1" applyProtection="1">
      <alignment horizontal="center"/>
    </xf>
    <xf numFmtId="177" fontId="28" fillId="0" borderId="51" xfId="0" applyNumberFormat="1" applyFont="1" applyFill="1" applyBorder="1" applyAlignment="1" applyProtection="1"/>
    <xf numFmtId="0" fontId="28" fillId="0" borderId="30" xfId="0" applyFont="1" applyFill="1" applyBorder="1" applyAlignment="1" applyProtection="1"/>
    <xf numFmtId="178" fontId="29" fillId="0" borderId="30" xfId="0" applyNumberFormat="1" applyFont="1" applyFill="1" applyBorder="1" applyAlignment="1" applyProtection="1">
      <alignment horizontal="center"/>
    </xf>
    <xf numFmtId="0" fontId="45" fillId="0" borderId="30" xfId="0" applyFont="1" applyFill="1" applyBorder="1" applyAlignment="1" applyProtection="1"/>
    <xf numFmtId="0" fontId="46" fillId="0" borderId="0" xfId="0" applyFont="1" applyFill="1" applyBorder="1" applyAlignment="1" applyProtection="1">
      <alignment horizontal="left"/>
    </xf>
    <xf numFmtId="179" fontId="28" fillId="0" borderId="51" xfId="0" applyNumberFormat="1" applyFont="1" applyFill="1" applyBorder="1" applyAlignment="1" applyProtection="1">
      <alignment horizontal="center"/>
    </xf>
    <xf numFmtId="0" fontId="45" fillId="0" borderId="0" xfId="0" applyFont="1" applyFill="1" applyBorder="1" applyAlignment="1" applyProtection="1"/>
    <xf numFmtId="180" fontId="28" fillId="0" borderId="51" xfId="0" applyNumberFormat="1" applyFont="1" applyFill="1" applyBorder="1" applyAlignment="1" applyProtection="1">
      <alignment horizontal="center"/>
    </xf>
    <xf numFmtId="173" fontId="28" fillId="0" borderId="51" xfId="0" applyNumberFormat="1" applyFont="1" applyFill="1" applyBorder="1" applyAlignment="1" applyProtection="1">
      <alignment horizontal="center"/>
    </xf>
    <xf numFmtId="9" fontId="28" fillId="0" borderId="0" xfId="0" applyNumberFormat="1" applyFont="1" applyFill="1" applyBorder="1" applyAlignment="1" applyProtection="1"/>
    <xf numFmtId="170" fontId="28" fillId="0" borderId="0" xfId="0" applyNumberFormat="1" applyFont="1" applyFill="1" applyBorder="1" applyAlignment="1" applyProtection="1"/>
    <xf numFmtId="170" fontId="28" fillId="0" borderId="0" xfId="0" applyNumberFormat="1" applyFont="1" applyFill="1" applyBorder="1" applyAlignment="1" applyProtection="1">
      <alignment horizontal="right"/>
    </xf>
    <xf numFmtId="170" fontId="33" fillId="0" borderId="0" xfId="0" applyNumberFormat="1" applyFont="1" applyFill="1" applyBorder="1" applyAlignment="1" applyProtection="1">
      <alignment horizontal="right"/>
    </xf>
    <xf numFmtId="170" fontId="33" fillId="0" borderId="0" xfId="0" applyNumberFormat="1" applyFont="1" applyFill="1" applyBorder="1" applyAlignment="1" applyProtection="1">
      <alignment horizontal="left"/>
    </xf>
    <xf numFmtId="10" fontId="28" fillId="0" borderId="0" xfId="0" applyNumberFormat="1" applyFont="1" applyFill="1" applyBorder="1" applyAlignment="1" applyProtection="1"/>
    <xf numFmtId="9" fontId="28" fillId="0" borderId="10" xfId="0" applyNumberFormat="1" applyFont="1" applyFill="1" applyBorder="1" applyAlignment="1" applyProtection="1"/>
    <xf numFmtId="170" fontId="28" fillId="0" borderId="10" xfId="0" applyNumberFormat="1" applyFont="1" applyFill="1" applyBorder="1" applyAlignment="1" applyProtection="1"/>
    <xf numFmtId="170" fontId="28" fillId="0" borderId="10" xfId="0" applyNumberFormat="1" applyFont="1" applyFill="1" applyBorder="1" applyAlignment="1" applyProtection="1">
      <alignment horizontal="right"/>
    </xf>
    <xf numFmtId="181" fontId="28" fillId="0" borderId="0" xfId="0" applyNumberFormat="1" applyFont="1" applyFill="1" applyBorder="1" applyAlignment="1" applyProtection="1">
      <alignment horizontal="center"/>
    </xf>
    <xf numFmtId="9" fontId="39" fillId="0" borderId="0" xfId="0" applyNumberFormat="1" applyFont="1" applyFill="1" applyBorder="1" applyAlignment="1" applyProtection="1"/>
    <xf numFmtId="170" fontId="39" fillId="0" borderId="0" xfId="0" applyNumberFormat="1" applyFont="1" applyFill="1" applyBorder="1" applyAlignment="1" applyProtection="1"/>
    <xf numFmtId="0" fontId="28" fillId="0" borderId="5" xfId="0" applyFont="1" applyFill="1" applyBorder="1" applyAlignment="1" applyProtection="1"/>
    <xf numFmtId="181" fontId="29" fillId="0" borderId="54" xfId="0" applyNumberFormat="1" applyFont="1" applyFill="1" applyBorder="1" applyAlignment="1" applyProtection="1">
      <alignment horizontal="center" wrapText="1"/>
    </xf>
    <xf numFmtId="10" fontId="29" fillId="0" borderId="54" xfId="0" applyNumberFormat="1" applyFont="1" applyFill="1" applyBorder="1" applyAlignment="1" applyProtection="1">
      <alignment horizontal="center" wrapText="1"/>
    </xf>
    <xf numFmtId="0" fontId="29" fillId="0" borderId="56" xfId="0" applyFont="1" applyFill="1" applyBorder="1" applyAlignment="1" applyProtection="1"/>
    <xf numFmtId="0" fontId="28" fillId="0" borderId="57" xfId="0" applyFont="1" applyFill="1" applyBorder="1" applyAlignment="1" applyProtection="1"/>
    <xf numFmtId="9" fontId="28" fillId="0" borderId="57" xfId="0" applyNumberFormat="1" applyFont="1" applyFill="1" applyBorder="1" applyAlignment="1" applyProtection="1"/>
    <xf numFmtId="170" fontId="28" fillId="0" borderId="57" xfId="0" applyNumberFormat="1" applyFont="1" applyFill="1" applyBorder="1" applyAlignment="1" applyProtection="1"/>
    <xf numFmtId="182" fontId="29" fillId="0" borderId="58" xfId="0" applyNumberFormat="1" applyFont="1" applyFill="1" applyBorder="1" applyAlignment="1" applyProtection="1">
      <alignment horizontal="center"/>
    </xf>
    <xf numFmtId="10" fontId="29" fillId="0" borderId="58" xfId="0" applyNumberFormat="1" applyFont="1" applyFill="1" applyBorder="1" applyAlignment="1" applyProtection="1">
      <alignment horizontal="center"/>
    </xf>
    <xf numFmtId="0" fontId="28" fillId="2" borderId="52" xfId="0" applyFont="1" applyFill="1" applyBorder="1" applyAlignment="1" applyProtection="1">
      <protection locked="0"/>
    </xf>
    <xf numFmtId="0" fontId="28" fillId="2" borderId="53" xfId="0" applyFont="1" applyFill="1" applyBorder="1" applyAlignment="1" applyProtection="1">
      <protection locked="0"/>
    </xf>
    <xf numFmtId="9" fontId="28" fillId="2" borderId="51" xfId="0" applyNumberFormat="1" applyFont="1" applyFill="1" applyBorder="1" applyAlignment="1" applyProtection="1">
      <protection locked="0"/>
    </xf>
    <xf numFmtId="170" fontId="28" fillId="0" borderId="55" xfId="0" applyNumberFormat="1" applyFont="1" applyFill="1" applyBorder="1" applyAlignment="1" applyProtection="1"/>
    <xf numFmtId="181" fontId="28" fillId="0" borderId="59" xfId="0" applyNumberFormat="1" applyFont="1" applyFill="1" applyBorder="1" applyAlignment="1" applyProtection="1">
      <alignment horizontal="center"/>
    </xf>
    <xf numFmtId="181" fontId="29" fillId="0" borderId="59" xfId="0" applyNumberFormat="1" applyFont="1" applyFill="1" applyBorder="1" applyAlignment="1" applyProtection="1">
      <alignment horizontal="center"/>
    </xf>
    <xf numFmtId="10" fontId="28" fillId="0" borderId="59" xfId="0" applyNumberFormat="1" applyFont="1" applyFill="1" applyBorder="1" applyAlignment="1" applyProtection="1">
      <alignment horizontal="center"/>
    </xf>
    <xf numFmtId="10" fontId="29" fillId="0" borderId="59" xfId="0" applyNumberFormat="1" applyFont="1" applyFill="1" applyBorder="1" applyAlignment="1" applyProtection="1">
      <alignment horizontal="center"/>
    </xf>
    <xf numFmtId="0" fontId="28" fillId="2" borderId="60" xfId="0" applyFont="1" applyFill="1" applyBorder="1" applyAlignment="1" applyProtection="1">
      <protection locked="0"/>
    </xf>
    <xf numFmtId="0" fontId="28" fillId="2" borderId="61" xfId="0" applyFont="1" applyFill="1" applyBorder="1" applyAlignment="1" applyProtection="1">
      <protection locked="0"/>
    </xf>
    <xf numFmtId="9" fontId="28" fillId="2" borderId="62" xfId="0" applyNumberFormat="1" applyFont="1" applyFill="1" applyBorder="1" applyAlignment="1" applyProtection="1">
      <protection locked="0"/>
    </xf>
    <xf numFmtId="181" fontId="28" fillId="0" borderId="63" xfId="0" applyNumberFormat="1" applyFont="1" applyFill="1" applyBorder="1" applyAlignment="1" applyProtection="1">
      <alignment horizontal="center"/>
    </xf>
    <xf numFmtId="10" fontId="28" fillId="0" borderId="63" xfId="0" applyNumberFormat="1" applyFont="1" applyFill="1" applyBorder="1" applyAlignment="1" applyProtection="1">
      <alignment horizontal="center"/>
    </xf>
    <xf numFmtId="181" fontId="29" fillId="0" borderId="58" xfId="0" applyNumberFormat="1" applyFont="1" applyFill="1" applyBorder="1" applyAlignment="1" applyProtection="1">
      <alignment horizontal="center"/>
    </xf>
    <xf numFmtId="0" fontId="29" fillId="0" borderId="56" xfId="0" quotePrefix="1" applyFont="1" applyFill="1" applyBorder="1" applyAlignment="1" applyProtection="1">
      <alignment horizontal="left"/>
    </xf>
    <xf numFmtId="170" fontId="28" fillId="0" borderId="64" xfId="0" applyNumberFormat="1" applyFont="1" applyFill="1" applyBorder="1" applyAlignment="1" applyProtection="1"/>
    <xf numFmtId="181" fontId="28" fillId="0" borderId="51" xfId="0" applyNumberFormat="1" applyFont="1" applyFill="1" applyBorder="1" applyAlignment="1" applyProtection="1">
      <alignment horizontal="center"/>
    </xf>
    <xf numFmtId="10" fontId="29" fillId="0" borderId="51" xfId="0" applyNumberFormat="1" applyFont="1" applyFill="1" applyBorder="1" applyAlignment="1" applyProtection="1">
      <alignment horizontal="center"/>
    </xf>
    <xf numFmtId="1" fontId="28" fillId="0" borderId="0" xfId="0" applyNumberFormat="1" applyFont="1" applyFill="1" applyBorder="1" applyAlignment="1" applyProtection="1">
      <alignment horizontal="right"/>
    </xf>
    <xf numFmtId="1" fontId="29" fillId="0" borderId="0" xfId="0" applyNumberFormat="1" applyFont="1" applyFill="1" applyBorder="1" applyAlignment="1" applyProtection="1">
      <alignment horizontal="right"/>
    </xf>
    <xf numFmtId="1" fontId="28" fillId="0" borderId="0" xfId="0" applyNumberFormat="1" applyFont="1" applyFill="1" applyBorder="1" applyAlignment="1" applyProtection="1"/>
    <xf numFmtId="2" fontId="28" fillId="0" borderId="0" xfId="0" applyNumberFormat="1" applyFont="1" applyFill="1" applyBorder="1" applyAlignment="1" applyProtection="1">
      <alignment horizontal="center"/>
    </xf>
    <xf numFmtId="0" fontId="40" fillId="0" borderId="0" xfId="0" applyFont="1" applyFill="1" applyBorder="1" applyProtection="1">
      <alignment vertical="center"/>
    </xf>
    <xf numFmtId="0" fontId="39" fillId="0" borderId="5" xfId="0" applyFont="1" applyFill="1" applyBorder="1" applyAlignment="1" applyProtection="1"/>
    <xf numFmtId="0" fontId="39" fillId="0" borderId="4" xfId="0" applyFont="1" applyFill="1" applyBorder="1" applyAlignment="1" applyProtection="1"/>
    <xf numFmtId="0" fontId="39" fillId="0" borderId="54" xfId="0" applyFont="1" applyFill="1" applyBorder="1" applyAlignment="1" applyProtection="1">
      <alignment horizontal="center"/>
    </xf>
    <xf numFmtId="0" fontId="39" fillId="0" borderId="19" xfId="0" applyFont="1" applyFill="1" applyBorder="1" applyAlignment="1" applyProtection="1"/>
    <xf numFmtId="0" fontId="39" fillId="0" borderId="7" xfId="0" applyFont="1" applyFill="1" applyBorder="1" applyAlignment="1" applyProtection="1"/>
    <xf numFmtId="0" fontId="39" fillId="0" borderId="7" xfId="0" applyFont="1" applyFill="1" applyBorder="1" applyAlignment="1" applyProtection="1">
      <alignment horizontal="center"/>
    </xf>
    <xf numFmtId="2" fontId="39" fillId="0" borderId="7" xfId="0" applyNumberFormat="1" applyFont="1" applyFill="1" applyBorder="1" applyAlignment="1" applyProtection="1">
      <alignment horizontal="center"/>
    </xf>
    <xf numFmtId="173" fontId="39" fillId="0" borderId="7" xfId="0" applyNumberFormat="1" applyFont="1" applyFill="1" applyBorder="1" applyAlignment="1" applyProtection="1">
      <alignment horizontal="center"/>
    </xf>
    <xf numFmtId="1" fontId="39" fillId="0" borderId="7" xfId="0" applyNumberFormat="1" applyFont="1" applyFill="1" applyBorder="1" applyAlignment="1" applyProtection="1">
      <alignment horizontal="center"/>
    </xf>
    <xf numFmtId="173" fontId="39" fillId="0" borderId="49" xfId="0" applyNumberFormat="1" applyFont="1" applyFill="1" applyBorder="1" applyAlignment="1" applyProtection="1">
      <alignment horizontal="center"/>
    </xf>
    <xf numFmtId="174" fontId="39" fillId="0" borderId="0" xfId="0" applyNumberFormat="1" applyFont="1" applyFill="1" applyBorder="1" applyAlignment="1" applyProtection="1">
      <alignment horizontal="center"/>
    </xf>
    <xf numFmtId="2" fontId="39" fillId="4" borderId="7" xfId="0" applyNumberFormat="1" applyFont="1" applyFill="1" applyBorder="1" applyAlignment="1" applyProtection="1">
      <alignment horizontal="center"/>
    </xf>
    <xf numFmtId="173" fontId="39" fillId="4" borderId="7" xfId="0" applyNumberFormat="1" applyFont="1" applyFill="1" applyBorder="1" applyAlignment="1" applyProtection="1">
      <alignment horizontal="center"/>
    </xf>
    <xf numFmtId="1" fontId="39" fillId="3" borderId="7" xfId="0" applyNumberFormat="1" applyFont="1" applyFill="1" applyBorder="1" applyAlignment="1" applyProtection="1">
      <alignment horizontal="center"/>
    </xf>
    <xf numFmtId="174" fontId="39" fillId="4" borderId="33" xfId="0" applyNumberFormat="1" applyFont="1" applyFill="1" applyBorder="1" applyAlignment="1" applyProtection="1">
      <alignment horizontal="center"/>
    </xf>
    <xf numFmtId="2" fontId="39" fillId="4" borderId="52" xfId="0" applyNumberFormat="1" applyFont="1" applyFill="1" applyBorder="1" applyAlignment="1" applyProtection="1">
      <alignment horizontal="center"/>
    </xf>
    <xf numFmtId="0" fontId="39" fillId="4" borderId="65" xfId="0" applyFont="1" applyFill="1" applyBorder="1" applyAlignment="1" applyProtection="1">
      <alignment horizontal="center"/>
    </xf>
    <xf numFmtId="2" fontId="39" fillId="0" borderId="52" xfId="0" applyNumberFormat="1" applyFont="1" applyFill="1" applyBorder="1" applyAlignment="1" applyProtection="1">
      <alignment horizontal="center"/>
    </xf>
    <xf numFmtId="1" fontId="39" fillId="0" borderId="52" xfId="0" applyNumberFormat="1" applyFont="1" applyFill="1" applyBorder="1" applyAlignment="1" applyProtection="1">
      <alignment horizontal="center"/>
    </xf>
    <xf numFmtId="174" fontId="39" fillId="0" borderId="33" xfId="0" applyNumberFormat="1" applyFont="1" applyFill="1" applyBorder="1" applyAlignment="1" applyProtection="1">
      <alignment horizontal="center"/>
    </xf>
    <xf numFmtId="0" fontId="39" fillId="0" borderId="65" xfId="0" applyFont="1" applyFill="1" applyBorder="1" applyAlignment="1" applyProtection="1">
      <alignment horizontal="center"/>
    </xf>
    <xf numFmtId="180" fontId="39" fillId="3" borderId="64" xfId="0" applyNumberFormat="1" applyFont="1" applyFill="1" applyBorder="1" applyAlignment="1" applyProtection="1">
      <alignment horizontal="center"/>
    </xf>
    <xf numFmtId="173" fontId="39" fillId="3" borderId="64" xfId="0" applyNumberFormat="1" applyFont="1" applyFill="1" applyBorder="1" applyAlignment="1" applyProtection="1">
      <alignment horizontal="center"/>
    </xf>
    <xf numFmtId="174" fontId="39" fillId="0" borderId="30" xfId="0" applyNumberFormat="1" applyFont="1" applyFill="1" applyBorder="1" applyAlignment="1" applyProtection="1">
      <alignment horizontal="center"/>
      <protection locked="0"/>
    </xf>
    <xf numFmtId="174" fontId="39" fillId="0" borderId="30" xfId="0" applyNumberFormat="1" applyFont="1" applyFill="1" applyBorder="1" applyAlignment="1" applyProtection="1">
      <alignment horizontal="center"/>
    </xf>
    <xf numFmtId="2" fontId="39" fillId="0" borderId="0" xfId="0" applyNumberFormat="1" applyFont="1" applyFill="1" applyBorder="1" applyAlignment="1" applyProtection="1">
      <alignment horizontal="right"/>
    </xf>
    <xf numFmtId="0" fontId="39" fillId="2" borderId="51" xfId="0" applyFont="1" applyFill="1" applyBorder="1" applyAlignment="1" applyProtection="1">
      <alignment horizontal="center"/>
      <protection locked="0"/>
    </xf>
    <xf numFmtId="172" fontId="39" fillId="0" borderId="0" xfId="0" applyNumberFormat="1" applyFont="1" applyFill="1" applyBorder="1" applyAlignment="1" applyProtection="1">
      <alignment horizontal="center"/>
    </xf>
    <xf numFmtId="1" fontId="39" fillId="0" borderId="0" xfId="0" applyNumberFormat="1" applyFont="1" applyFill="1" applyBorder="1" applyAlignment="1" applyProtection="1">
      <alignment horizontal="center"/>
    </xf>
    <xf numFmtId="180" fontId="39" fillId="0" borderId="0" xfId="0" applyNumberFormat="1" applyFont="1" applyFill="1" applyBorder="1" applyAlignment="1" applyProtection="1">
      <alignment horizontal="center"/>
    </xf>
    <xf numFmtId="0" fontId="39" fillId="0" borderId="0" xfId="0" applyFont="1" applyFill="1" applyBorder="1" applyAlignment="1" applyProtection="1">
      <alignment horizontal="right"/>
    </xf>
    <xf numFmtId="2" fontId="39" fillId="0" borderId="65" xfId="0" applyNumberFormat="1" applyFont="1" applyFill="1" applyBorder="1" applyAlignment="1" applyProtection="1">
      <alignment horizontal="center"/>
    </xf>
    <xf numFmtId="172" fontId="39" fillId="0" borderId="0" xfId="0" applyNumberFormat="1" applyFont="1" applyFill="1" applyBorder="1" applyAlignment="1" applyProtection="1">
      <alignment horizontal="left"/>
    </xf>
    <xf numFmtId="2" fontId="39" fillId="0" borderId="65" xfId="0" applyNumberFormat="1" applyFont="1" applyFill="1" applyBorder="1" applyAlignment="1" applyProtection="1">
      <alignment horizontal="center" vertical="center"/>
    </xf>
    <xf numFmtId="180" fontId="39" fillId="0" borderId="0" xfId="0" applyNumberFormat="1" applyFont="1" applyFill="1" applyBorder="1" applyAlignment="1" applyProtection="1">
      <alignment horizontal="center" vertical="center"/>
    </xf>
    <xf numFmtId="0" fontId="39" fillId="0" borderId="19" xfId="0" applyFont="1" applyFill="1" applyBorder="1" applyAlignment="1" applyProtection="1">
      <alignment horizontal="right" vertical="center"/>
    </xf>
    <xf numFmtId="1" fontId="39" fillId="0" borderId="66" xfId="0" applyNumberFormat="1" applyFont="1" applyFill="1" applyBorder="1" applyAlignment="1" applyProtection="1">
      <alignment horizontal="center" vertical="center"/>
    </xf>
    <xf numFmtId="1" fontId="39" fillId="0" borderId="65" xfId="0" applyNumberFormat="1" applyFont="1" applyFill="1" applyBorder="1" applyAlignment="1" applyProtection="1">
      <alignment horizontal="center" vertical="center"/>
    </xf>
    <xf numFmtId="1" fontId="39" fillId="0" borderId="49" xfId="0" applyNumberFormat="1" applyFont="1" applyFill="1" applyBorder="1" applyAlignment="1" applyProtection="1">
      <alignment horizontal="center" vertical="center"/>
    </xf>
    <xf numFmtId="169" fontId="39" fillId="2" borderId="52" xfId="0" applyNumberFormat="1" applyFont="1" applyFill="1" applyBorder="1" applyAlignment="1" applyProtection="1">
      <alignment horizontal="center"/>
      <protection locked="0"/>
    </xf>
    <xf numFmtId="174" fontId="39" fillId="0" borderId="51" xfId="0" applyNumberFormat="1" applyFont="1" applyFill="1" applyBorder="1" applyAlignment="1" applyProtection="1">
      <alignment horizontal="center"/>
    </xf>
    <xf numFmtId="169" fontId="39" fillId="2" borderId="7" xfId="0" applyNumberFormat="1" applyFont="1" applyFill="1" applyBorder="1" applyAlignment="1" applyProtection="1">
      <alignment horizontal="center"/>
      <protection locked="0"/>
    </xf>
    <xf numFmtId="174" fontId="39" fillId="0" borderId="49" xfId="0" applyNumberFormat="1" applyFont="1" applyFill="1" applyBorder="1" applyAlignment="1" applyProtection="1">
      <alignment horizontal="center"/>
    </xf>
    <xf numFmtId="169" fontId="39" fillId="0" borderId="7" xfId="0" applyNumberFormat="1" applyFont="1" applyFill="1" applyBorder="1" applyAlignment="1" applyProtection="1">
      <alignment horizontal="center"/>
      <protection locked="0"/>
    </xf>
    <xf numFmtId="169" fontId="39" fillId="0" borderId="31" xfId="0" applyNumberFormat="1" applyFont="1" applyFill="1" applyBorder="1" applyAlignment="1" applyProtection="1">
      <alignment horizontal="center" vertical="center"/>
    </xf>
    <xf numFmtId="174" fontId="39" fillId="0" borderId="65" xfId="0" applyNumberFormat="1" applyFont="1" applyFill="1" applyBorder="1" applyAlignment="1" applyProtection="1">
      <alignment horizontal="center"/>
    </xf>
    <xf numFmtId="0" fontId="49" fillId="0" borderId="0" xfId="0" applyFont="1" applyFill="1" applyBorder="1" applyAlignment="1" applyProtection="1"/>
    <xf numFmtId="0" fontId="40" fillId="0" borderId="0" xfId="0" applyFont="1" applyFill="1" applyBorder="1" applyAlignment="1" applyProtection="1">
      <alignment horizontal="right"/>
    </xf>
    <xf numFmtId="2" fontId="40" fillId="2" borderId="2" xfId="0" applyNumberFormat="1" applyFont="1" applyFill="1" applyBorder="1" applyAlignment="1" applyProtection="1">
      <alignment horizontal="center"/>
      <protection locked="0"/>
    </xf>
    <xf numFmtId="0" fontId="40" fillId="0" borderId="44" xfId="0" applyFont="1" applyFill="1" applyBorder="1" applyAlignment="1" applyProtection="1">
      <alignment horizontal="center"/>
    </xf>
    <xf numFmtId="0" fontId="35" fillId="0" borderId="0" xfId="0" applyFont="1" applyFill="1" applyBorder="1" applyAlignment="1" applyProtection="1">
      <alignment horizontal="center"/>
    </xf>
    <xf numFmtId="0" fontId="40" fillId="2" borderId="2" xfId="0" applyFont="1" applyFill="1" applyBorder="1" applyAlignment="1" applyProtection="1">
      <alignment horizontal="center"/>
      <protection locked="0"/>
    </xf>
    <xf numFmtId="0" fontId="40" fillId="0" borderId="2" xfId="0" applyFont="1" applyFill="1" applyBorder="1" applyAlignment="1" applyProtection="1">
      <alignment horizontal="center"/>
    </xf>
    <xf numFmtId="0" fontId="40" fillId="0" borderId="11" xfId="0" applyFont="1" applyFill="1" applyBorder="1" applyAlignment="1" applyProtection="1"/>
    <xf numFmtId="0" fontId="40" fillId="0" borderId="2" xfId="0" applyFont="1" applyFill="1" applyBorder="1" applyAlignment="1" applyProtection="1"/>
    <xf numFmtId="0" fontId="40" fillId="0" borderId="30" xfId="0" applyFont="1" applyFill="1" applyBorder="1" applyAlignment="1" applyProtection="1"/>
    <xf numFmtId="0" fontId="40" fillId="0" borderId="7" xfId="0" applyFont="1" applyFill="1" applyBorder="1" applyAlignment="1" applyProtection="1"/>
    <xf numFmtId="0" fontId="47" fillId="0" borderId="0" xfId="0" applyFont="1" applyFill="1" applyBorder="1" applyAlignment="1" applyProtection="1"/>
    <xf numFmtId="0" fontId="33" fillId="0" borderId="0" xfId="0" applyFont="1" applyFill="1" applyBorder="1" applyAlignment="1" applyProtection="1"/>
    <xf numFmtId="0" fontId="28" fillId="0" borderId="0" xfId="0" applyFont="1" applyFill="1" applyBorder="1" applyAlignment="1" applyProtection="1">
      <alignment horizontal="left" vertical="center"/>
    </xf>
    <xf numFmtId="0" fontId="29" fillId="0" borderId="0" xfId="0" applyFont="1" applyFill="1" applyBorder="1" applyAlignment="1" applyProtection="1">
      <alignment horizontal="left" vertical="center"/>
    </xf>
    <xf numFmtId="0" fontId="28" fillId="0" borderId="0" xfId="0" applyFont="1" applyFill="1" applyBorder="1" applyAlignment="1" applyProtection="1">
      <alignment horizontal="center" vertical="center"/>
    </xf>
    <xf numFmtId="0" fontId="28" fillId="0" borderId="0" xfId="0" applyFont="1" applyFill="1" applyBorder="1" applyAlignment="1" applyProtection="1">
      <alignment horizontal="right" vertical="center"/>
    </xf>
    <xf numFmtId="1" fontId="28" fillId="0" borderId="0" xfId="0" applyNumberFormat="1" applyFont="1" applyFill="1" applyBorder="1" applyAlignment="1" applyProtection="1">
      <alignment horizontal="left" vertical="center"/>
    </xf>
    <xf numFmtId="2" fontId="28" fillId="0" borderId="0" xfId="0" applyNumberFormat="1" applyFont="1" applyFill="1" applyBorder="1" applyAlignment="1" applyProtection="1">
      <alignment horizontal="left"/>
    </xf>
    <xf numFmtId="0" fontId="29" fillId="0" borderId="22" xfId="0" applyFont="1" applyFill="1" applyBorder="1" applyProtection="1">
      <alignment vertical="center"/>
    </xf>
    <xf numFmtId="0" fontId="39" fillId="0" borderId="23" xfId="0" applyFont="1" applyFill="1" applyBorder="1" applyAlignment="1" applyProtection="1">
      <alignment horizontal="centerContinuous" vertical="center"/>
    </xf>
    <xf numFmtId="0" fontId="40" fillId="0" borderId="24" xfId="0" applyFont="1" applyFill="1" applyBorder="1" applyAlignment="1" applyProtection="1">
      <alignment horizontal="center" vertical="center"/>
    </xf>
    <xf numFmtId="0" fontId="39" fillId="0" borderId="29" xfId="0" applyFont="1" applyFill="1" applyBorder="1" applyAlignment="1" applyProtection="1"/>
    <xf numFmtId="0" fontId="39" fillId="0" borderId="30" xfId="0" applyFont="1" applyFill="1" applyBorder="1" applyAlignment="1" applyProtection="1">
      <alignment horizontal="right"/>
    </xf>
    <xf numFmtId="0" fontId="39" fillId="3" borderId="19" xfId="0" applyFont="1" applyFill="1" applyBorder="1" applyAlignment="1" applyProtection="1">
      <alignment horizontal="center"/>
    </xf>
    <xf numFmtId="2" fontId="39" fillId="0" borderId="48" xfId="0" applyNumberFormat="1" applyFont="1" applyFill="1" applyBorder="1" applyAlignment="1" applyProtection="1">
      <alignment horizontal="center"/>
    </xf>
    <xf numFmtId="1" fontId="39" fillId="0" borderId="48" xfId="0" applyNumberFormat="1" applyFont="1" applyFill="1" applyBorder="1" applyAlignment="1" applyProtection="1">
      <alignment horizontal="center"/>
    </xf>
    <xf numFmtId="0" fontId="39" fillId="3" borderId="20" xfId="0" applyFont="1" applyFill="1" applyBorder="1" applyAlignment="1" applyProtection="1">
      <alignment horizontal="center"/>
    </xf>
    <xf numFmtId="0" fontId="28" fillId="0" borderId="30" xfId="0" applyFont="1" applyFill="1" applyBorder="1" applyAlignment="1" applyProtection="1">
      <alignment horizontal="center"/>
    </xf>
    <xf numFmtId="0" fontId="39" fillId="5" borderId="19" xfId="0" applyFont="1" applyFill="1" applyBorder="1" applyAlignment="1" applyProtection="1">
      <alignment horizontal="center"/>
    </xf>
    <xf numFmtId="0" fontId="39" fillId="5" borderId="7" xfId="0" applyFont="1" applyFill="1" applyBorder="1" applyAlignment="1" applyProtection="1">
      <alignment horizontal="center"/>
    </xf>
    <xf numFmtId="0" fontId="39" fillId="5" borderId="48" xfId="0" applyFont="1" applyFill="1" applyBorder="1" applyAlignment="1" applyProtection="1">
      <alignment horizontal="center"/>
    </xf>
    <xf numFmtId="0" fontId="29" fillId="0" borderId="14" xfId="0" applyFont="1" applyFill="1" applyBorder="1" applyAlignment="1" applyProtection="1"/>
    <xf numFmtId="1" fontId="39" fillId="0" borderId="22" xfId="0" applyNumberFormat="1" applyFont="1" applyFill="1" applyBorder="1" applyAlignment="1" applyProtection="1">
      <alignment horizontal="center"/>
    </xf>
    <xf numFmtId="1" fontId="39" fillId="0" borderId="24" xfId="0" applyNumberFormat="1" applyFont="1" applyFill="1" applyBorder="1" applyAlignment="1" applyProtection="1">
      <alignment horizontal="center"/>
    </xf>
    <xf numFmtId="0" fontId="29" fillId="0" borderId="0" xfId="0" applyFont="1" applyFill="1" applyBorder="1" applyAlignment="1" applyProtection="1">
      <alignment horizontal="center"/>
    </xf>
    <xf numFmtId="0" fontId="29" fillId="0" borderId="13" xfId="0" applyFont="1" applyFill="1" applyBorder="1" applyAlignment="1" applyProtection="1"/>
    <xf numFmtId="0" fontId="39" fillId="0" borderId="13" xfId="0" applyFont="1" applyFill="1" applyBorder="1" applyAlignment="1" applyProtection="1">
      <alignment horizontal="centerContinuous"/>
    </xf>
    <xf numFmtId="0" fontId="39" fillId="0" borderId="22" xfId="0" applyFont="1" applyFill="1" applyBorder="1" applyAlignment="1" applyProtection="1">
      <alignment horizontal="center" vertical="center"/>
    </xf>
    <xf numFmtId="172" fontId="39" fillId="2" borderId="29" xfId="0" applyNumberFormat="1" applyFont="1" applyFill="1" applyBorder="1" applyAlignment="1" applyProtection="1">
      <alignment horizontal="center"/>
      <protection locked="0"/>
    </xf>
    <xf numFmtId="172" fontId="39" fillId="2" borderId="7" xfId="0" applyNumberFormat="1" applyFont="1" applyFill="1" applyBorder="1" applyAlignment="1" applyProtection="1">
      <alignment horizontal="center"/>
      <protection locked="0"/>
    </xf>
    <xf numFmtId="2" fontId="39" fillId="3" borderId="18" xfId="0" applyNumberFormat="1" applyFont="1" applyFill="1" applyBorder="1" applyAlignment="1" applyProtection="1">
      <alignment horizontal="center"/>
    </xf>
    <xf numFmtId="2" fontId="39" fillId="3" borderId="20" xfId="0" applyNumberFormat="1" applyFont="1" applyFill="1" applyBorder="1" applyAlignment="1" applyProtection="1">
      <alignment horizontal="center"/>
    </xf>
    <xf numFmtId="2" fontId="39" fillId="3" borderId="29" xfId="0" applyNumberFormat="1" applyFont="1" applyFill="1" applyBorder="1" applyAlignment="1" applyProtection="1">
      <alignment horizontal="center"/>
    </xf>
    <xf numFmtId="2" fontId="39" fillId="3" borderId="48" xfId="0" applyNumberFormat="1" applyFont="1" applyFill="1" applyBorder="1" applyAlignment="1" applyProtection="1">
      <alignment horizontal="center"/>
    </xf>
    <xf numFmtId="2" fontId="39" fillId="2" borderId="48" xfId="0" applyNumberFormat="1" applyFont="1" applyFill="1" applyBorder="1" applyAlignment="1" applyProtection="1">
      <alignment horizontal="center"/>
      <protection locked="0"/>
    </xf>
    <xf numFmtId="0" fontId="39" fillId="0" borderId="22" xfId="0" applyFont="1" applyFill="1" applyBorder="1" applyAlignment="1" applyProtection="1"/>
    <xf numFmtId="0" fontId="39" fillId="0" borderId="10" xfId="0" applyFont="1" applyFill="1" applyBorder="1" applyAlignment="1" applyProtection="1">
      <alignment horizontal="right"/>
    </xf>
    <xf numFmtId="0" fontId="39" fillId="0" borderId="10" xfId="0" applyFont="1" applyFill="1" applyBorder="1" applyAlignment="1" applyProtection="1"/>
    <xf numFmtId="2" fontId="39" fillId="0" borderId="23" xfId="0" applyNumberFormat="1" applyFont="1" applyFill="1" applyBorder="1" applyAlignment="1" applyProtection="1">
      <alignment horizontal="center"/>
    </xf>
    <xf numFmtId="1" fontId="28" fillId="0" borderId="0" xfId="0" applyNumberFormat="1" applyFont="1" applyFill="1" applyBorder="1" applyAlignment="1" applyProtection="1">
      <alignment horizontal="center"/>
    </xf>
    <xf numFmtId="0" fontId="40" fillId="0" borderId="14" xfId="0" applyFont="1" applyFill="1" applyBorder="1" applyAlignment="1" applyProtection="1">
      <alignment wrapText="1"/>
    </xf>
    <xf numFmtId="0" fontId="39" fillId="0" borderId="30" xfId="0" applyFont="1" applyFill="1" applyBorder="1" applyAlignment="1" applyProtection="1">
      <alignment horizontal="left"/>
    </xf>
    <xf numFmtId="0" fontId="39" fillId="5" borderId="20" xfId="0" applyFont="1" applyFill="1" applyBorder="1" applyAlignment="1" applyProtection="1">
      <alignment horizontal="center"/>
    </xf>
    <xf numFmtId="172" fontId="39" fillId="0" borderId="7" xfId="0" applyNumberFormat="1" applyFont="1" applyFill="1" applyBorder="1" applyAlignment="1" applyProtection="1">
      <alignment horizontal="center"/>
    </xf>
    <xf numFmtId="0" fontId="39" fillId="3" borderId="7" xfId="0" applyFont="1" applyFill="1" applyBorder="1" applyAlignment="1" applyProtection="1">
      <alignment horizontal="center"/>
    </xf>
    <xf numFmtId="1" fontId="39" fillId="2" borderId="7" xfId="0" applyNumberFormat="1" applyFont="1" applyFill="1" applyBorder="1" applyAlignment="1" applyProtection="1">
      <alignment horizontal="center"/>
      <protection locked="0"/>
    </xf>
    <xf numFmtId="1" fontId="39" fillId="0" borderId="51" xfId="0" applyNumberFormat="1" applyFont="1" applyFill="1" applyBorder="1" applyAlignment="1" applyProtection="1">
      <alignment horizontal="center"/>
    </xf>
    <xf numFmtId="172" fontId="39" fillId="0" borderId="51" xfId="0" applyNumberFormat="1" applyFont="1" applyFill="1" applyBorder="1" applyAlignment="1" applyProtection="1">
      <alignment horizontal="center"/>
    </xf>
    <xf numFmtId="1" fontId="39" fillId="0" borderId="0" xfId="0" applyNumberFormat="1" applyFont="1" applyFill="1" applyBorder="1" applyAlignment="1" applyProtection="1">
      <alignment horizontal="centerContinuous" vertical="center"/>
    </xf>
    <xf numFmtId="0" fontId="47" fillId="0" borderId="4" xfId="0" applyFont="1" applyFill="1" applyBorder="1" applyAlignment="1" applyProtection="1"/>
    <xf numFmtId="0" fontId="40" fillId="0" borderId="4" xfId="0" applyFont="1" applyFill="1" applyBorder="1" applyAlignment="1" applyProtection="1"/>
    <xf numFmtId="1" fontId="39" fillId="0" borderId="0" xfId="0" applyNumberFormat="1" applyFont="1" applyFill="1" applyBorder="1" applyAlignment="1" applyProtection="1"/>
    <xf numFmtId="0" fontId="38" fillId="0" borderId="51" xfId="0" applyFont="1" applyFill="1" applyBorder="1" applyAlignment="1" applyProtection="1">
      <alignment horizontal="center"/>
    </xf>
    <xf numFmtId="0" fontId="38" fillId="0" borderId="0" xfId="0" applyFont="1" applyFill="1" applyBorder="1" applyAlignment="1" applyProtection="1">
      <alignment horizontal="right"/>
    </xf>
    <xf numFmtId="0" fontId="40" fillId="0" borderId="5" xfId="0" applyFont="1" applyFill="1" applyBorder="1" applyAlignment="1" applyProtection="1">
      <alignment horizontal="centerContinuous"/>
    </xf>
    <xf numFmtId="172" fontId="40" fillId="0" borderId="0" xfId="0" applyNumberFormat="1" applyFont="1" applyFill="1" applyBorder="1" applyAlignment="1" applyProtection="1">
      <alignment horizontal="left"/>
    </xf>
    <xf numFmtId="172" fontId="28" fillId="0" borderId="0" xfId="0" applyNumberFormat="1" applyFont="1" applyFill="1" applyBorder="1" applyAlignment="1" applyProtection="1">
      <alignment horizontal="center"/>
    </xf>
    <xf numFmtId="0" fontId="40" fillId="0" borderId="19" xfId="0" applyFont="1" applyFill="1" applyBorder="1" applyAlignment="1" applyProtection="1">
      <alignment horizontal="centerContinuous"/>
    </xf>
    <xf numFmtId="0" fontId="40" fillId="0" borderId="0" xfId="0" applyFont="1" applyFill="1" applyBorder="1" applyAlignment="1" applyProtection="1">
      <alignment horizontal="centerContinuous"/>
    </xf>
    <xf numFmtId="0" fontId="29" fillId="0" borderId="0" xfId="0" applyFont="1" applyFill="1" applyBorder="1" applyProtection="1">
      <alignment vertical="center"/>
    </xf>
    <xf numFmtId="0" fontId="40" fillId="0" borderId="72" xfId="0" applyFont="1" applyFill="1" applyBorder="1" applyAlignment="1" applyProtection="1">
      <alignment horizontal="center" vertical="center"/>
    </xf>
    <xf numFmtId="0" fontId="40" fillId="0" borderId="20" xfId="0" applyFont="1" applyFill="1" applyBorder="1" applyAlignment="1" applyProtection="1">
      <alignment horizontal="center" vertical="center"/>
    </xf>
    <xf numFmtId="0" fontId="40" fillId="4" borderId="73" xfId="0" applyFont="1" applyFill="1" applyBorder="1" applyAlignment="1" applyProtection="1">
      <alignment horizontal="center" vertical="center"/>
    </xf>
    <xf numFmtId="0" fontId="40" fillId="0" borderId="74" xfId="0" applyFont="1" applyFill="1" applyBorder="1" applyAlignment="1" applyProtection="1">
      <alignment horizontal="center" vertical="center"/>
    </xf>
    <xf numFmtId="0" fontId="40" fillId="0" borderId="54" xfId="0" applyFont="1" applyFill="1" applyBorder="1" applyAlignment="1" applyProtection="1">
      <alignment horizontal="center" vertical="center"/>
    </xf>
    <xf numFmtId="0" fontId="28" fillId="0" borderId="55" xfId="0" applyFont="1" applyFill="1" applyBorder="1" applyProtection="1">
      <alignment vertical="center"/>
    </xf>
    <xf numFmtId="0" fontId="28" fillId="0" borderId="10" xfId="0" applyFont="1" applyFill="1" applyBorder="1" applyAlignment="1" applyProtection="1">
      <alignment horizontal="center" vertical="center"/>
    </xf>
    <xf numFmtId="0" fontId="40" fillId="0" borderId="75" xfId="0" applyFont="1" applyFill="1" applyBorder="1" applyAlignment="1" applyProtection="1">
      <alignment horizontal="center" vertical="center"/>
    </xf>
    <xf numFmtId="0" fontId="40" fillId="4" borderId="76" xfId="0" applyFont="1" applyFill="1" applyBorder="1" applyAlignment="1" applyProtection="1">
      <alignment horizontal="center" vertical="center"/>
    </xf>
    <xf numFmtId="0" fontId="40" fillId="0" borderId="77" xfId="0" applyFont="1" applyFill="1" applyBorder="1" applyAlignment="1" applyProtection="1">
      <alignment horizontal="center" vertical="center"/>
    </xf>
    <xf numFmtId="0" fontId="40" fillId="0" borderId="76" xfId="0" applyFont="1" applyFill="1" applyBorder="1" applyAlignment="1" applyProtection="1">
      <alignment horizontal="center" vertical="center"/>
    </xf>
    <xf numFmtId="0" fontId="28" fillId="3" borderId="30" xfId="0" applyFont="1" applyFill="1" applyBorder="1" applyAlignment="1" applyProtection="1">
      <alignment horizontal="center"/>
    </xf>
    <xf numFmtId="0" fontId="39" fillId="3" borderId="48" xfId="0" applyFont="1" applyFill="1" applyBorder="1" applyAlignment="1" applyProtection="1">
      <alignment horizontal="center"/>
    </xf>
    <xf numFmtId="0" fontId="39" fillId="3" borderId="30" xfId="0" applyFont="1" applyFill="1" applyBorder="1" applyAlignment="1" applyProtection="1">
      <alignment horizontal="centerContinuous"/>
    </xf>
    <xf numFmtId="0" fontId="28" fillId="0" borderId="7" xfId="0" applyFont="1" applyFill="1" applyBorder="1" applyAlignment="1" applyProtection="1"/>
    <xf numFmtId="0" fontId="40" fillId="0" borderId="48" xfId="0" applyFont="1" applyFill="1" applyBorder="1" applyAlignment="1" applyProtection="1">
      <alignment horizontal="center"/>
    </xf>
    <xf numFmtId="172" fontId="40" fillId="0" borderId="48" xfId="0" applyNumberFormat="1" applyFont="1" applyFill="1" applyBorder="1" applyAlignment="1" applyProtection="1">
      <alignment horizontal="center"/>
    </xf>
    <xf numFmtId="172" fontId="28" fillId="0" borderId="7" xfId="0" applyNumberFormat="1" applyFont="1" applyFill="1" applyBorder="1" applyAlignment="1" applyProtection="1">
      <alignment horizontal="center"/>
    </xf>
    <xf numFmtId="172" fontId="40" fillId="0" borderId="7" xfId="0" applyNumberFormat="1" applyFont="1" applyFill="1" applyBorder="1" applyAlignment="1" applyProtection="1">
      <alignment horizontal="center"/>
    </xf>
    <xf numFmtId="1" fontId="40" fillId="4" borderId="48" xfId="0" applyNumberFormat="1" applyFont="1" applyFill="1" applyBorder="1" applyAlignment="1" applyProtection="1">
      <alignment horizontal="center"/>
    </xf>
    <xf numFmtId="0" fontId="40" fillId="0" borderId="7" xfId="0" applyFont="1" applyFill="1" applyBorder="1" applyAlignment="1" applyProtection="1">
      <alignment horizontal="center"/>
    </xf>
    <xf numFmtId="1" fontId="40" fillId="4" borderId="7" xfId="0" applyNumberFormat="1" applyFont="1" applyFill="1" applyBorder="1" applyAlignment="1" applyProtection="1">
      <alignment horizontal="center"/>
    </xf>
    <xf numFmtId="1" fontId="40" fillId="0" borderId="7" xfId="0" applyNumberFormat="1" applyFont="1" applyFill="1" applyBorder="1" applyAlignment="1" applyProtection="1">
      <alignment horizontal="center"/>
    </xf>
    <xf numFmtId="1" fontId="35" fillId="0" borderId="0" xfId="0" applyNumberFormat="1" applyFont="1" applyFill="1" applyBorder="1" applyAlignment="1" applyProtection="1">
      <alignment horizontal="center"/>
    </xf>
    <xf numFmtId="0" fontId="40" fillId="0" borderId="30" xfId="0" applyFont="1" applyFill="1" applyBorder="1" applyAlignment="1" applyProtection="1">
      <alignment horizontal="center"/>
    </xf>
    <xf numFmtId="0" fontId="40" fillId="0" borderId="30" xfId="0" applyFont="1" applyFill="1" applyBorder="1" applyAlignment="1" applyProtection="1">
      <alignment horizontal="right"/>
    </xf>
    <xf numFmtId="0" fontId="40" fillId="0" borderId="10" xfId="0" applyFont="1" applyFill="1" applyBorder="1" applyAlignment="1" applyProtection="1"/>
    <xf numFmtId="0" fontId="40" fillId="0" borderId="52" xfId="0" applyFont="1" applyFill="1" applyBorder="1" applyProtection="1">
      <alignment vertical="center"/>
    </xf>
    <xf numFmtId="1" fontId="40" fillId="0" borderId="51" xfId="0" applyNumberFormat="1" applyFont="1" applyFill="1" applyBorder="1" applyAlignment="1" applyProtection="1">
      <alignment horizontal="center" vertical="center"/>
    </xf>
    <xf numFmtId="0" fontId="48" fillId="0" borderId="0" xfId="0" applyFont="1" applyFill="1" applyBorder="1" applyProtection="1">
      <alignment vertical="center"/>
    </xf>
    <xf numFmtId="172" fontId="40" fillId="0" borderId="52" xfId="0" applyNumberFormat="1" applyFont="1" applyFill="1" applyBorder="1" applyAlignment="1" applyProtection="1">
      <alignment horizontal="center" vertical="center"/>
    </xf>
    <xf numFmtId="172" fontId="40" fillId="0" borderId="51" xfId="0" applyNumberFormat="1" applyFont="1" applyFill="1" applyBorder="1" applyAlignment="1" applyProtection="1">
      <alignment horizontal="center" vertical="center"/>
    </xf>
    <xf numFmtId="172" fontId="28" fillId="0" borderId="0" xfId="0" applyNumberFormat="1" applyFont="1" applyFill="1" applyBorder="1" applyAlignment="1" applyProtection="1">
      <alignment horizontal="center" vertical="center"/>
    </xf>
    <xf numFmtId="172" fontId="40" fillId="0" borderId="0" xfId="0" applyNumberFormat="1" applyFont="1" applyFill="1" applyBorder="1" applyAlignment="1" applyProtection="1">
      <alignment horizontal="center" vertical="center"/>
    </xf>
    <xf numFmtId="1" fontId="40" fillId="0" borderId="52" xfId="0" applyNumberFormat="1" applyFont="1" applyFill="1" applyBorder="1" applyAlignment="1" applyProtection="1">
      <alignment horizontal="center" vertical="center"/>
    </xf>
    <xf numFmtId="1" fontId="28" fillId="0" borderId="0" xfId="0" applyNumberFormat="1" applyFont="1" applyFill="1" applyBorder="1" applyAlignment="1" applyProtection="1">
      <alignment horizontal="center" vertical="center"/>
    </xf>
    <xf numFmtId="0" fontId="40" fillId="0" borderId="0" xfId="0" applyFont="1" applyFill="1" applyBorder="1" applyAlignment="1" applyProtection="1">
      <alignment vertical="top"/>
    </xf>
    <xf numFmtId="0" fontId="55" fillId="0" borderId="0" xfId="0" applyFont="1" applyFill="1" applyBorder="1" applyAlignment="1" applyProtection="1"/>
    <xf numFmtId="0" fontId="55" fillId="0" borderId="0" xfId="0" applyFont="1" applyFill="1" applyBorder="1" applyAlignment="1" applyProtection="1">
      <alignment horizontal="center"/>
    </xf>
    <xf numFmtId="1" fontId="55" fillId="0" borderId="0" xfId="0" applyNumberFormat="1" applyFont="1" applyFill="1" applyBorder="1" applyAlignment="1" applyProtection="1">
      <alignment horizontal="center"/>
    </xf>
    <xf numFmtId="172" fontId="55" fillId="0" borderId="0" xfId="0" applyNumberFormat="1" applyFont="1" applyFill="1" applyBorder="1" applyAlignment="1" applyProtection="1">
      <alignment horizontal="center"/>
    </xf>
    <xf numFmtId="9" fontId="40" fillId="0" borderId="0" xfId="0" applyNumberFormat="1" applyFont="1" applyFill="1" applyBorder="1" applyAlignment="1" applyProtection="1"/>
    <xf numFmtId="1" fontId="40" fillId="0" borderId="0" xfId="0" applyNumberFormat="1" applyFont="1" applyFill="1" applyBorder="1" applyAlignment="1" applyProtection="1">
      <alignment horizontal="center" vertical="center"/>
    </xf>
    <xf numFmtId="9" fontId="40" fillId="0" borderId="0" xfId="0" applyNumberFormat="1" applyFont="1" applyFill="1" applyBorder="1" applyProtection="1">
      <alignment vertical="center"/>
    </xf>
    <xf numFmtId="0" fontId="40" fillId="0" borderId="0" xfId="0" applyFont="1" applyFill="1" applyBorder="1" applyAlignment="1" applyProtection="1">
      <alignment horizontal="center"/>
    </xf>
    <xf numFmtId="1" fontId="40" fillId="0" borderId="0" xfId="0" applyNumberFormat="1" applyFont="1" applyFill="1" applyBorder="1" applyAlignment="1" applyProtection="1">
      <alignment horizontal="right"/>
    </xf>
    <xf numFmtId="172" fontId="40" fillId="0" borderId="0" xfId="0" applyNumberFormat="1" applyFont="1" applyFill="1" applyBorder="1" applyAlignment="1" applyProtection="1">
      <alignment horizontal="center"/>
    </xf>
    <xf numFmtId="1" fontId="40" fillId="0" borderId="0" xfId="0" applyNumberFormat="1" applyFont="1" applyFill="1" applyBorder="1" applyAlignment="1" applyProtection="1">
      <alignment horizontal="center"/>
    </xf>
    <xf numFmtId="1" fontId="40" fillId="0" borderId="31" xfId="0" applyNumberFormat="1" applyFont="1" applyFill="1" applyBorder="1" applyAlignment="1" applyProtection="1">
      <alignment horizontal="center"/>
    </xf>
    <xf numFmtId="1" fontId="40" fillId="0" borderId="65" xfId="0" applyNumberFormat="1" applyFont="1" applyFill="1" applyBorder="1" applyAlignment="1" applyProtection="1">
      <alignment horizontal="center"/>
    </xf>
    <xf numFmtId="0" fontId="40" fillId="0" borderId="4" xfId="0" applyFont="1" applyFill="1" applyBorder="1" applyAlignment="1" applyProtection="1">
      <alignment horizontal="centerContinuous"/>
    </xf>
    <xf numFmtId="0" fontId="40" fillId="0" borderId="0" xfId="0" applyFont="1" applyFill="1" applyBorder="1" applyAlignment="1" applyProtection="1">
      <alignment horizontal="centerContinuous" vertical="center"/>
    </xf>
    <xf numFmtId="0" fontId="40" fillId="0" borderId="19" xfId="0" applyFont="1" applyFill="1" applyBorder="1" applyAlignment="1" applyProtection="1">
      <alignment horizontal="center"/>
    </xf>
    <xf numFmtId="0" fontId="40" fillId="0" borderId="73" xfId="0" applyFont="1" applyFill="1" applyBorder="1" applyAlignment="1" applyProtection="1">
      <alignment horizontal="center" vertical="center"/>
    </xf>
    <xf numFmtId="0" fontId="40" fillId="0" borderId="19" xfId="0" applyFont="1" applyFill="1" applyBorder="1" applyAlignment="1" applyProtection="1"/>
    <xf numFmtId="0" fontId="40" fillId="0" borderId="8" xfId="0" applyFont="1" applyFill="1" applyBorder="1" applyAlignment="1" applyProtection="1">
      <alignment horizontal="center"/>
    </xf>
    <xf numFmtId="0" fontId="40" fillId="2" borderId="7" xfId="0" applyFont="1" applyFill="1" applyBorder="1" applyAlignment="1" applyProtection="1">
      <alignment horizontal="center"/>
      <protection locked="0"/>
    </xf>
    <xf numFmtId="0" fontId="40" fillId="2" borderId="48" xfId="0" applyFont="1" applyFill="1" applyBorder="1" applyAlignment="1" applyProtection="1">
      <alignment horizontal="center"/>
      <protection locked="0"/>
    </xf>
    <xf numFmtId="1" fontId="40" fillId="0" borderId="48" xfId="0" applyNumberFormat="1" applyFont="1" applyFill="1" applyBorder="1" applyAlignment="1" applyProtection="1">
      <alignment horizontal="center"/>
    </xf>
    <xf numFmtId="1" fontId="40" fillId="0" borderId="8" xfId="0" applyNumberFormat="1" applyFont="1" applyFill="1" applyBorder="1" applyAlignment="1" applyProtection="1">
      <alignment horizontal="center"/>
    </xf>
    <xf numFmtId="0" fontId="40" fillId="0" borderId="52" xfId="0" applyFont="1" applyFill="1" applyBorder="1" applyAlignment="1" applyProtection="1"/>
    <xf numFmtId="0" fontId="40" fillId="0" borderId="33" xfId="0" applyFont="1" applyFill="1" applyBorder="1" applyAlignment="1" applyProtection="1"/>
    <xf numFmtId="0" fontId="47" fillId="0" borderId="4" xfId="0" applyFont="1" applyFill="1" applyBorder="1" applyAlignment="1" applyProtection="1">
      <alignment horizontal="centerContinuous" vertical="center"/>
    </xf>
    <xf numFmtId="0" fontId="40" fillId="0" borderId="4" xfId="0" applyFont="1" applyFill="1" applyBorder="1" applyAlignment="1" applyProtection="1">
      <alignment horizontal="centerContinuous" vertical="center"/>
    </xf>
    <xf numFmtId="0" fontId="40" fillId="0" borderId="78" xfId="0" applyFont="1" applyFill="1" applyBorder="1" applyAlignment="1" applyProtection="1">
      <alignment horizontal="centerContinuous" vertical="center"/>
    </xf>
    <xf numFmtId="0" fontId="47" fillId="0" borderId="79" xfId="0" applyFont="1" applyFill="1" applyBorder="1" applyAlignment="1" applyProtection="1">
      <alignment horizontal="centerContinuous" vertical="center"/>
    </xf>
    <xf numFmtId="0" fontId="28" fillId="0" borderId="55" xfId="0" applyFont="1" applyFill="1" applyBorder="1" applyAlignment="1" applyProtection="1"/>
    <xf numFmtId="0" fontId="40" fillId="0" borderId="71" xfId="0" applyFont="1" applyFill="1" applyBorder="1" applyAlignment="1" applyProtection="1">
      <alignment horizontal="centerContinuous"/>
    </xf>
    <xf numFmtId="0" fontId="40" fillId="0" borderId="55" xfId="0" applyFont="1" applyFill="1" applyBorder="1" applyAlignment="1" applyProtection="1">
      <alignment horizontal="center"/>
    </xf>
    <xf numFmtId="172" fontId="40" fillId="0" borderId="0" xfId="0" applyNumberFormat="1" applyFont="1" applyFill="1" applyBorder="1" applyAlignment="1" applyProtection="1">
      <alignment horizontal="right"/>
    </xf>
    <xf numFmtId="9" fontId="40" fillId="0" borderId="55" xfId="0" applyNumberFormat="1" applyFont="1" applyFill="1" applyBorder="1" applyAlignment="1" applyProtection="1">
      <alignment horizontal="left"/>
    </xf>
    <xf numFmtId="0" fontId="40" fillId="0" borderId="55" xfId="0" applyFont="1" applyFill="1" applyBorder="1" applyAlignment="1" applyProtection="1">
      <alignment horizontal="centerContinuous"/>
    </xf>
    <xf numFmtId="0" fontId="40" fillId="0" borderId="21" xfId="0" applyFont="1" applyFill="1" applyBorder="1" applyAlignment="1" applyProtection="1">
      <alignment horizontal="centerContinuous"/>
    </xf>
    <xf numFmtId="0" fontId="40" fillId="0" borderId="18" xfId="0" applyFont="1" applyFill="1" applyBorder="1" applyAlignment="1" applyProtection="1">
      <alignment horizontal="centerContinuous"/>
    </xf>
    <xf numFmtId="0" fontId="40" fillId="0" borderId="5" xfId="0" applyFont="1" applyFill="1" applyBorder="1" applyAlignment="1" applyProtection="1"/>
    <xf numFmtId="1" fontId="40" fillId="0" borderId="55" xfId="0" applyNumberFormat="1" applyFont="1" applyFill="1" applyBorder="1" applyAlignment="1" applyProtection="1">
      <alignment horizontal="center"/>
    </xf>
    <xf numFmtId="1" fontId="40" fillId="0" borderId="0" xfId="0" applyNumberFormat="1" applyFont="1" applyFill="1" applyBorder="1" applyAlignment="1" applyProtection="1">
      <alignment horizontal="centerContinuous"/>
    </xf>
    <xf numFmtId="1" fontId="40" fillId="0" borderId="71" xfId="0" applyNumberFormat="1" applyFont="1" applyFill="1" applyBorder="1" applyAlignment="1" applyProtection="1">
      <alignment horizontal="center"/>
    </xf>
    <xf numFmtId="1" fontId="40" fillId="0" borderId="52" xfId="0" applyNumberFormat="1" applyFont="1" applyFill="1" applyBorder="1" applyAlignment="1" applyProtection="1">
      <alignment horizontal="centerContinuous"/>
    </xf>
    <xf numFmtId="1" fontId="40" fillId="0" borderId="33" xfId="0" applyNumberFormat="1" applyFont="1" applyFill="1" applyBorder="1" applyAlignment="1" applyProtection="1">
      <alignment horizontal="centerContinuous"/>
    </xf>
    <xf numFmtId="1" fontId="40" fillId="0" borderId="4" xfId="0" applyNumberFormat="1" applyFont="1" applyFill="1" applyBorder="1" applyAlignment="1" applyProtection="1"/>
    <xf numFmtId="1" fontId="40" fillId="0" borderId="4" xfId="0" applyNumberFormat="1" applyFont="1" applyFill="1" applyBorder="1" applyAlignment="1" applyProtection="1">
      <alignment horizontal="center"/>
    </xf>
    <xf numFmtId="1" fontId="47" fillId="0" borderId="0" xfId="0" applyNumberFormat="1" applyFont="1" applyFill="1" applyBorder="1" applyAlignment="1" applyProtection="1">
      <alignment horizontal="centerContinuous" vertical="center"/>
    </xf>
    <xf numFmtId="1" fontId="40" fillId="0" borderId="0" xfId="0" applyNumberFormat="1" applyFont="1" applyFill="1" applyBorder="1" applyAlignment="1" applyProtection="1"/>
    <xf numFmtId="0" fontId="47" fillId="0" borderId="0" xfId="0" applyFont="1" applyFill="1" applyBorder="1" applyProtection="1">
      <alignment vertical="center"/>
    </xf>
    <xf numFmtId="0" fontId="40" fillId="6" borderId="0" xfId="0" applyFont="1" applyFill="1" applyBorder="1" applyAlignment="1" applyProtection="1"/>
    <xf numFmtId="3" fontId="40" fillId="0" borderId="51" xfId="0" applyNumberFormat="1" applyFont="1" applyFill="1" applyBorder="1" applyAlignment="1" applyProtection="1">
      <alignment horizontal="centerContinuous"/>
    </xf>
    <xf numFmtId="0" fontId="47" fillId="0" borderId="30" xfId="0" applyFont="1" applyFill="1" applyBorder="1" applyProtection="1">
      <alignment vertical="center"/>
    </xf>
    <xf numFmtId="0" fontId="47" fillId="0" borderId="52" xfId="0" applyFont="1" applyFill="1" applyBorder="1" applyProtection="1">
      <alignment vertical="center"/>
    </xf>
    <xf numFmtId="0" fontId="40" fillId="0" borderId="33" xfId="0" applyFont="1" applyFill="1" applyBorder="1" applyProtection="1">
      <alignment vertical="center"/>
    </xf>
    <xf numFmtId="0" fontId="38" fillId="0" borderId="12" xfId="0" applyFont="1" applyFill="1" applyBorder="1" applyAlignment="1" applyProtection="1">
      <alignment horizontal="right"/>
      <protection locked="0"/>
    </xf>
    <xf numFmtId="0" fontId="38" fillId="0" borderId="12" xfId="0" applyFont="1" applyFill="1" applyBorder="1" applyAlignment="1" applyProtection="1">
      <alignment horizontal="right"/>
    </xf>
    <xf numFmtId="0" fontId="39" fillId="0" borderId="12" xfId="0" applyFont="1" applyFill="1" applyBorder="1" applyAlignment="1" applyProtection="1"/>
    <xf numFmtId="0" fontId="38" fillId="0" borderId="4" xfId="0" applyFont="1" applyFill="1" applyBorder="1" applyAlignment="1" applyProtection="1">
      <alignment horizontal="centerContinuous"/>
    </xf>
    <xf numFmtId="172" fontId="39" fillId="0" borderId="0" xfId="0" applyNumberFormat="1" applyFont="1" applyFill="1" applyBorder="1" applyAlignment="1" applyProtection="1">
      <alignment horizontal="center" vertical="center"/>
    </xf>
    <xf numFmtId="0" fontId="58" fillId="0" borderId="0" xfId="0" applyFont="1" applyFill="1" applyBorder="1" applyAlignment="1" applyProtection="1"/>
    <xf numFmtId="0" fontId="47" fillId="0" borderId="5" xfId="0" applyFont="1" applyFill="1" applyBorder="1" applyAlignment="1" applyProtection="1">
      <alignment horizontal="centerContinuous"/>
    </xf>
    <xf numFmtId="0" fontId="47" fillId="0" borderId="19" xfId="0" applyFont="1" applyFill="1" applyBorder="1" applyAlignment="1" applyProtection="1">
      <alignment horizontal="centerContinuous"/>
    </xf>
    <xf numFmtId="0" fontId="59" fillId="4" borderId="2" xfId="0" applyFont="1" applyFill="1" applyBorder="1" applyAlignment="1" applyProtection="1"/>
    <xf numFmtId="0" fontId="59" fillId="4" borderId="11" xfId="0" applyFont="1" applyFill="1" applyBorder="1" applyAlignment="1" applyProtection="1"/>
    <xf numFmtId="0" fontId="59" fillId="4" borderId="2" xfId="0" applyFont="1" applyFill="1" applyBorder="1" applyAlignment="1" applyProtection="1">
      <alignment horizontal="center"/>
    </xf>
    <xf numFmtId="172" fontId="59" fillId="4" borderId="2" xfId="0" applyNumberFormat="1" applyFont="1" applyFill="1" applyBorder="1" applyAlignment="1" applyProtection="1">
      <alignment horizontal="center"/>
    </xf>
    <xf numFmtId="172" fontId="59" fillId="4" borderId="3" xfId="0" applyNumberFormat="1" applyFont="1" applyFill="1" applyBorder="1" applyAlignment="1" applyProtection="1">
      <alignment horizontal="center"/>
    </xf>
    <xf numFmtId="172" fontId="59" fillId="4" borderId="9" xfId="0" applyNumberFormat="1" applyFont="1" applyFill="1" applyBorder="1" applyAlignment="1" applyProtection="1">
      <alignment horizontal="center"/>
    </xf>
    <xf numFmtId="172" fontId="40" fillId="0" borderId="2" xfId="0" applyNumberFormat="1" applyFont="1" applyFill="1" applyBorder="1" applyAlignment="1" applyProtection="1">
      <alignment horizontal="center"/>
    </xf>
    <xf numFmtId="172" fontId="40" fillId="0" borderId="3" xfId="0" applyNumberFormat="1" applyFont="1" applyFill="1" applyBorder="1" applyAlignment="1" applyProtection="1">
      <alignment horizontal="center"/>
    </xf>
    <xf numFmtId="172" fontId="40" fillId="0" borderId="9" xfId="0" applyNumberFormat="1" applyFont="1" applyFill="1" applyBorder="1" applyAlignment="1" applyProtection="1">
      <alignment horizontal="center"/>
    </xf>
    <xf numFmtId="0" fontId="39" fillId="0" borderId="4" xfId="0" applyFont="1" applyFill="1" applyBorder="1" applyAlignment="1" applyProtection="1">
      <alignment horizontal="right"/>
    </xf>
    <xf numFmtId="1" fontId="39" fillId="0" borderId="4" xfId="0" applyNumberFormat="1" applyFont="1" applyFill="1" applyBorder="1" applyAlignment="1" applyProtection="1">
      <alignment horizontal="center"/>
    </xf>
    <xf numFmtId="172" fontId="38" fillId="0" borderId="31" xfId="0" applyNumberFormat="1" applyFont="1" applyFill="1" applyBorder="1" applyAlignment="1" applyProtection="1">
      <alignment horizontal="center"/>
    </xf>
    <xf numFmtId="172" fontId="38" fillId="0" borderId="65" xfId="0" applyNumberFormat="1" applyFont="1" applyFill="1" applyBorder="1" applyAlignment="1" applyProtection="1">
      <alignment horizontal="center"/>
    </xf>
    <xf numFmtId="172" fontId="28" fillId="0" borderId="0" xfId="0" applyNumberFormat="1" applyFont="1" applyFill="1" applyBorder="1" applyAlignment="1" applyProtection="1"/>
    <xf numFmtId="172" fontId="39" fillId="0" borderId="49" xfId="0" applyNumberFormat="1" applyFont="1" applyFill="1" applyBorder="1" applyAlignment="1" applyProtection="1">
      <alignment horizontal="center"/>
    </xf>
    <xf numFmtId="0" fontId="28" fillId="0" borderId="71" xfId="0" applyFont="1" applyFill="1" applyBorder="1" applyAlignment="1" applyProtection="1"/>
    <xf numFmtId="0" fontId="28" fillId="0" borderId="7" xfId="0" applyFont="1" applyFill="1" applyBorder="1" applyAlignment="1" applyProtection="1">
      <alignment horizontal="center"/>
    </xf>
    <xf numFmtId="1" fontId="39" fillId="0" borderId="3" xfId="0" applyNumberFormat="1" applyFont="1" applyFill="1" applyBorder="1" applyAlignment="1" applyProtection="1">
      <alignment horizontal="center" vertical="center"/>
    </xf>
    <xf numFmtId="172" fontId="39" fillId="2" borderId="3" xfId="0" applyNumberFormat="1" applyFont="1" applyFill="1" applyBorder="1" applyAlignment="1" applyProtection="1">
      <alignment horizontal="center" vertical="center"/>
      <protection locked="0"/>
    </xf>
    <xf numFmtId="172" fontId="39" fillId="0" borderId="3" xfId="0" applyNumberFormat="1" applyFont="1" applyFill="1" applyBorder="1" applyAlignment="1" applyProtection="1">
      <alignment horizontal="center" vertical="center"/>
    </xf>
    <xf numFmtId="0" fontId="28" fillId="0" borderId="66" xfId="0" applyFont="1" applyFill="1" applyBorder="1" applyAlignment="1" applyProtection="1">
      <alignment horizontal="center"/>
    </xf>
    <xf numFmtId="0" fontId="39" fillId="2" borderId="11" xfId="0" applyFont="1" applyFill="1" applyBorder="1" applyProtection="1">
      <alignment vertical="center"/>
      <protection locked="0"/>
    </xf>
    <xf numFmtId="0" fontId="28" fillId="2" borderId="11" xfId="0" applyFont="1" applyFill="1" applyBorder="1" applyAlignment="1" applyProtection="1">
      <protection locked="0"/>
    </xf>
    <xf numFmtId="2" fontId="28" fillId="0" borderId="0" xfId="0" applyNumberFormat="1" applyFont="1" applyFill="1" applyBorder="1" applyAlignment="1" applyProtection="1"/>
    <xf numFmtId="0" fontId="61" fillId="0" borderId="0" xfId="0" applyFont="1" applyFill="1" applyBorder="1" applyAlignment="1" applyProtection="1"/>
    <xf numFmtId="0" fontId="39" fillId="2" borderId="30" xfId="0" applyFont="1" applyFill="1" applyBorder="1" applyAlignment="1" applyProtection="1">
      <protection locked="0"/>
    </xf>
    <xf numFmtId="0" fontId="38" fillId="0" borderId="19" xfId="0" applyFont="1" applyFill="1" applyBorder="1" applyAlignment="1" applyProtection="1"/>
    <xf numFmtId="0" fontId="29" fillId="0" borderId="5" xfId="0" applyFont="1" applyFill="1" applyBorder="1" applyAlignment="1" applyProtection="1"/>
    <xf numFmtId="0" fontId="39" fillId="0" borderId="54" xfId="0" applyFont="1" applyFill="1" applyBorder="1" applyProtection="1">
      <alignment vertical="center"/>
    </xf>
    <xf numFmtId="0" fontId="39" fillId="0" borderId="20" xfId="0" applyFont="1" applyFill="1" applyBorder="1" applyAlignment="1" applyProtection="1">
      <alignment horizontal="center" vertical="center"/>
    </xf>
    <xf numFmtId="0" fontId="39" fillId="0" borderId="3" xfId="0" applyFont="1" applyFill="1" applyBorder="1" applyAlignment="1" applyProtection="1">
      <alignment horizontal="center" vertical="center"/>
    </xf>
    <xf numFmtId="0" fontId="39" fillId="0" borderId="4" xfId="0" applyFont="1" applyFill="1" applyBorder="1" applyAlignment="1" applyProtection="1">
      <alignment horizontal="center" vertical="center"/>
    </xf>
    <xf numFmtId="0" fontId="29" fillId="0" borderId="4" xfId="0" applyFont="1" applyFill="1" applyBorder="1" applyProtection="1">
      <alignment vertical="center"/>
    </xf>
    <xf numFmtId="0" fontId="39" fillId="0" borderId="30" xfId="0" applyFont="1" applyFill="1" applyBorder="1" applyAlignment="1" applyProtection="1">
      <alignment horizontal="right" vertical="center"/>
    </xf>
    <xf numFmtId="0" fontId="29" fillId="0" borderId="19" xfId="0" applyFont="1" applyFill="1" applyBorder="1" applyProtection="1">
      <alignment vertical="center"/>
    </xf>
    <xf numFmtId="0" fontId="39" fillId="0" borderId="55" xfId="0" applyFont="1" applyFill="1" applyBorder="1" applyProtection="1">
      <alignment vertical="center"/>
    </xf>
    <xf numFmtId="0" fontId="28" fillId="0" borderId="4" xfId="0" applyFont="1" applyFill="1" applyBorder="1" applyAlignment="1" applyProtection="1">
      <alignment horizontal="right"/>
    </xf>
    <xf numFmtId="3" fontId="28" fillId="0" borderId="11" xfId="0" applyNumberFormat="1" applyFont="1" applyFill="1" applyBorder="1" applyAlignment="1" applyProtection="1">
      <alignment horizontal="center"/>
    </xf>
    <xf numFmtId="2" fontId="57" fillId="0" borderId="0" xfId="0" applyNumberFormat="1" applyFont="1" applyFill="1" applyBorder="1" applyAlignment="1" applyProtection="1">
      <alignment horizontal="center"/>
    </xf>
    <xf numFmtId="3" fontId="28" fillId="0" borderId="0" xfId="0" applyNumberFormat="1" applyFont="1" applyFill="1" applyBorder="1" applyAlignment="1" applyProtection="1">
      <alignment horizontal="center"/>
    </xf>
    <xf numFmtId="3" fontId="28" fillId="0" borderId="0" xfId="0" applyNumberFormat="1" applyFont="1" applyFill="1" applyBorder="1" applyAlignment="1" applyProtection="1"/>
    <xf numFmtId="0" fontId="42" fillId="0" borderId="0" xfId="0" applyFont="1" applyFill="1" applyBorder="1" applyAlignment="1" applyProtection="1">
      <alignment horizontal="right"/>
    </xf>
    <xf numFmtId="0" fontId="60" fillId="0" borderId="0" xfId="0" applyFont="1" applyFill="1" applyBorder="1" applyAlignment="1" applyProtection="1">
      <alignment horizontal="right"/>
    </xf>
    <xf numFmtId="0" fontId="28" fillId="0" borderId="64" xfId="0" applyFont="1" applyFill="1" applyBorder="1" applyAlignment="1" applyProtection="1"/>
    <xf numFmtId="3" fontId="28" fillId="0" borderId="11" xfId="0" applyNumberFormat="1" applyFont="1" applyFill="1" applyBorder="1" applyAlignment="1" applyProtection="1">
      <alignment horizontal="right"/>
    </xf>
    <xf numFmtId="3" fontId="28" fillId="0" borderId="0" xfId="0" applyNumberFormat="1" applyFont="1" applyFill="1" applyBorder="1" applyAlignment="1" applyProtection="1">
      <alignment horizontal="right"/>
    </xf>
    <xf numFmtId="0" fontId="29" fillId="0" borderId="5" xfId="0" applyFont="1" applyFill="1" applyBorder="1" applyAlignment="1" applyProtection="1">
      <alignment horizontal="left"/>
    </xf>
    <xf numFmtId="0" fontId="29" fillId="0" borderId="19" xfId="0" applyFont="1" applyFill="1" applyBorder="1" applyAlignment="1" applyProtection="1">
      <alignment horizontal="left"/>
    </xf>
    <xf numFmtId="3" fontId="39" fillId="0" borderId="0" xfId="0" applyNumberFormat="1" applyFont="1" applyFill="1" applyBorder="1" applyAlignment="1" applyProtection="1">
      <alignment horizontal="center"/>
    </xf>
    <xf numFmtId="1" fontId="29" fillId="0" borderId="0" xfId="0" applyNumberFormat="1" applyFont="1" applyFill="1" applyBorder="1" applyAlignment="1" applyProtection="1">
      <alignment horizontal="center"/>
    </xf>
    <xf numFmtId="165" fontId="28" fillId="0" borderId="0" xfId="0" applyNumberFormat="1" applyFont="1" applyFill="1" applyBorder="1" applyAlignment="1" applyProtection="1"/>
    <xf numFmtId="0" fontId="39" fillId="0" borderId="71" xfId="0" applyFont="1" applyFill="1" applyBorder="1" applyProtection="1">
      <alignment vertical="center"/>
    </xf>
    <xf numFmtId="1" fontId="28" fillId="0" borderId="0" xfId="0" applyNumberFormat="1" applyFont="1" applyFill="1" applyBorder="1" applyAlignment="1" applyProtection="1">
      <alignment horizontal="left"/>
    </xf>
    <xf numFmtId="2" fontId="39" fillId="0" borderId="11" xfId="0" applyNumberFormat="1" applyFont="1" applyFill="1" applyBorder="1" applyAlignment="1" applyProtection="1">
      <alignment horizontal="center" vertical="center"/>
    </xf>
    <xf numFmtId="2" fontId="29" fillId="0" borderId="0" xfId="0" applyNumberFormat="1" applyFont="1" applyFill="1" applyBorder="1" applyAlignment="1" applyProtection="1">
      <alignment horizontal="right"/>
    </xf>
    <xf numFmtId="1" fontId="39" fillId="0" borderId="11" xfId="0" applyNumberFormat="1" applyFont="1" applyFill="1" applyBorder="1" applyProtection="1">
      <alignment vertical="center"/>
    </xf>
    <xf numFmtId="0" fontId="28" fillId="0" borderId="36" xfId="0" applyFont="1" applyFill="1" applyBorder="1" applyAlignment="1" applyProtection="1"/>
    <xf numFmtId="3" fontId="28" fillId="0" borderId="0" xfId="0" applyNumberFormat="1" applyFont="1" applyFill="1" applyBorder="1" applyProtection="1">
      <alignment vertical="center"/>
    </xf>
    <xf numFmtId="1" fontId="28" fillId="0" borderId="36" xfId="0" applyNumberFormat="1" applyFont="1" applyFill="1" applyBorder="1" applyAlignment="1" applyProtection="1">
      <alignment horizontal="right"/>
    </xf>
    <xf numFmtId="1" fontId="28" fillId="0" borderId="36" xfId="0" applyNumberFormat="1" applyFont="1" applyFill="1" applyBorder="1" applyAlignment="1" applyProtection="1">
      <alignment horizontal="left"/>
    </xf>
    <xf numFmtId="0" fontId="28" fillId="0" borderId="15" xfId="0" applyFont="1" applyFill="1" applyBorder="1" applyAlignment="1" applyProtection="1">
      <alignment horizontal="center"/>
    </xf>
    <xf numFmtId="0" fontId="28" fillId="0" borderId="19" xfId="0" applyFont="1" applyFill="1" applyBorder="1" applyAlignment="1" applyProtection="1">
      <alignment horizontal="center"/>
    </xf>
    <xf numFmtId="0" fontId="29" fillId="0" borderId="22" xfId="0" applyFont="1" applyFill="1" applyBorder="1" applyAlignment="1" applyProtection="1"/>
    <xf numFmtId="0" fontId="28" fillId="0" borderId="23" xfId="0" applyFont="1" applyFill="1" applyBorder="1" applyAlignment="1" applyProtection="1">
      <alignment horizontal="center"/>
    </xf>
    <xf numFmtId="172" fontId="28" fillId="0" borderId="23" xfId="0" applyNumberFormat="1" applyFont="1" applyFill="1" applyBorder="1" applyAlignment="1" applyProtection="1">
      <alignment horizontal="center"/>
    </xf>
    <xf numFmtId="1" fontId="28" fillId="0" borderId="19" xfId="0" applyNumberFormat="1" applyFont="1" applyFill="1" applyBorder="1" applyAlignment="1" applyProtection="1">
      <alignment horizontal="center"/>
    </xf>
    <xf numFmtId="2" fontId="28" fillId="0" borderId="101" xfId="0" applyNumberFormat="1" applyFont="1" applyFill="1" applyBorder="1" applyAlignment="1" applyProtection="1">
      <alignment horizontal="center"/>
    </xf>
    <xf numFmtId="0" fontId="28" fillId="0" borderId="10" xfId="0" applyFont="1" applyFill="1" applyBorder="1" applyAlignment="1" applyProtection="1">
      <alignment horizontal="center"/>
    </xf>
    <xf numFmtId="1" fontId="28" fillId="0" borderId="23" xfId="0" applyNumberFormat="1" applyFont="1" applyFill="1" applyBorder="1" applyAlignment="1" applyProtection="1">
      <alignment horizontal="center"/>
    </xf>
    <xf numFmtId="0" fontId="31" fillId="0" borderId="0" xfId="0" applyFont="1" applyFill="1" applyBorder="1" applyProtection="1">
      <alignment vertical="center"/>
    </xf>
    <xf numFmtId="2" fontId="39" fillId="0" borderId="24" xfId="0" applyNumberFormat="1" applyFont="1" applyFill="1" applyBorder="1" applyAlignment="1" applyProtection="1">
      <alignment horizontal="center" vertical="center" wrapText="1"/>
    </xf>
    <xf numFmtId="0" fontId="39" fillId="0" borderId="25" xfId="0" applyFont="1" applyFill="1" applyBorder="1" applyAlignment="1" applyProtection="1">
      <alignment horizontal="center"/>
    </xf>
    <xf numFmtId="0" fontId="38" fillId="0" borderId="26" xfId="0" applyFont="1" applyFill="1" applyBorder="1" applyAlignment="1" applyProtection="1">
      <alignment horizontal="left" vertical="center"/>
    </xf>
    <xf numFmtId="0" fontId="38" fillId="0" borderId="11" xfId="0" applyFont="1" applyFill="1" applyBorder="1" applyAlignment="1" applyProtection="1">
      <alignment horizontal="left" vertical="center"/>
    </xf>
    <xf numFmtId="0" fontId="39" fillId="0" borderId="2" xfId="0" applyFont="1" applyFill="1" applyBorder="1" applyAlignment="1" applyProtection="1">
      <alignment horizontal="center" vertical="center" textRotation="255"/>
    </xf>
    <xf numFmtId="2" fontId="38" fillId="0" borderId="2" xfId="0" applyNumberFormat="1" applyFont="1" applyFill="1" applyBorder="1" applyAlignment="1" applyProtection="1">
      <alignment horizontal="center" vertical="center"/>
    </xf>
    <xf numFmtId="0" fontId="38" fillId="0" borderId="2" xfId="0" applyFont="1" applyFill="1" applyBorder="1" applyAlignment="1" applyProtection="1">
      <alignment horizontal="right" vertical="center"/>
    </xf>
    <xf numFmtId="172" fontId="38" fillId="0" borderId="3" xfId="0" applyNumberFormat="1" applyFont="1" applyFill="1" applyBorder="1" applyAlignment="1" applyProtection="1">
      <alignment horizontal="center" vertical="center"/>
    </xf>
    <xf numFmtId="0" fontId="38" fillId="0" borderId="3" xfId="0" applyFont="1" applyFill="1" applyBorder="1" applyAlignment="1" applyProtection="1">
      <alignment horizontal="center" vertical="center"/>
    </xf>
    <xf numFmtId="0" fontId="28" fillId="0" borderId="54" xfId="0" applyFont="1" applyFill="1" applyBorder="1" applyProtection="1">
      <alignment vertical="center"/>
    </xf>
    <xf numFmtId="1" fontId="39" fillId="0" borderId="26" xfId="0" applyNumberFormat="1" applyFont="1" applyFill="1" applyBorder="1" applyProtection="1">
      <alignment vertical="center"/>
    </xf>
    <xf numFmtId="171" fontId="39" fillId="0" borderId="11" xfId="0" applyNumberFormat="1" applyFont="1" applyFill="1" applyBorder="1" applyAlignment="1" applyProtection="1">
      <alignment horizontal="center" vertical="center" wrapText="1"/>
    </xf>
    <xf numFmtId="0" fontId="39" fillId="0" borderId="0" xfId="0" applyFont="1" applyFill="1" applyBorder="1" applyProtection="1">
      <alignment vertical="center"/>
      <protection locked="0"/>
    </xf>
    <xf numFmtId="2" fontId="39" fillId="0" borderId="26" xfId="0" applyNumberFormat="1" applyFont="1" applyFill="1" applyBorder="1" applyProtection="1">
      <alignment vertical="center"/>
    </xf>
    <xf numFmtId="183" fontId="39" fillId="0" borderId="0" xfId="0" applyNumberFormat="1" applyFont="1" applyFill="1" applyBorder="1" applyAlignment="1" applyProtection="1">
      <alignment horizontal="center" vertical="center"/>
    </xf>
    <xf numFmtId="2" fontId="39" fillId="0" borderId="10" xfId="0" applyNumberFormat="1" applyFont="1" applyFill="1" applyBorder="1" applyProtection="1">
      <alignment vertical="center"/>
    </xf>
    <xf numFmtId="172" fontId="39" fillId="0" borderId="23" xfId="0" applyNumberFormat="1" applyFont="1" applyFill="1" applyBorder="1" applyAlignment="1" applyProtection="1">
      <alignment horizontal="center" vertical="center"/>
    </xf>
    <xf numFmtId="172" fontId="39" fillId="2" borderId="23" xfId="0" applyNumberFormat="1" applyFont="1" applyFill="1" applyBorder="1" applyAlignment="1" applyProtection="1">
      <alignment horizontal="center" vertical="center"/>
      <protection locked="0"/>
    </xf>
    <xf numFmtId="1" fontId="39" fillId="0" borderId="23" xfId="0" applyNumberFormat="1" applyFont="1" applyFill="1" applyBorder="1" applyAlignment="1" applyProtection="1">
      <alignment horizontal="center" vertical="center"/>
    </xf>
    <xf numFmtId="172" fontId="39" fillId="2" borderId="24" xfId="0" applyNumberFormat="1" applyFont="1" applyFill="1" applyBorder="1" applyAlignment="1" applyProtection="1">
      <alignment horizontal="center" vertical="center"/>
      <protection locked="0"/>
    </xf>
    <xf numFmtId="2" fontId="39" fillId="0" borderId="35" xfId="0" applyNumberFormat="1" applyFont="1" applyFill="1" applyBorder="1" applyProtection="1">
      <alignment vertical="center"/>
    </xf>
    <xf numFmtId="2" fontId="39" fillId="0" borderId="36" xfId="0" applyNumberFormat="1" applyFont="1" applyFill="1" applyBorder="1" applyProtection="1">
      <alignment vertical="center"/>
    </xf>
    <xf numFmtId="2" fontId="39" fillId="0" borderId="37" xfId="0" applyNumberFormat="1" applyFont="1" applyFill="1" applyBorder="1" applyProtection="1">
      <alignment vertical="center"/>
    </xf>
    <xf numFmtId="172" fontId="39" fillId="0" borderId="37" xfId="0" applyNumberFormat="1" applyFont="1" applyFill="1" applyBorder="1" applyAlignment="1" applyProtection="1">
      <alignment horizontal="center" vertical="center"/>
    </xf>
    <xf numFmtId="1" fontId="39" fillId="0" borderId="37" xfId="0" applyNumberFormat="1" applyFont="1" applyFill="1" applyBorder="1" applyAlignment="1" applyProtection="1">
      <alignment horizontal="center" vertical="center"/>
    </xf>
    <xf numFmtId="1" fontId="39" fillId="0" borderId="102" xfId="0" applyNumberFormat="1" applyFont="1" applyFill="1" applyBorder="1" applyAlignment="1" applyProtection="1">
      <alignment horizontal="center" vertical="center"/>
    </xf>
    <xf numFmtId="2" fontId="38" fillId="0" borderId="0" xfId="0" applyNumberFormat="1" applyFont="1" applyFill="1" applyBorder="1" applyProtection="1">
      <alignment vertical="center"/>
    </xf>
    <xf numFmtId="1" fontId="28" fillId="0" borderId="10" xfId="0" applyNumberFormat="1" applyFont="1" applyFill="1" applyBorder="1" applyAlignment="1" applyProtection="1">
      <alignment horizontal="center"/>
    </xf>
    <xf numFmtId="172" fontId="38" fillId="0" borderId="0" xfId="0" applyNumberFormat="1" applyFont="1" applyFill="1" applyBorder="1" applyAlignment="1" applyProtection="1">
      <alignment horizontal="center" vertical="center"/>
    </xf>
    <xf numFmtId="2" fontId="38" fillId="0" borderId="0" xfId="0" applyNumberFormat="1" applyFont="1" applyFill="1" applyBorder="1" applyAlignment="1" applyProtection="1">
      <alignment horizontal="right" vertical="center"/>
    </xf>
    <xf numFmtId="172" fontId="39" fillId="0" borderId="102" xfId="0" applyNumberFormat="1" applyFont="1" applyFill="1" applyBorder="1" applyAlignment="1" applyProtection="1">
      <alignment horizontal="center" vertical="center"/>
    </xf>
    <xf numFmtId="172" fontId="39" fillId="0" borderId="28" xfId="0" applyNumberFormat="1" applyFont="1" applyFill="1" applyBorder="1" applyAlignment="1" applyProtection="1">
      <alignment horizontal="center" vertical="center"/>
    </xf>
    <xf numFmtId="172" fontId="39" fillId="0" borderId="23" xfId="0" applyNumberFormat="1" applyFont="1" applyFill="1" applyBorder="1" applyProtection="1">
      <alignment vertical="center"/>
    </xf>
    <xf numFmtId="172" fontId="39" fillId="0" borderId="24" xfId="0" applyNumberFormat="1" applyFont="1" applyFill="1" applyBorder="1" applyAlignment="1" applyProtection="1">
      <alignment horizontal="center" vertical="center"/>
    </xf>
    <xf numFmtId="172" fontId="39" fillId="0" borderId="25" xfId="0" applyNumberFormat="1" applyFont="1" applyFill="1" applyBorder="1" applyAlignment="1" applyProtection="1">
      <alignment horizontal="center" vertical="center"/>
    </xf>
    <xf numFmtId="1" fontId="39" fillId="0" borderId="24" xfId="0" applyNumberFormat="1" applyFont="1" applyFill="1" applyBorder="1" applyAlignment="1" applyProtection="1">
      <alignment horizontal="center" vertical="center"/>
    </xf>
    <xf numFmtId="172" fontId="39" fillId="3" borderId="37" xfId="0" applyNumberFormat="1" applyFont="1" applyFill="1" applyBorder="1" applyAlignment="1" applyProtection="1">
      <alignment horizontal="center" vertical="center"/>
    </xf>
    <xf numFmtId="1" fontId="39" fillId="3" borderId="37" xfId="0" applyNumberFormat="1" applyFont="1" applyFill="1" applyBorder="1" applyAlignment="1" applyProtection="1">
      <alignment horizontal="center" vertical="center"/>
    </xf>
    <xf numFmtId="172" fontId="39" fillId="0" borderId="103" xfId="0" applyNumberFormat="1" applyFont="1" applyFill="1" applyBorder="1" applyAlignment="1" applyProtection="1">
      <alignment horizontal="center" vertical="center"/>
    </xf>
    <xf numFmtId="172" fontId="39" fillId="3" borderId="2" xfId="0" applyNumberFormat="1" applyFont="1" applyFill="1" applyBorder="1" applyAlignment="1" applyProtection="1">
      <alignment horizontal="center" vertical="center"/>
    </xf>
    <xf numFmtId="1" fontId="39" fillId="3" borderId="2" xfId="0" applyNumberFormat="1" applyFont="1" applyFill="1" applyBorder="1" applyAlignment="1" applyProtection="1">
      <alignment horizontal="center" vertical="center"/>
    </xf>
    <xf numFmtId="172" fontId="39" fillId="3" borderId="23" xfId="0" applyNumberFormat="1" applyFont="1" applyFill="1" applyBorder="1" applyAlignment="1" applyProtection="1">
      <alignment horizontal="center" vertical="center"/>
    </xf>
    <xf numFmtId="1" fontId="39" fillId="3" borderId="23" xfId="0" applyNumberFormat="1" applyFont="1" applyFill="1" applyBorder="1" applyAlignment="1" applyProtection="1">
      <alignment horizontal="center" vertical="center"/>
    </xf>
    <xf numFmtId="172" fontId="39" fillId="2" borderId="25" xfId="0" applyNumberFormat="1" applyFont="1" applyFill="1" applyBorder="1" applyAlignment="1" applyProtection="1">
      <alignment horizontal="center" vertical="center"/>
      <protection locked="0"/>
    </xf>
    <xf numFmtId="172" fontId="28" fillId="0" borderId="15" xfId="0" applyNumberFormat="1" applyFont="1" applyFill="1" applyBorder="1" applyAlignment="1" applyProtection="1">
      <alignment horizontal="center"/>
    </xf>
    <xf numFmtId="2" fontId="28" fillId="0" borderId="15" xfId="0" applyNumberFormat="1" applyFont="1" applyFill="1" applyBorder="1" applyAlignment="1" applyProtection="1">
      <alignment horizontal="center" vertical="center" wrapText="1"/>
    </xf>
    <xf numFmtId="2" fontId="28" fillId="0" borderId="41" xfId="0" applyNumberFormat="1" applyFont="1" applyFill="1" applyBorder="1" applyAlignment="1" applyProtection="1">
      <alignment horizontal="center" vertical="center" wrapText="1"/>
    </xf>
    <xf numFmtId="2" fontId="28" fillId="0" borderId="23" xfId="0" applyNumberFormat="1" applyFont="1" applyFill="1" applyBorder="1" applyAlignment="1" applyProtection="1">
      <alignment horizontal="center" vertical="center" wrapText="1"/>
    </xf>
    <xf numFmtId="2" fontId="28" fillId="0" borderId="43" xfId="0" applyNumberFormat="1" applyFont="1" applyFill="1" applyBorder="1" applyAlignment="1" applyProtection="1">
      <alignment horizontal="center" vertical="center" wrapText="1"/>
    </xf>
    <xf numFmtId="0" fontId="28" fillId="0" borderId="29" xfId="0" applyFont="1" applyFill="1" applyBorder="1" applyAlignment="1" applyProtection="1"/>
    <xf numFmtId="172" fontId="28" fillId="0" borderId="101" xfId="0" applyNumberFormat="1" applyFont="1" applyFill="1" applyBorder="1" applyAlignment="1" applyProtection="1">
      <alignment horizontal="center"/>
    </xf>
    <xf numFmtId="0" fontId="29" fillId="0" borderId="23" xfId="0" applyFont="1" applyFill="1" applyBorder="1" applyAlignment="1" applyProtection="1">
      <alignment horizontal="center"/>
    </xf>
    <xf numFmtId="2" fontId="29" fillId="0" borderId="23" xfId="0" applyNumberFormat="1" applyFont="1" applyFill="1" applyBorder="1" applyAlignment="1" applyProtection="1">
      <alignment horizontal="center"/>
    </xf>
    <xf numFmtId="2" fontId="29" fillId="0" borderId="43" xfId="0" applyNumberFormat="1" applyFont="1" applyFill="1" applyBorder="1" applyAlignment="1" applyProtection="1">
      <alignment horizontal="center"/>
    </xf>
    <xf numFmtId="172" fontId="28" fillId="0" borderId="43" xfId="0" applyNumberFormat="1" applyFont="1" applyFill="1" applyBorder="1" applyAlignment="1" applyProtection="1">
      <alignment horizontal="center"/>
    </xf>
    <xf numFmtId="0" fontId="28" fillId="0" borderId="22" xfId="0" applyFont="1" applyFill="1" applyBorder="1" applyAlignment="1" applyProtection="1"/>
    <xf numFmtId="0" fontId="28" fillId="0" borderId="0" xfId="0" applyFont="1" applyFill="1" applyBorder="1" applyAlignment="1" applyProtection="1">
      <alignment wrapText="1"/>
    </xf>
    <xf numFmtId="0" fontId="28" fillId="0" borderId="8" xfId="0" applyFont="1" applyFill="1" applyBorder="1" applyAlignment="1" applyProtection="1">
      <alignment horizontal="center"/>
    </xf>
    <xf numFmtId="172" fontId="39" fillId="0" borderId="7" xfId="0" applyNumberFormat="1" applyFont="1" applyFill="1" applyBorder="1" applyAlignment="1" applyProtection="1">
      <alignment horizontal="centerContinuous" vertical="center"/>
    </xf>
    <xf numFmtId="172" fontId="39" fillId="0" borderId="52" xfId="0" applyNumberFormat="1" applyFont="1" applyFill="1" applyBorder="1" applyAlignment="1" applyProtection="1">
      <alignment horizontal="centerContinuous" vertical="center"/>
    </xf>
    <xf numFmtId="0" fontId="61" fillId="0" borderId="55" xfId="0" applyFont="1" applyFill="1" applyBorder="1" applyProtection="1">
      <alignment vertical="center"/>
    </xf>
    <xf numFmtId="0" fontId="26" fillId="0" borderId="0" xfId="0" applyFont="1" applyFill="1" applyBorder="1" applyAlignment="1" applyProtection="1"/>
    <xf numFmtId="2" fontId="38" fillId="0" borderId="65" xfId="0" applyNumberFormat="1" applyFont="1" applyFill="1" applyBorder="1" applyAlignment="1" applyProtection="1">
      <alignment horizontal="center" vertical="center"/>
    </xf>
    <xf numFmtId="169" fontId="44" fillId="0" borderId="7" xfId="0" applyNumberFormat="1" applyFont="1" applyFill="1" applyBorder="1" applyAlignment="1" applyProtection="1">
      <alignment horizontal="center" vertical="center" wrapText="1"/>
    </xf>
    <xf numFmtId="169" fontId="36" fillId="0" borderId="11" xfId="0" applyNumberFormat="1" applyFont="1" applyFill="1" applyBorder="1" applyAlignment="1" applyProtection="1">
      <alignment horizontal="center"/>
    </xf>
    <xf numFmtId="0" fontId="0" fillId="0" borderId="0" xfId="0" applyFill="1">
      <alignment vertical="center"/>
    </xf>
    <xf numFmtId="2" fontId="38" fillId="0" borderId="0" xfId="0" applyNumberFormat="1" applyFont="1" applyFill="1" applyBorder="1" applyAlignment="1" applyProtection="1">
      <alignment horizontal="center" vertical="center"/>
    </xf>
    <xf numFmtId="172" fontId="39" fillId="0" borderId="2" xfId="0" applyNumberFormat="1" applyFont="1" applyFill="1" applyBorder="1" applyProtection="1">
      <alignment vertical="center"/>
    </xf>
    <xf numFmtId="172" fontId="39" fillId="0" borderId="24" xfId="0" applyNumberFormat="1" applyFont="1" applyFill="1" applyBorder="1" applyAlignment="1" applyProtection="1">
      <alignment horizontal="center"/>
    </xf>
    <xf numFmtId="0" fontId="0" fillId="0" borderId="0" xfId="0" applyAlignment="1">
      <alignment horizontal="left"/>
    </xf>
    <xf numFmtId="0" fontId="67" fillId="0" borderId="0" xfId="0" applyFont="1">
      <alignment vertical="center"/>
    </xf>
    <xf numFmtId="2" fontId="39" fillId="0" borderId="45" xfId="0" applyNumberFormat="1" applyFont="1" applyFill="1" applyBorder="1" applyAlignment="1" applyProtection="1">
      <alignment horizontal="left" vertical="center"/>
    </xf>
    <xf numFmtId="170" fontId="36" fillId="2" borderId="11" xfId="0" applyNumberFormat="1" applyFont="1" applyFill="1" applyBorder="1" applyAlignment="1" applyProtection="1">
      <alignment horizontal="center"/>
      <protection locked="0"/>
    </xf>
    <xf numFmtId="0" fontId="57" fillId="0" borderId="0" xfId="0" applyFont="1">
      <alignment vertical="center"/>
    </xf>
    <xf numFmtId="1" fontId="40" fillId="0" borderId="66" xfId="0" applyNumberFormat="1" applyFont="1" applyFill="1" applyBorder="1" applyAlignment="1" applyProtection="1">
      <alignment horizontal="center"/>
    </xf>
    <xf numFmtId="1" fontId="40" fillId="0" borderId="5" xfId="0" applyNumberFormat="1" applyFont="1" applyFill="1" applyBorder="1" applyAlignment="1" applyProtection="1">
      <alignment horizontal="center"/>
    </xf>
    <xf numFmtId="1" fontId="40" fillId="0" borderId="51" xfId="0" applyNumberFormat="1" applyFont="1" applyFill="1" applyBorder="1" applyAlignment="1" applyProtection="1">
      <alignment horizontal="centerContinuous"/>
    </xf>
    <xf numFmtId="1" fontId="65" fillId="4" borderId="51" xfId="0" applyNumberFormat="1" applyFont="1" applyFill="1" applyBorder="1" applyAlignment="1" applyProtection="1">
      <alignment horizontal="center" vertical="center"/>
    </xf>
    <xf numFmtId="9" fontId="40" fillId="0" borderId="0" xfId="0" applyNumberFormat="1" applyFont="1" applyFill="1" applyBorder="1" applyAlignment="1" applyProtection="1">
      <alignment horizontal="right"/>
    </xf>
    <xf numFmtId="0" fontId="66" fillId="0" borderId="54" xfId="0" applyFont="1" applyFill="1" applyBorder="1" applyAlignment="1" applyProtection="1">
      <alignment horizontal="center"/>
    </xf>
    <xf numFmtId="1" fontId="65" fillId="4" borderId="53" xfId="0" applyNumberFormat="1" applyFont="1" applyFill="1" applyBorder="1" applyAlignment="1" applyProtection="1">
      <alignment horizontal="center" vertical="center"/>
    </xf>
    <xf numFmtId="3" fontId="65" fillId="0" borderId="51" xfId="0" applyNumberFormat="1" applyFont="1" applyFill="1" applyBorder="1" applyAlignment="1" applyProtection="1">
      <alignment horizontal="centerContinuous" vertical="center"/>
    </xf>
    <xf numFmtId="0" fontId="66" fillId="0" borderId="71" xfId="0" applyFont="1" applyFill="1" applyBorder="1" applyAlignment="1" applyProtection="1">
      <alignment horizontal="centerContinuous"/>
    </xf>
    <xf numFmtId="0" fontId="66" fillId="0" borderId="78" xfId="0" applyFont="1" applyFill="1" applyBorder="1" applyAlignment="1" applyProtection="1">
      <alignment horizontal="centerContinuous"/>
    </xf>
    <xf numFmtId="0" fontId="66" fillId="0" borderId="79" xfId="0" applyFont="1" applyFill="1" applyBorder="1" applyAlignment="1" applyProtection="1">
      <alignment horizontal="centerContinuous"/>
    </xf>
    <xf numFmtId="0" fontId="66" fillId="0" borderId="4" xfId="0" applyFont="1" applyFill="1" applyBorder="1" applyAlignment="1" applyProtection="1">
      <alignment horizontal="centerContinuous"/>
    </xf>
    <xf numFmtId="0" fontId="28" fillId="0" borderId="71" xfId="0" applyFont="1" applyFill="1" applyBorder="1" applyAlignment="1" applyProtection="1">
      <alignment horizontal="centerContinuous" vertical="center"/>
    </xf>
    <xf numFmtId="1" fontId="40" fillId="0" borderId="18" xfId="0" applyNumberFormat="1" applyFont="1" applyFill="1" applyBorder="1" applyAlignment="1" applyProtection="1">
      <alignment horizontal="centerContinuous"/>
    </xf>
    <xf numFmtId="0" fontId="0" fillId="0" borderId="55" xfId="0" applyBorder="1">
      <alignment vertical="center"/>
    </xf>
    <xf numFmtId="0" fontId="0" fillId="0" borderId="0" xfId="0" applyAlignment="1"/>
    <xf numFmtId="1" fontId="65" fillId="4" borderId="51" xfId="0" applyNumberFormat="1" applyFont="1" applyFill="1" applyBorder="1" applyAlignment="1" applyProtection="1">
      <alignment horizontal="centerContinuous" vertical="center"/>
    </xf>
    <xf numFmtId="0" fontId="0" fillId="0" borderId="0" xfId="0" applyBorder="1">
      <alignment vertical="center"/>
    </xf>
    <xf numFmtId="0" fontId="28" fillId="0" borderId="0" xfId="0" applyFont="1" applyBorder="1" applyProtection="1">
      <alignment vertical="center"/>
    </xf>
    <xf numFmtId="0" fontId="28" fillId="0" borderId="0" xfId="0" applyFont="1">
      <alignment vertical="center"/>
    </xf>
    <xf numFmtId="0" fontId="40" fillId="0" borderId="0" xfId="0" applyFont="1" applyBorder="1" applyProtection="1">
      <alignment vertical="center"/>
    </xf>
    <xf numFmtId="0" fontId="39" fillId="0" borderId="30" xfId="0" applyFont="1" applyBorder="1" applyProtection="1">
      <alignment vertical="center"/>
    </xf>
    <xf numFmtId="0" fontId="39" fillId="0" borderId="0" xfId="0" applyFont="1" applyBorder="1" applyProtection="1">
      <alignment vertical="center"/>
    </xf>
    <xf numFmtId="0" fontId="29" fillId="0" borderId="0" xfId="0" applyFont="1" applyBorder="1" applyProtection="1">
      <alignment vertical="center"/>
    </xf>
    <xf numFmtId="0" fontId="39" fillId="0" borderId="0" xfId="0" applyFont="1">
      <alignment vertical="center"/>
    </xf>
    <xf numFmtId="0" fontId="39" fillId="0" borderId="4" xfId="0" applyFont="1" applyBorder="1" applyProtection="1">
      <alignment vertical="center"/>
    </xf>
    <xf numFmtId="0" fontId="39" fillId="0" borderId="0" xfId="0" applyFont="1" applyBorder="1">
      <alignment vertical="center"/>
    </xf>
    <xf numFmtId="0" fontId="39" fillId="0" borderId="19" xfId="0" applyFont="1" applyBorder="1" applyProtection="1">
      <alignment vertical="center"/>
    </xf>
    <xf numFmtId="0" fontId="31" fillId="0" borderId="0" xfId="0" applyFont="1" applyBorder="1" applyProtection="1">
      <alignment vertical="center"/>
    </xf>
    <xf numFmtId="0" fontId="28" fillId="0" borderId="0" xfId="0" applyFont="1" applyBorder="1" applyAlignment="1" applyProtection="1"/>
    <xf numFmtId="0" fontId="28" fillId="0" borderId="10" xfId="0" applyFont="1" applyBorder="1" applyProtection="1">
      <alignment vertical="center"/>
    </xf>
    <xf numFmtId="0" fontId="28" fillId="0" borderId="10" xfId="0" applyFont="1" applyBorder="1" applyAlignment="1" applyProtection="1">
      <alignment horizontal="center"/>
    </xf>
    <xf numFmtId="0" fontId="28" fillId="0" borderId="36" xfId="0" applyFont="1" applyBorder="1" applyProtection="1">
      <alignment vertical="center"/>
    </xf>
    <xf numFmtId="2" fontId="28" fillId="0" borderId="0" xfId="0" applyNumberFormat="1" applyFont="1" applyBorder="1" applyProtection="1">
      <alignment vertical="center"/>
    </xf>
    <xf numFmtId="2" fontId="28" fillId="0" borderId="0" xfId="0" applyNumberFormat="1" applyFont="1" applyBorder="1" applyAlignment="1" applyProtection="1">
      <alignment horizontal="center"/>
    </xf>
    <xf numFmtId="0" fontId="28" fillId="0" borderId="0" xfId="0" applyFont="1" applyProtection="1">
      <alignment vertical="center"/>
    </xf>
    <xf numFmtId="0" fontId="39" fillId="0" borderId="0" xfId="0" applyFont="1" applyAlignment="1">
      <alignment horizontal="center"/>
    </xf>
    <xf numFmtId="0" fontId="31" fillId="0" borderId="0" xfId="0" applyFont="1" applyFill="1" applyBorder="1" applyAlignment="1" applyProtection="1">
      <alignment horizontal="center"/>
    </xf>
    <xf numFmtId="0" fontId="38" fillId="0" borderId="0" xfId="0" applyFont="1" applyFill="1" applyBorder="1" applyAlignment="1" applyProtection="1">
      <alignment horizontal="center" vertical="center" wrapText="1"/>
    </xf>
    <xf numFmtId="0" fontId="38" fillId="0" borderId="11" xfId="0" applyFont="1" applyFill="1" applyBorder="1" applyAlignment="1" applyProtection="1">
      <alignment horizontal="center" vertical="center"/>
    </xf>
    <xf numFmtId="0" fontId="57" fillId="0" borderId="0" xfId="0" applyFont="1" applyAlignment="1">
      <alignment horizontal="center"/>
    </xf>
    <xf numFmtId="0" fontId="0" fillId="0" borderId="0" xfId="0" applyAlignment="1">
      <alignment horizontal="center"/>
    </xf>
    <xf numFmtId="1" fontId="65" fillId="0" borderId="30" xfId="0" applyNumberFormat="1" applyFont="1" applyFill="1" applyBorder="1" applyAlignment="1" applyProtection="1">
      <alignment horizontal="centerContinuous" vertical="center"/>
    </xf>
    <xf numFmtId="0" fontId="65" fillId="0" borderId="64" xfId="0" applyFont="1" applyFill="1" applyBorder="1" applyAlignment="1" applyProtection="1">
      <alignment horizontal="center"/>
    </xf>
    <xf numFmtId="0" fontId="65" fillId="0" borderId="30" xfId="0" applyFont="1" applyFill="1" applyBorder="1" applyAlignment="1" applyProtection="1">
      <alignment horizontal="centerContinuous"/>
    </xf>
    <xf numFmtId="0" fontId="65" fillId="0" borderId="29" xfId="0" applyFont="1" applyFill="1" applyBorder="1" applyAlignment="1" applyProtection="1">
      <alignment horizontal="centerContinuous"/>
    </xf>
    <xf numFmtId="0" fontId="65" fillId="0" borderId="55" xfId="0" applyFont="1" applyFill="1" applyBorder="1" applyAlignment="1" applyProtection="1">
      <alignment horizontal="center"/>
    </xf>
    <xf numFmtId="0" fontId="65" fillId="0" borderId="54" xfId="0" applyFont="1" applyFill="1" applyBorder="1" applyAlignment="1" applyProtection="1">
      <alignment horizontal="center"/>
    </xf>
    <xf numFmtId="9" fontId="40" fillId="0" borderId="0" xfId="0" applyNumberFormat="1" applyFont="1" applyFill="1" applyBorder="1" applyAlignment="1" applyProtection="1">
      <alignment horizontal="left"/>
    </xf>
    <xf numFmtId="0" fontId="54" fillId="0" borderId="0" xfId="0" applyFont="1" applyFill="1" applyBorder="1" applyAlignment="1" applyProtection="1"/>
    <xf numFmtId="0" fontId="73" fillId="0" borderId="110" xfId="0" applyFont="1" applyFill="1" applyBorder="1" applyAlignment="1" applyProtection="1">
      <alignment horizontal="center"/>
      <protection locked="0"/>
    </xf>
    <xf numFmtId="0" fontId="68" fillId="0" borderId="93" xfId="0" applyFont="1" applyFill="1" applyBorder="1" applyAlignment="1" applyProtection="1">
      <alignment horizontal="right" vertical="top" wrapText="1"/>
      <protection locked="0"/>
    </xf>
    <xf numFmtId="0" fontId="68" fillId="0" borderId="93" xfId="0" applyFont="1" applyFill="1" applyBorder="1" applyAlignment="1" applyProtection="1">
      <alignment horizontal="left" vertical="top" wrapText="1"/>
      <protection locked="0"/>
    </xf>
    <xf numFmtId="0" fontId="72" fillId="0" borderId="0" xfId="0" applyFont="1" applyFill="1" applyBorder="1" applyAlignment="1" applyProtection="1"/>
    <xf numFmtId="0" fontId="68" fillId="0" borderId="93" xfId="0" applyFont="1" applyFill="1" applyBorder="1" applyAlignment="1" applyProtection="1">
      <alignment horizontal="center" vertical="top" wrapText="1"/>
      <protection locked="0"/>
    </xf>
    <xf numFmtId="3" fontId="28" fillId="2" borderId="11" xfId="0" applyNumberFormat="1" applyFont="1" applyFill="1" applyBorder="1" applyAlignment="1" applyProtection="1">
      <alignment horizontal="right"/>
      <protection locked="0"/>
    </xf>
    <xf numFmtId="2" fontId="26" fillId="0" borderId="0" xfId="0" applyNumberFormat="1" applyFont="1" applyFill="1" applyBorder="1" applyAlignment="1" applyProtection="1">
      <alignment horizontal="right"/>
    </xf>
    <xf numFmtId="0" fontId="26" fillId="0" borderId="0" xfId="0" applyFont="1" applyFill="1" applyBorder="1" applyAlignment="1" applyProtection="1">
      <alignment horizontal="right"/>
    </xf>
    <xf numFmtId="0" fontId="28" fillId="0" borderId="0" xfId="0" applyFont="1" applyFill="1" applyBorder="1" applyAlignment="1" applyProtection="1">
      <alignment horizontal="center" wrapText="1"/>
    </xf>
    <xf numFmtId="0" fontId="28" fillId="0" borderId="0" xfId="0" applyFont="1" applyFill="1" applyBorder="1" applyAlignment="1" applyProtection="1">
      <alignment horizontal="center" vertical="top"/>
    </xf>
    <xf numFmtId="0" fontId="28" fillId="0" borderId="0" xfId="0" applyFont="1" applyFill="1" applyBorder="1" applyAlignment="1" applyProtection="1">
      <alignment horizontal="centerContinuous" wrapText="1"/>
    </xf>
    <xf numFmtId="0" fontId="0" fillId="0" borderId="0" xfId="0" applyAlignment="1">
      <alignment horizontal="right"/>
    </xf>
    <xf numFmtId="0" fontId="28" fillId="0" borderId="0" xfId="0" applyFont="1" applyFill="1" applyBorder="1" applyAlignment="1" applyProtection="1">
      <alignment horizontal="center" vertical="center" wrapText="1"/>
    </xf>
    <xf numFmtId="185" fontId="28" fillId="0" borderId="0" xfId="0" applyNumberFormat="1" applyFont="1" applyFill="1" applyBorder="1" applyAlignment="1" applyProtection="1"/>
    <xf numFmtId="0" fontId="41" fillId="0" borderId="0" xfId="0" applyFont="1">
      <alignment vertical="center"/>
    </xf>
    <xf numFmtId="1" fontId="41" fillId="0" borderId="0" xfId="0" applyNumberFormat="1" applyFont="1" applyAlignment="1">
      <alignment horizontal="center"/>
    </xf>
    <xf numFmtId="2" fontId="28" fillId="2" borderId="11" xfId="0" applyNumberFormat="1" applyFont="1" applyFill="1" applyBorder="1" applyAlignment="1" applyProtection="1">
      <alignment horizontal="left"/>
      <protection locked="0"/>
    </xf>
    <xf numFmtId="0" fontId="28" fillId="0" borderId="80" xfId="0" applyFont="1" applyFill="1" applyBorder="1" applyAlignment="1" applyProtection="1"/>
    <xf numFmtId="0" fontId="32" fillId="0" borderId="111" xfId="0" applyFont="1" applyFill="1" applyBorder="1" applyAlignment="1" applyProtection="1">
      <alignment horizontal="left" vertical="center"/>
    </xf>
    <xf numFmtId="0" fontId="28" fillId="0" borderId="98" xfId="0" applyFont="1" applyFill="1" applyBorder="1" applyAlignment="1" applyProtection="1"/>
    <xf numFmtId="0" fontId="28" fillId="0" borderId="105" xfId="0" applyFont="1" applyFill="1" applyBorder="1" applyAlignment="1" applyProtection="1"/>
    <xf numFmtId="0" fontId="32" fillId="0" borderId="53" xfId="0" applyFont="1" applyFill="1" applyBorder="1" applyAlignment="1" applyProtection="1">
      <alignment horizontal="center" vertical="center"/>
    </xf>
    <xf numFmtId="173" fontId="39" fillId="0" borderId="52" xfId="0" applyNumberFormat="1" applyFont="1" applyFill="1" applyBorder="1" applyAlignment="1" applyProtection="1">
      <alignment horizontal="center" vertical="center"/>
    </xf>
    <xf numFmtId="1" fontId="39" fillId="0" borderId="52" xfId="0" applyNumberFormat="1" applyFont="1" applyFill="1" applyBorder="1" applyAlignment="1" applyProtection="1">
      <alignment horizontal="center" vertical="center"/>
    </xf>
    <xf numFmtId="0" fontId="39" fillId="0" borderId="112" xfId="0" applyFont="1" applyFill="1" applyBorder="1" applyProtection="1">
      <alignment vertical="center"/>
    </xf>
    <xf numFmtId="0" fontId="35" fillId="0" borderId="0" xfId="0" applyFont="1" applyFill="1" applyBorder="1" applyAlignment="1" applyProtection="1">
      <alignment horizontal="left"/>
      <protection locked="0"/>
    </xf>
    <xf numFmtId="1" fontId="39" fillId="0" borderId="2" xfId="0" applyNumberFormat="1" applyFont="1" applyFill="1" applyBorder="1" applyProtection="1">
      <alignment vertical="center"/>
    </xf>
    <xf numFmtId="0" fontId="30" fillId="0" borderId="0" xfId="0" applyFont="1" applyFill="1" applyBorder="1" applyAlignment="1" applyProtection="1">
      <alignment vertical="top"/>
    </xf>
    <xf numFmtId="0" fontId="37" fillId="0" borderId="0" xfId="0" applyFont="1" applyFill="1" applyBorder="1" applyAlignment="1" applyProtection="1"/>
    <xf numFmtId="0" fontId="37" fillId="0" borderId="0" xfId="0" applyFont="1" applyFill="1" applyBorder="1" applyAlignment="1" applyProtection="1">
      <alignment horizontal="center"/>
    </xf>
    <xf numFmtId="0" fontId="36" fillId="0" borderId="12" xfId="0" applyFont="1" applyFill="1" applyBorder="1" applyAlignment="1" applyProtection="1">
      <alignment horizontal="left"/>
    </xf>
    <xf numFmtId="0" fontId="28" fillId="0" borderId="12" xfId="0" applyFont="1" applyFill="1" applyBorder="1" applyAlignment="1" applyProtection="1"/>
    <xf numFmtId="0" fontId="40" fillId="0" borderId="19" xfId="0" applyFont="1" applyFill="1" applyBorder="1" applyAlignment="1" applyProtection="1">
      <alignment horizontal="centerContinuous" vertical="center"/>
    </xf>
    <xf numFmtId="0" fontId="66" fillId="0" borderId="83" xfId="0" applyFont="1" applyFill="1" applyBorder="1" applyAlignment="1" applyProtection="1">
      <alignment horizontal="centerContinuous" vertical="center"/>
    </xf>
    <xf numFmtId="2" fontId="39" fillId="0" borderId="0" xfId="0" applyNumberFormat="1" applyFont="1" applyFill="1" applyBorder="1" applyAlignment="1" applyProtection="1">
      <alignment horizontal="left" vertical="center"/>
    </xf>
    <xf numFmtId="3" fontId="39" fillId="0" borderId="0" xfId="0" applyNumberFormat="1" applyFont="1" applyFill="1" applyBorder="1" applyAlignment="1" applyProtection="1">
      <alignment horizontal="right"/>
    </xf>
    <xf numFmtId="174" fontId="39" fillId="0" borderId="33" xfId="0" applyNumberFormat="1" applyFont="1" applyFill="1" applyBorder="1" applyAlignment="1" applyProtection="1">
      <alignment horizontal="center"/>
      <protection locked="0"/>
    </xf>
    <xf numFmtId="0" fontId="70" fillId="0" borderId="0" xfId="0" applyFont="1" applyFill="1" applyBorder="1" applyAlignment="1" applyProtection="1">
      <alignment horizontal="left"/>
    </xf>
    <xf numFmtId="0" fontId="28" fillId="0" borderId="73" xfId="0" applyFont="1" applyFill="1" applyBorder="1" applyAlignment="1" applyProtection="1">
      <alignment horizontal="center"/>
    </xf>
    <xf numFmtId="174" fontId="39" fillId="0" borderId="0" xfId="0" applyNumberFormat="1" applyFont="1" applyFill="1" applyBorder="1" applyAlignment="1" applyProtection="1">
      <alignment horizontal="center"/>
      <protection locked="0"/>
    </xf>
    <xf numFmtId="2" fontId="39" fillId="0" borderId="30" xfId="0" applyNumberFormat="1" applyFont="1" applyFill="1" applyBorder="1" applyAlignment="1" applyProtection="1">
      <alignment horizontal="center"/>
    </xf>
    <xf numFmtId="0" fontId="39" fillId="0" borderId="11" xfId="0" applyFont="1" applyFill="1" applyBorder="1" applyAlignment="1" applyProtection="1">
      <alignment horizontal="right" vertical="center"/>
    </xf>
    <xf numFmtId="0" fontId="27" fillId="0" borderId="0" xfId="0" applyFont="1" applyFill="1" applyBorder="1" applyAlignment="1" applyProtection="1"/>
    <xf numFmtId="0" fontId="40" fillId="0" borderId="49" xfId="0" applyFont="1" applyFill="1" applyBorder="1" applyAlignment="1" applyProtection="1">
      <alignment horizontal="left"/>
    </xf>
    <xf numFmtId="1" fontId="40" fillId="4" borderId="65" xfId="0" applyNumberFormat="1" applyFont="1" applyFill="1" applyBorder="1" applyAlignment="1" applyProtection="1">
      <alignment horizontal="center"/>
    </xf>
    <xf numFmtId="1" fontId="40" fillId="4" borderId="51" xfId="0" applyNumberFormat="1" applyFont="1" applyFill="1" applyBorder="1" applyAlignment="1" applyProtection="1">
      <alignment horizontal="center"/>
    </xf>
    <xf numFmtId="1" fontId="40" fillId="0" borderId="53" xfId="0" applyNumberFormat="1" applyFont="1" applyFill="1" applyBorder="1" applyAlignment="1" applyProtection="1">
      <alignment horizontal="center"/>
    </xf>
    <xf numFmtId="0" fontId="55" fillId="0" borderId="0" xfId="0" applyFont="1" applyFill="1" applyBorder="1" applyProtection="1">
      <alignment vertical="center"/>
    </xf>
    <xf numFmtId="0" fontId="55" fillId="0" borderId="0" xfId="0" applyFont="1" applyFill="1" applyBorder="1" applyAlignment="1" applyProtection="1">
      <alignment horizontal="left" vertical="center"/>
    </xf>
    <xf numFmtId="1" fontId="55" fillId="0" borderId="0" xfId="0" applyNumberFormat="1" applyFont="1" applyFill="1" applyBorder="1" applyAlignment="1" applyProtection="1">
      <alignment horizontal="left" vertical="center"/>
    </xf>
    <xf numFmtId="0" fontId="40" fillId="0" borderId="0" xfId="0" applyFont="1" applyFill="1" applyBorder="1" applyAlignment="1" applyProtection="1">
      <alignment horizontal="left" vertical="center"/>
    </xf>
    <xf numFmtId="0" fontId="40" fillId="0" borderId="0" xfId="0" applyFont="1" applyFill="1" applyBorder="1" applyAlignment="1" applyProtection="1">
      <alignment horizontal="center" vertical="center"/>
    </xf>
    <xf numFmtId="1" fontId="40" fillId="0" borderId="0" xfId="0" applyNumberFormat="1" applyFont="1" applyFill="1" applyBorder="1" applyAlignment="1" applyProtection="1">
      <alignment horizontal="right" vertical="center"/>
    </xf>
    <xf numFmtId="172" fontId="40" fillId="0" borderId="0" xfId="0" applyNumberFormat="1" applyFont="1" applyFill="1" applyBorder="1" applyAlignment="1" applyProtection="1">
      <alignment horizontal="right" vertical="center"/>
    </xf>
    <xf numFmtId="172" fontId="48" fillId="0" borderId="0" xfId="0" applyNumberFormat="1" applyFont="1" applyFill="1" applyBorder="1" applyAlignment="1" applyProtection="1">
      <alignment horizontal="left" vertical="center"/>
    </xf>
    <xf numFmtId="0" fontId="40" fillId="0" borderId="0" xfId="0" applyFont="1" applyFill="1" applyBorder="1" applyAlignment="1" applyProtection="1">
      <alignment horizontal="right" vertical="center"/>
    </xf>
    <xf numFmtId="0" fontId="40" fillId="0" borderId="71" xfId="0" applyFont="1" applyFill="1" applyBorder="1" applyAlignment="1" applyProtection="1">
      <alignment horizontal="centerContinuous" vertical="center"/>
    </xf>
    <xf numFmtId="0" fontId="40" fillId="0" borderId="5" xfId="0" applyFont="1" applyFill="1" applyBorder="1" applyAlignment="1" applyProtection="1">
      <alignment horizontal="centerContinuous" vertical="center"/>
    </xf>
    <xf numFmtId="0" fontId="40" fillId="0" borderId="55" xfId="0" applyFont="1" applyFill="1" applyBorder="1" applyAlignment="1" applyProtection="1">
      <alignment horizontal="centerContinuous" vertical="center"/>
    </xf>
    <xf numFmtId="0" fontId="56" fillId="0" borderId="7" xfId="0" applyFont="1" applyFill="1" applyBorder="1" applyAlignment="1" applyProtection="1">
      <alignment horizontal="center"/>
    </xf>
    <xf numFmtId="0" fontId="40" fillId="2" borderId="8" xfId="0" applyFont="1" applyFill="1" applyBorder="1" applyAlignment="1" applyProtection="1">
      <alignment horizontal="center"/>
      <protection locked="0"/>
    </xf>
    <xf numFmtId="0" fontId="26" fillId="0" borderId="30" xfId="0" applyFont="1" applyFill="1" applyBorder="1" applyAlignment="1" applyProtection="1"/>
    <xf numFmtId="0" fontId="0" fillId="0" borderId="0" xfId="0" applyAlignment="1">
      <alignment horizontal="centerContinuous"/>
    </xf>
    <xf numFmtId="0" fontId="0" fillId="0" borderId="4" xfId="0" applyBorder="1">
      <alignment vertical="center"/>
    </xf>
    <xf numFmtId="0" fontId="0" fillId="0" borderId="71" xfId="0" applyBorder="1">
      <alignment vertical="center"/>
    </xf>
    <xf numFmtId="0" fontId="0" fillId="0" borderId="19" xfId="0" applyBorder="1">
      <alignment vertical="center"/>
    </xf>
    <xf numFmtId="0" fontId="0" fillId="0" borderId="30" xfId="0" applyBorder="1">
      <alignment vertical="center"/>
    </xf>
    <xf numFmtId="0" fontId="77" fillId="0" borderId="0" xfId="0" applyFont="1">
      <alignment vertical="center"/>
    </xf>
    <xf numFmtId="0" fontId="29" fillId="0" borderId="10" xfId="0" applyFont="1" applyFill="1" applyBorder="1" applyProtection="1">
      <alignment vertical="center"/>
    </xf>
    <xf numFmtId="0" fontId="38" fillId="0" borderId="29" xfId="0" applyFont="1" applyBorder="1">
      <alignment vertical="center"/>
    </xf>
    <xf numFmtId="0" fontId="38" fillId="0" borderId="30" xfId="0" applyFont="1" applyBorder="1">
      <alignment vertical="center"/>
    </xf>
    <xf numFmtId="0" fontId="28" fillId="2" borderId="29" xfId="0" applyFont="1" applyFill="1" applyBorder="1" applyAlignment="1" applyProtection="1">
      <protection locked="0"/>
    </xf>
    <xf numFmtId="172" fontId="39" fillId="2" borderId="48" xfId="0" applyNumberFormat="1" applyFont="1" applyFill="1" applyBorder="1" applyAlignment="1" applyProtection="1">
      <alignment horizontal="center"/>
      <protection locked="0"/>
    </xf>
    <xf numFmtId="0" fontId="39" fillId="7" borderId="1" xfId="0" applyFont="1" applyFill="1" applyBorder="1" applyAlignment="1" applyProtection="1">
      <alignment horizontal="center"/>
      <protection locked="0"/>
    </xf>
    <xf numFmtId="2" fontId="39" fillId="0" borderId="19" xfId="0" applyNumberFormat="1" applyFont="1" applyFill="1" applyBorder="1" applyAlignment="1" applyProtection="1">
      <alignment horizontal="center"/>
    </xf>
    <xf numFmtId="0" fontId="26" fillId="0" borderId="0" xfId="0" applyFont="1" applyFill="1" applyBorder="1" applyAlignment="1" applyProtection="1">
      <alignment horizontal="right" vertical="center"/>
    </xf>
    <xf numFmtId="0" fontId="71" fillId="0" borderId="0" xfId="0" applyFont="1" applyFill="1" applyBorder="1" applyAlignment="1" applyProtection="1"/>
    <xf numFmtId="0" fontId="39" fillId="2" borderId="0" xfId="0" applyFont="1" applyFill="1" applyBorder="1" applyAlignment="1" applyProtection="1">
      <protection locked="0"/>
    </xf>
    <xf numFmtId="0" fontId="40" fillId="0" borderId="0" xfId="0" quotePrefix="1" applyFont="1" applyFill="1" applyBorder="1" applyAlignment="1" applyProtection="1">
      <alignment horizontal="center"/>
    </xf>
    <xf numFmtId="2" fontId="40" fillId="0" borderId="0" xfId="0" applyNumberFormat="1" applyFont="1" applyFill="1" applyBorder="1" applyAlignment="1" applyProtection="1">
      <alignment horizontal="center"/>
    </xf>
    <xf numFmtId="0" fontId="26" fillId="0" borderId="0" xfId="0" applyFont="1" applyFill="1" applyBorder="1" applyAlignment="1" applyProtection="1">
      <alignment horizontal="center"/>
    </xf>
    <xf numFmtId="0" fontId="71" fillId="0" borderId="0" xfId="0" applyFont="1" applyFill="1" applyBorder="1" applyProtection="1">
      <alignment vertical="center"/>
    </xf>
    <xf numFmtId="0" fontId="65" fillId="0" borderId="49" xfId="0" applyFont="1" applyFill="1" applyBorder="1" applyAlignment="1" applyProtection="1">
      <alignment horizontal="center"/>
    </xf>
    <xf numFmtId="0" fontId="66" fillId="0" borderId="53" xfId="0" applyFont="1" applyFill="1" applyBorder="1" applyAlignment="1" applyProtection="1">
      <alignment horizontal="right"/>
    </xf>
    <xf numFmtId="1" fontId="40" fillId="0" borderId="54" xfId="0" applyNumberFormat="1" applyFont="1" applyFill="1" applyBorder="1" applyAlignment="1" applyProtection="1">
      <alignment horizontal="center"/>
    </xf>
    <xf numFmtId="0" fontId="40" fillId="4" borderId="72" xfId="0" applyFont="1" applyFill="1" applyBorder="1" applyAlignment="1" applyProtection="1">
      <alignment horizontal="center" vertical="center"/>
    </xf>
    <xf numFmtId="0" fontId="40" fillId="4" borderId="75" xfId="0" applyFont="1" applyFill="1" applyBorder="1" applyAlignment="1" applyProtection="1">
      <alignment horizontal="center" vertical="center"/>
    </xf>
    <xf numFmtId="0" fontId="40" fillId="0" borderId="7" xfId="0" applyFont="1" applyFill="1" applyBorder="1" applyAlignment="1" applyProtection="1">
      <alignment horizontal="center" vertical="top"/>
    </xf>
    <xf numFmtId="0" fontId="26" fillId="0" borderId="0" xfId="0" applyFont="1" applyAlignment="1">
      <alignment horizontal="center"/>
    </xf>
    <xf numFmtId="0" fontId="40" fillId="0" borderId="20" xfId="0" applyFont="1" applyFill="1" applyBorder="1" applyAlignment="1" applyProtection="1">
      <alignment horizontal="center"/>
    </xf>
    <xf numFmtId="0" fontId="47" fillId="0" borderId="5" xfId="0" applyFont="1" applyFill="1" applyBorder="1" applyAlignment="1" applyProtection="1"/>
    <xf numFmtId="0" fontId="47" fillId="0" borderId="30" xfId="0" applyFont="1" applyFill="1" applyBorder="1" applyAlignment="1" applyProtection="1"/>
    <xf numFmtId="0" fontId="66" fillId="0" borderId="0" xfId="0" applyFont="1">
      <alignment vertical="center"/>
    </xf>
    <xf numFmtId="0" fontId="66" fillId="0" borderId="20" xfId="0" applyFont="1" applyBorder="1" applyAlignment="1">
      <alignment horizontal="centerContinuous"/>
    </xf>
    <xf numFmtId="0" fontId="66" fillId="0" borderId="0" xfId="0" applyFont="1" applyBorder="1" applyAlignment="1">
      <alignment horizontal="centerContinuous"/>
    </xf>
    <xf numFmtId="0" fontId="66" fillId="0" borderId="48" xfId="0" applyFont="1" applyBorder="1" applyAlignment="1">
      <alignment horizontal="centerContinuous"/>
    </xf>
    <xf numFmtId="0" fontId="66" fillId="0" borderId="30" xfId="0" applyFont="1" applyBorder="1" applyAlignment="1">
      <alignment horizontal="centerContinuous"/>
    </xf>
    <xf numFmtId="0" fontId="40" fillId="0" borderId="0" xfId="0" applyFont="1">
      <alignment vertical="center"/>
    </xf>
    <xf numFmtId="1" fontId="40" fillId="0" borderId="49" xfId="0" applyNumberFormat="1" applyFont="1" applyFill="1" applyBorder="1" applyAlignment="1" applyProtection="1">
      <alignment horizontal="center"/>
    </xf>
    <xf numFmtId="1" fontId="65" fillId="0" borderId="65" xfId="0" applyNumberFormat="1" applyFont="1" applyFill="1" applyBorder="1" applyAlignment="1" applyProtection="1">
      <alignment horizontal="center"/>
    </xf>
    <xf numFmtId="171" fontId="39" fillId="0" borderId="0" xfId="0" applyNumberFormat="1" applyFont="1" applyFill="1" applyBorder="1" applyAlignment="1" applyProtection="1">
      <alignment horizontal="center" vertical="center"/>
      <protection locked="0"/>
    </xf>
    <xf numFmtId="1" fontId="40" fillId="4" borderId="31" xfId="0" applyNumberFormat="1" applyFont="1" applyFill="1" applyBorder="1" applyAlignment="1" applyProtection="1">
      <alignment horizontal="centerContinuous"/>
    </xf>
    <xf numFmtId="1" fontId="40" fillId="4" borderId="109" xfId="0" applyNumberFormat="1" applyFont="1" applyFill="1" applyBorder="1" applyAlignment="1" applyProtection="1">
      <alignment horizontal="centerContinuous"/>
    </xf>
    <xf numFmtId="1" fontId="40" fillId="4" borderId="52" xfId="0" applyNumberFormat="1" applyFont="1" applyFill="1" applyBorder="1" applyAlignment="1" applyProtection="1">
      <alignment horizontal="centerContinuous"/>
    </xf>
    <xf numFmtId="1" fontId="40" fillId="4" borderId="53" xfId="0" applyNumberFormat="1" applyFont="1" applyFill="1" applyBorder="1" applyAlignment="1" applyProtection="1">
      <alignment horizontal="centerContinuous"/>
    </xf>
    <xf numFmtId="0" fontId="40" fillId="2" borderId="30" xfId="0" applyFont="1" applyFill="1" applyBorder="1" applyAlignment="1"/>
    <xf numFmtId="0" fontId="47" fillId="0" borderId="0" xfId="0" applyFont="1">
      <alignment vertical="center"/>
    </xf>
    <xf numFmtId="0" fontId="40" fillId="0" borderId="0" xfId="0" applyFont="1" applyAlignment="1">
      <alignment horizontal="left"/>
    </xf>
    <xf numFmtId="0" fontId="26" fillId="0" borderId="13" xfId="0" applyFont="1" applyFill="1" applyBorder="1" applyAlignment="1" applyProtection="1"/>
    <xf numFmtId="0" fontId="39" fillId="0" borderId="15" xfId="0" applyFont="1" applyFill="1" applyBorder="1" applyAlignment="1" applyProtection="1">
      <alignment horizontal="centerContinuous" vertical="top"/>
    </xf>
    <xf numFmtId="0" fontId="39" fillId="0" borderId="15" xfId="0" applyFont="1" applyFill="1" applyBorder="1" applyAlignment="1" applyProtection="1">
      <alignment horizontal="center" wrapText="1"/>
    </xf>
    <xf numFmtId="0" fontId="39" fillId="0" borderId="15" xfId="0" applyFont="1" applyFill="1" applyBorder="1" applyAlignment="1" applyProtection="1">
      <alignment horizontal="centerContinuous" vertical="top" wrapText="1"/>
    </xf>
    <xf numFmtId="0" fontId="39" fillId="0" borderId="15" xfId="0" applyFont="1" applyFill="1" applyBorder="1" applyAlignment="1" applyProtection="1">
      <alignment horizontal="center" vertical="top" wrapText="1"/>
    </xf>
    <xf numFmtId="0" fontId="39" fillId="0" borderId="15" xfId="0" applyFont="1" applyFill="1" applyBorder="1" applyAlignment="1" applyProtection="1">
      <alignment horizontal="centerContinuous" wrapText="1"/>
    </xf>
    <xf numFmtId="0" fontId="39" fillId="0" borderId="13" xfId="0" applyFont="1" applyFill="1" applyBorder="1" applyAlignment="1" applyProtection="1">
      <alignment horizontal="centerContinuous" wrapText="1"/>
    </xf>
    <xf numFmtId="0" fontId="39" fillId="0" borderId="67" xfId="0" applyFont="1" applyFill="1" applyBorder="1" applyAlignment="1" applyProtection="1">
      <alignment horizontal="centerContinuous" wrapText="1"/>
    </xf>
    <xf numFmtId="0" fontId="27" fillId="0" borderId="0" xfId="0" applyFont="1" applyFill="1" applyBorder="1" applyAlignment="1" applyProtection="1">
      <alignment horizontal="left"/>
    </xf>
    <xf numFmtId="0" fontId="26" fillId="0" borderId="0" xfId="0" applyFont="1" applyFill="1" applyBorder="1" applyProtection="1">
      <alignment vertical="center"/>
    </xf>
    <xf numFmtId="0" fontId="0" fillId="0" borderId="53" xfId="0" applyBorder="1" applyAlignment="1">
      <alignment horizontal="centerContinuous"/>
    </xf>
    <xf numFmtId="186" fontId="40" fillId="0" borderId="0" xfId="0" applyNumberFormat="1" applyFont="1" applyFill="1" applyBorder="1" applyAlignment="1" applyProtection="1">
      <alignment horizontal="center" vertical="center"/>
    </xf>
    <xf numFmtId="0" fontId="40" fillId="0" borderId="0" xfId="0" applyFont="1" applyBorder="1">
      <alignment vertical="center"/>
    </xf>
    <xf numFmtId="9" fontId="39" fillId="0" borderId="30" xfId="0" applyNumberFormat="1" applyFont="1" applyFill="1" applyBorder="1" applyAlignment="1" applyProtection="1"/>
    <xf numFmtId="172" fontId="39" fillId="2" borderId="8" xfId="0" applyNumberFormat="1" applyFont="1" applyFill="1" applyBorder="1" applyAlignment="1" applyProtection="1">
      <alignment horizontal="center"/>
      <protection locked="0"/>
    </xf>
    <xf numFmtId="2" fontId="39" fillId="0" borderId="11" xfId="0" applyNumberFormat="1" applyFont="1" applyFill="1" applyBorder="1" applyAlignment="1" applyProtection="1">
      <alignment horizontal="center" vertical="center" wrapText="1"/>
    </xf>
    <xf numFmtId="2" fontId="39" fillId="0" borderId="10" xfId="0" applyNumberFormat="1" applyFont="1" applyFill="1" applyBorder="1" applyAlignment="1" applyProtection="1">
      <alignment horizontal="center" vertical="center"/>
    </xf>
    <xf numFmtId="0" fontId="39" fillId="0" borderId="36" xfId="0" applyFont="1" applyFill="1" applyBorder="1" applyAlignment="1" applyProtection="1">
      <alignment horizontal="center" vertical="center"/>
    </xf>
    <xf numFmtId="171" fontId="39" fillId="0" borderId="11" xfId="0" applyNumberFormat="1" applyFont="1" applyFill="1" applyBorder="1" applyAlignment="1" applyProtection="1">
      <alignment horizontal="center" vertical="center" wrapText="1"/>
      <protection locked="0"/>
    </xf>
    <xf numFmtId="172" fontId="39" fillId="0" borderId="98" xfId="0" applyNumberFormat="1" applyFont="1" applyFill="1" applyBorder="1" applyAlignment="1" applyProtection="1">
      <alignment horizontal="center" vertical="center"/>
    </xf>
    <xf numFmtId="49" fontId="39" fillId="2" borderId="3" xfId="0" applyNumberFormat="1" applyFont="1" applyFill="1" applyBorder="1" applyProtection="1">
      <alignment vertical="center"/>
      <protection locked="0"/>
    </xf>
    <xf numFmtId="2" fontId="38" fillId="0" borderId="14" xfId="0" applyNumberFormat="1" applyFont="1" applyFill="1" applyBorder="1" applyProtection="1">
      <alignment vertical="center"/>
    </xf>
    <xf numFmtId="2" fontId="39" fillId="0" borderId="14" xfId="0" applyNumberFormat="1" applyFont="1" applyFill="1" applyBorder="1" applyProtection="1">
      <alignment vertical="center"/>
    </xf>
    <xf numFmtId="172" fontId="39" fillId="0" borderId="14" xfId="0" applyNumberFormat="1" applyFont="1" applyFill="1" applyBorder="1" applyAlignment="1" applyProtection="1">
      <alignment horizontal="center" vertical="center"/>
    </xf>
    <xf numFmtId="1" fontId="39" fillId="0" borderId="14" xfId="0" applyNumberFormat="1" applyFont="1" applyFill="1" applyBorder="1" applyAlignment="1" applyProtection="1">
      <alignment horizontal="center" vertical="center"/>
    </xf>
    <xf numFmtId="2" fontId="39" fillId="0" borderId="14" xfId="0" applyNumberFormat="1" applyFont="1" applyFill="1" applyBorder="1" applyAlignment="1" applyProtection="1">
      <alignment horizontal="center" vertical="center"/>
    </xf>
    <xf numFmtId="1" fontId="40" fillId="0" borderId="51" xfId="0" applyNumberFormat="1" applyFont="1" applyFill="1" applyBorder="1" applyAlignment="1" applyProtection="1">
      <alignment horizontal="center"/>
    </xf>
    <xf numFmtId="0" fontId="39" fillId="5" borderId="5" xfId="0" applyFont="1" applyFill="1" applyBorder="1" applyAlignment="1" applyProtection="1">
      <alignment horizontal="center"/>
    </xf>
    <xf numFmtId="2" fontId="39" fillId="3" borderId="79" xfId="0" applyNumberFormat="1" applyFont="1" applyFill="1" applyBorder="1" applyAlignment="1" applyProtection="1">
      <alignment horizontal="center"/>
    </xf>
    <xf numFmtId="2" fontId="39" fillId="3" borderId="83" xfId="0" applyNumberFormat="1" applyFont="1" applyFill="1" applyBorder="1" applyAlignment="1" applyProtection="1">
      <alignment horizontal="center"/>
    </xf>
    <xf numFmtId="1" fontId="39" fillId="0" borderId="24" xfId="0" quotePrefix="1" applyNumberFormat="1" applyFont="1" applyFill="1" applyBorder="1" applyAlignment="1" applyProtection="1">
      <alignment horizontal="center"/>
    </xf>
    <xf numFmtId="172" fontId="38" fillId="0" borderId="0" xfId="0" applyNumberFormat="1" applyFont="1" applyFill="1" applyBorder="1" applyAlignment="1" applyProtection="1">
      <alignment horizontal="center"/>
    </xf>
    <xf numFmtId="2" fontId="59" fillId="4" borderId="2" xfId="0" applyNumberFormat="1" applyFont="1" applyFill="1" applyBorder="1" applyAlignment="1" applyProtection="1">
      <alignment horizontal="center"/>
    </xf>
    <xf numFmtId="1" fontId="59" fillId="4" borderId="2" xfId="0" applyNumberFormat="1" applyFont="1" applyFill="1" applyBorder="1" applyAlignment="1" applyProtection="1">
      <alignment horizontal="center"/>
    </xf>
    <xf numFmtId="1" fontId="59" fillId="4" borderId="3" xfId="0" applyNumberFormat="1" applyFont="1" applyFill="1" applyBorder="1" applyAlignment="1" applyProtection="1">
      <alignment horizontal="center"/>
    </xf>
    <xf numFmtId="1" fontId="59" fillId="4" borderId="9" xfId="0" applyNumberFormat="1" applyFont="1" applyFill="1" applyBorder="1" applyAlignment="1" applyProtection="1">
      <alignment horizontal="center"/>
    </xf>
    <xf numFmtId="1" fontId="40" fillId="0" borderId="2" xfId="0" applyNumberFormat="1" applyFont="1" applyFill="1" applyBorder="1" applyAlignment="1" applyProtection="1">
      <alignment horizontal="center"/>
    </xf>
    <xf numFmtId="1" fontId="40" fillId="0" borderId="3" xfId="0" applyNumberFormat="1" applyFont="1" applyFill="1" applyBorder="1" applyAlignment="1" applyProtection="1">
      <alignment horizontal="center"/>
    </xf>
    <xf numFmtId="1" fontId="40" fillId="0" borderId="9" xfId="0" applyNumberFormat="1" applyFont="1" applyFill="1" applyBorder="1" applyAlignment="1" applyProtection="1">
      <alignment horizontal="center"/>
    </xf>
    <xf numFmtId="1" fontId="38" fillId="0" borderId="31" xfId="0" applyNumberFormat="1" applyFont="1" applyFill="1" applyBorder="1" applyAlignment="1" applyProtection="1">
      <alignment horizontal="center"/>
    </xf>
    <xf numFmtId="1" fontId="38" fillId="0" borderId="65" xfId="0" applyNumberFormat="1" applyFont="1" applyFill="1" applyBorder="1" applyAlignment="1" applyProtection="1">
      <alignment horizontal="center"/>
    </xf>
    <xf numFmtId="1" fontId="28" fillId="0" borderId="7" xfId="0" applyNumberFormat="1" applyFont="1" applyFill="1" applyBorder="1" applyAlignment="1" applyProtection="1">
      <alignment horizontal="center"/>
    </xf>
    <xf numFmtId="1" fontId="28" fillId="0" borderId="101" xfId="0" applyNumberFormat="1" applyFont="1" applyFill="1" applyBorder="1" applyAlignment="1" applyProtection="1">
      <alignment horizontal="center"/>
    </xf>
    <xf numFmtId="1" fontId="28" fillId="0" borderId="43" xfId="0" applyNumberFormat="1" applyFont="1" applyFill="1" applyBorder="1" applyAlignment="1" applyProtection="1">
      <alignment horizontal="center"/>
    </xf>
    <xf numFmtId="172" fontId="39" fillId="0" borderId="65" xfId="0" applyNumberFormat="1" applyFont="1" applyFill="1" applyBorder="1" applyAlignment="1" applyProtection="1">
      <alignment horizontal="center"/>
    </xf>
    <xf numFmtId="1" fontId="40" fillId="0" borderId="51" xfId="0" applyNumberFormat="1" applyFont="1" applyBorder="1" applyAlignment="1">
      <alignment horizontal="center"/>
    </xf>
    <xf numFmtId="0" fontId="40" fillId="6" borderId="0" xfId="0" applyFont="1" applyFill="1" applyBorder="1" applyAlignment="1" applyProtection="1">
      <alignment horizontal="center" vertical="center"/>
    </xf>
    <xf numFmtId="0" fontId="40" fillId="6" borderId="0" xfId="0" applyFont="1" applyFill="1" applyBorder="1" applyAlignment="1" applyProtection="1">
      <alignment horizontal="centerContinuous" vertical="center"/>
    </xf>
    <xf numFmtId="0" fontId="66" fillId="0" borderId="5" xfId="0" applyFont="1" applyFill="1" applyBorder="1" applyAlignment="1" applyProtection="1">
      <alignment horizontal="right"/>
    </xf>
    <xf numFmtId="1" fontId="65" fillId="0" borderId="5" xfId="0" applyNumberFormat="1" applyFont="1" applyFill="1" applyBorder="1" applyAlignment="1" applyProtection="1">
      <alignment horizontal="center"/>
    </xf>
    <xf numFmtId="0" fontId="66" fillId="0" borderId="19" xfId="0" applyFont="1" applyFill="1" applyBorder="1" applyAlignment="1" applyProtection="1">
      <alignment horizontal="right"/>
    </xf>
    <xf numFmtId="0" fontId="66" fillId="0" borderId="7" xfId="0" applyFont="1" applyFill="1" applyBorder="1" applyAlignment="1" applyProtection="1">
      <alignment horizontal="right" vertical="center"/>
    </xf>
    <xf numFmtId="3" fontId="40" fillId="0" borderId="51" xfId="0" applyNumberFormat="1" applyFont="1" applyFill="1" applyBorder="1" applyAlignment="1" applyProtection="1">
      <alignment horizontal="center"/>
    </xf>
    <xf numFmtId="0" fontId="40" fillId="6" borderId="0" xfId="0" applyFont="1" applyFill="1" applyBorder="1" applyAlignment="1" applyProtection="1">
      <alignment horizontal="left"/>
    </xf>
    <xf numFmtId="0" fontId="28" fillId="0" borderId="30" xfId="0" applyFont="1" applyFill="1" applyBorder="1" applyProtection="1">
      <alignment vertical="center"/>
    </xf>
    <xf numFmtId="172" fontId="28" fillId="0" borderId="0" xfId="0" applyNumberFormat="1" applyFont="1" applyFill="1" applyBorder="1" applyAlignment="1" applyProtection="1">
      <alignment horizontal="centerContinuous"/>
    </xf>
    <xf numFmtId="0" fontId="26" fillId="0" borderId="30" xfId="0" applyFont="1" applyFill="1" applyBorder="1" applyProtection="1">
      <alignment vertical="center"/>
    </xf>
    <xf numFmtId="0" fontId="0" fillId="0" borderId="0" xfId="0" applyProtection="1">
      <alignment vertical="center"/>
    </xf>
    <xf numFmtId="0" fontId="0" fillId="0" borderId="4" xfId="0" applyBorder="1" applyProtection="1">
      <alignment vertical="center"/>
    </xf>
    <xf numFmtId="0" fontId="0" fillId="0" borderId="0" xfId="0" applyBorder="1" applyProtection="1">
      <alignment vertical="center"/>
    </xf>
    <xf numFmtId="0" fontId="0" fillId="0" borderId="30" xfId="0" applyBorder="1" applyProtection="1">
      <alignment vertical="center"/>
    </xf>
    <xf numFmtId="2" fontId="28" fillId="0" borderId="7" xfId="0" applyNumberFormat="1" applyFont="1" applyFill="1" applyBorder="1" applyAlignment="1" applyProtection="1">
      <alignment horizontal="center"/>
    </xf>
    <xf numFmtId="172" fontId="59" fillId="4" borderId="3" xfId="0" applyNumberFormat="1" applyFont="1" applyFill="1" applyBorder="1" applyAlignment="1" applyProtection="1">
      <alignment horizontal="center"/>
      <protection locked="0"/>
    </xf>
    <xf numFmtId="172" fontId="40" fillId="2" borderId="3" xfId="0" applyNumberFormat="1" applyFont="1" applyFill="1" applyBorder="1" applyAlignment="1" applyProtection="1">
      <alignment horizontal="center"/>
      <protection locked="0"/>
    </xf>
    <xf numFmtId="2" fontId="39" fillId="0" borderId="51" xfId="0" applyNumberFormat="1" applyFont="1" applyFill="1" applyBorder="1" applyAlignment="1" applyProtection="1">
      <alignment horizontal="center"/>
    </xf>
    <xf numFmtId="1" fontId="40" fillId="2" borderId="48" xfId="0" applyNumberFormat="1" applyFont="1" applyFill="1" applyBorder="1" applyAlignment="1" applyProtection="1">
      <protection locked="0"/>
    </xf>
    <xf numFmtId="172" fontId="40" fillId="0" borderId="11" xfId="0" applyNumberFormat="1" applyFont="1" applyBorder="1">
      <alignment vertical="center"/>
    </xf>
    <xf numFmtId="173" fontId="40" fillId="0" borderId="65" xfId="0" applyNumberFormat="1" applyFont="1" applyFill="1" applyBorder="1" applyAlignment="1" applyProtection="1"/>
    <xf numFmtId="0" fontId="60" fillId="0" borderId="0" xfId="0" applyFont="1" applyFill="1" applyBorder="1" applyAlignment="1" applyProtection="1">
      <alignment horizontal="right" vertical="center"/>
    </xf>
    <xf numFmtId="0" fontId="60" fillId="0" borderId="0" xfId="0" applyFont="1" applyFill="1" applyBorder="1" applyAlignment="1" applyProtection="1">
      <alignment horizontal="left" vertical="center"/>
    </xf>
    <xf numFmtId="1" fontId="28" fillId="0" borderId="2" xfId="0" applyNumberFormat="1" applyFont="1" applyFill="1" applyBorder="1" applyAlignment="1" applyProtection="1">
      <alignment horizontal="left"/>
    </xf>
    <xf numFmtId="0" fontId="40" fillId="2" borderId="51" xfId="0" applyFont="1" applyFill="1" applyBorder="1" applyAlignment="1" applyProtection="1">
      <alignment horizontal="center"/>
      <protection locked="0"/>
    </xf>
    <xf numFmtId="0" fontId="40" fillId="0" borderId="65" xfId="0" applyFont="1" applyFill="1" applyBorder="1" applyAlignment="1" applyProtection="1">
      <alignment horizontal="center"/>
    </xf>
    <xf numFmtId="172" fontId="40" fillId="0" borderId="51" xfId="0" applyNumberFormat="1" applyFont="1" applyBorder="1" applyAlignment="1">
      <alignment horizontal="center"/>
    </xf>
    <xf numFmtId="187" fontId="40" fillId="0" borderId="65" xfId="0" applyNumberFormat="1" applyFont="1" applyBorder="1" applyAlignment="1">
      <alignment horizontal="center"/>
    </xf>
    <xf numFmtId="187" fontId="28" fillId="0" borderId="51" xfId="0" applyNumberFormat="1" applyFont="1" applyFill="1" applyBorder="1" applyAlignment="1" applyProtection="1">
      <alignment horizontal="center"/>
    </xf>
    <xf numFmtId="172" fontId="66" fillId="0" borderId="66" xfId="0" applyNumberFormat="1" applyFont="1" applyFill="1" applyBorder="1" applyAlignment="1" applyProtection="1">
      <alignment horizontal="center"/>
    </xf>
    <xf numFmtId="172" fontId="66" fillId="4" borderId="65" xfId="0" applyNumberFormat="1" applyFont="1" applyFill="1" applyBorder="1" applyAlignment="1" applyProtection="1">
      <alignment horizontal="centerContinuous" vertical="center"/>
    </xf>
    <xf numFmtId="172" fontId="39" fillId="2" borderId="28" xfId="0" applyNumberFormat="1" applyFont="1" applyFill="1" applyBorder="1" applyAlignment="1" applyProtection="1">
      <alignment horizontal="center" vertical="center"/>
      <protection locked="0"/>
    </xf>
    <xf numFmtId="1" fontId="28" fillId="0" borderId="19" xfId="0" applyNumberFormat="1" applyFont="1" applyFill="1" applyBorder="1" applyAlignment="1" applyProtection="1">
      <alignment horizontal="left"/>
    </xf>
    <xf numFmtId="0" fontId="40" fillId="0" borderId="1" xfId="0" applyFont="1" applyFill="1" applyBorder="1" applyAlignment="1" applyProtection="1">
      <alignment horizontal="centerContinuous"/>
    </xf>
    <xf numFmtId="0" fontId="40" fillId="0" borderId="5" xfId="0" applyFont="1" applyFill="1" applyBorder="1" applyAlignment="1" applyProtection="1">
      <alignment horizontal="center"/>
    </xf>
    <xf numFmtId="172" fontId="40" fillId="2" borderId="52" xfId="0" applyNumberFormat="1" applyFont="1" applyFill="1" applyBorder="1" applyAlignment="1" applyProtection="1">
      <alignment horizontal="center"/>
      <protection locked="0"/>
    </xf>
    <xf numFmtId="0" fontId="47" fillId="0" borderId="19" xfId="0" applyFont="1" applyFill="1" applyBorder="1" applyAlignment="1" applyProtection="1"/>
    <xf numFmtId="0" fontId="26" fillId="0" borderId="33" xfId="0" applyFont="1" applyFill="1" applyBorder="1" applyAlignment="1" applyProtection="1"/>
    <xf numFmtId="2" fontId="39" fillId="0" borderId="30" xfId="0" applyNumberFormat="1" applyFont="1" applyFill="1" applyBorder="1" applyAlignment="1" applyProtection="1"/>
    <xf numFmtId="172" fontId="39" fillId="2" borderId="30" xfId="0" applyNumberFormat="1" applyFont="1" applyFill="1" applyBorder="1" applyAlignment="1" applyProtection="1">
      <alignment horizontal="center"/>
      <protection locked="0"/>
    </xf>
    <xf numFmtId="0" fontId="47" fillId="0" borderId="33" xfId="0" applyFont="1" applyFill="1" applyBorder="1" applyProtection="1">
      <alignment vertical="center"/>
    </xf>
    <xf numFmtId="1" fontId="65" fillId="0" borderId="51" xfId="0" applyNumberFormat="1" applyFont="1" applyFill="1" applyBorder="1" applyAlignment="1" applyProtection="1">
      <alignment horizontal="center"/>
    </xf>
    <xf numFmtId="1" fontId="65" fillId="0" borderId="53" xfId="0" applyNumberFormat="1" applyFont="1" applyFill="1" applyBorder="1" applyAlignment="1" applyProtection="1">
      <alignment horizontal="center"/>
    </xf>
    <xf numFmtId="0" fontId="28" fillId="6" borderId="0" xfId="0" applyFont="1" applyFill="1" applyBorder="1" applyProtection="1">
      <alignment vertical="center"/>
    </xf>
    <xf numFmtId="1" fontId="47" fillId="0" borderId="0" xfId="0" applyNumberFormat="1" applyFont="1" applyFill="1" applyBorder="1" applyAlignment="1" applyProtection="1">
      <alignment horizontal="center"/>
    </xf>
    <xf numFmtId="172" fontId="40" fillId="0" borderId="52" xfId="0" applyNumberFormat="1" applyFont="1" applyFill="1" applyBorder="1" applyAlignment="1" applyProtection="1">
      <alignment horizontal="centerContinuous" vertical="center"/>
    </xf>
    <xf numFmtId="0" fontId="38" fillId="0" borderId="115" xfId="0" applyFont="1" applyFill="1" applyBorder="1" applyProtection="1">
      <alignment vertical="center"/>
    </xf>
    <xf numFmtId="0" fontId="65" fillId="2" borderId="33" xfId="0" applyFont="1" applyFill="1" applyBorder="1" applyAlignment="1" applyProtection="1">
      <protection locked="0"/>
    </xf>
    <xf numFmtId="0" fontId="65" fillId="2" borderId="30" xfId="0" applyFont="1" applyFill="1" applyBorder="1" applyAlignment="1" applyProtection="1">
      <protection locked="0"/>
    </xf>
    <xf numFmtId="172" fontId="39" fillId="3" borderId="28" xfId="0" applyNumberFormat="1" applyFont="1" applyFill="1" applyBorder="1" applyAlignment="1" applyProtection="1">
      <alignment horizontal="center" vertical="center"/>
    </xf>
    <xf numFmtId="172" fontId="39" fillId="3" borderId="25" xfId="0" applyNumberFormat="1" applyFont="1" applyFill="1" applyBorder="1" applyAlignment="1" applyProtection="1">
      <alignment horizontal="center" vertical="center"/>
    </xf>
    <xf numFmtId="0" fontId="78" fillId="0" borderId="0" xfId="0" applyFont="1" applyFill="1" applyBorder="1" applyAlignment="1" applyProtection="1">
      <alignment horizontal="right"/>
    </xf>
    <xf numFmtId="0" fontId="30" fillId="0" borderId="0" xfId="0" applyFont="1" applyFill="1" applyBorder="1" applyAlignment="1" applyProtection="1">
      <alignment horizontal="centerContinuous"/>
    </xf>
    <xf numFmtId="169" fontId="36" fillId="0" borderId="0" xfId="0" applyNumberFormat="1" applyFont="1" applyFill="1" applyBorder="1" applyAlignment="1" applyProtection="1">
      <alignment horizontal="center"/>
    </xf>
    <xf numFmtId="169" fontId="28" fillId="0" borderId="0" xfId="0" applyNumberFormat="1" applyFont="1" applyFill="1" applyBorder="1" applyAlignment="1" applyProtection="1"/>
    <xf numFmtId="0" fontId="26" fillId="0" borderId="0" xfId="0" applyFont="1" applyAlignment="1" applyProtection="1">
      <alignment horizontal="right"/>
    </xf>
    <xf numFmtId="0" fontId="29" fillId="8" borderId="0" xfId="0" applyFont="1" applyFill="1" applyProtection="1">
      <alignment vertical="center"/>
    </xf>
    <xf numFmtId="0" fontId="0" fillId="0" borderId="0" xfId="0" applyFill="1" applyBorder="1" applyProtection="1">
      <alignment vertical="center"/>
    </xf>
    <xf numFmtId="0" fontId="29" fillId="0" borderId="0" xfId="0" applyFont="1" applyProtection="1">
      <alignment vertical="center"/>
    </xf>
    <xf numFmtId="0" fontId="29" fillId="0" borderId="0" xfId="0" applyFont="1">
      <alignment vertical="center"/>
    </xf>
    <xf numFmtId="0" fontId="39" fillId="0" borderId="0" xfId="0" applyFont="1" applyProtection="1">
      <alignment vertical="center"/>
    </xf>
    <xf numFmtId="1" fontId="38" fillId="0" borderId="0" xfId="0" applyNumberFormat="1" applyFont="1" applyFill="1" applyBorder="1" applyAlignment="1" applyProtection="1">
      <alignment horizontal="center" vertical="center"/>
    </xf>
    <xf numFmtId="2" fontId="28" fillId="0" borderId="0" xfId="0" applyNumberFormat="1" applyFont="1" applyFill="1" applyBorder="1" applyAlignment="1" applyProtection="1">
      <alignment horizontal="right"/>
    </xf>
    <xf numFmtId="0" fontId="0" fillId="0" borderId="10" xfId="0" applyBorder="1">
      <alignment vertical="center"/>
    </xf>
    <xf numFmtId="0" fontId="28" fillId="0" borderId="0" xfId="0" applyFont="1" applyAlignment="1">
      <alignment horizontal="right"/>
    </xf>
    <xf numFmtId="2" fontId="28" fillId="0" borderId="2" xfId="0" applyNumberFormat="1" applyFont="1" applyFill="1" applyBorder="1" applyAlignment="1" applyProtection="1">
      <alignment horizontal="left"/>
    </xf>
    <xf numFmtId="1" fontId="28" fillId="0" borderId="7" xfId="0" applyNumberFormat="1" applyFont="1" applyFill="1" applyBorder="1" applyAlignment="1" applyProtection="1">
      <alignment horizontal="left"/>
    </xf>
    <xf numFmtId="1" fontId="40" fillId="2" borderId="2" xfId="0" applyNumberFormat="1" applyFont="1" applyFill="1" applyBorder="1" applyAlignment="1" applyProtection="1">
      <alignment horizontal="center"/>
      <protection locked="0"/>
    </xf>
    <xf numFmtId="1" fontId="40" fillId="2" borderId="3" xfId="0" applyNumberFormat="1" applyFont="1" applyFill="1" applyBorder="1" applyAlignment="1" applyProtection="1">
      <alignment horizontal="center"/>
      <protection locked="0"/>
    </xf>
    <xf numFmtId="0" fontId="40" fillId="2" borderId="11" xfId="0" applyFont="1" applyFill="1" applyBorder="1" applyAlignment="1" applyProtection="1"/>
    <xf numFmtId="0" fontId="40" fillId="2" borderId="2" xfId="0" applyFont="1" applyFill="1" applyBorder="1" applyAlignment="1" applyProtection="1">
      <protection locked="0"/>
    </xf>
    <xf numFmtId="0" fontId="28" fillId="0" borderId="0" xfId="0" applyFont="1" applyBorder="1">
      <alignment vertical="center"/>
    </xf>
    <xf numFmtId="0" fontId="28" fillId="0" borderId="48" xfId="0" applyFont="1" applyFill="1" applyBorder="1" applyAlignment="1" applyProtection="1"/>
    <xf numFmtId="0" fontId="28" fillId="0" borderId="0" xfId="0" applyFont="1" applyFill="1" applyBorder="1" applyAlignment="1" applyProtection="1">
      <alignment horizontal="left" vertical="center" wrapText="1"/>
    </xf>
    <xf numFmtId="2" fontId="41" fillId="0" borderId="30" xfId="0" applyNumberFormat="1" applyFont="1" applyFill="1" applyBorder="1" applyAlignment="1" applyProtection="1">
      <alignment horizontal="center" vertical="center"/>
    </xf>
    <xf numFmtId="2" fontId="41" fillId="0" borderId="33" xfId="0" applyNumberFormat="1" applyFont="1" applyFill="1" applyBorder="1" applyAlignment="1" applyProtection="1">
      <alignment horizontal="center" vertical="center"/>
    </xf>
    <xf numFmtId="0" fontId="30" fillId="0" borderId="5" xfId="0" applyFont="1" applyFill="1" applyBorder="1" applyAlignment="1" applyProtection="1"/>
    <xf numFmtId="9" fontId="28" fillId="0" borderId="4" xfId="0" applyNumberFormat="1" applyFont="1" applyFill="1" applyBorder="1" applyAlignment="1" applyProtection="1">
      <alignment horizontal="center"/>
    </xf>
    <xf numFmtId="170" fontId="28" fillId="0" borderId="4" xfId="0" applyNumberFormat="1" applyFont="1" applyFill="1" applyBorder="1" applyAlignment="1" applyProtection="1">
      <alignment horizontal="centerContinuous" wrapText="1"/>
    </xf>
    <xf numFmtId="181" fontId="29" fillId="0" borderId="65" xfId="0" applyNumberFormat="1" applyFont="1" applyFill="1" applyBorder="1" applyAlignment="1" applyProtection="1">
      <alignment horizontal="center" wrapText="1"/>
    </xf>
    <xf numFmtId="180" fontId="29" fillId="0" borderId="51" xfId="0" applyNumberFormat="1" applyFont="1" applyFill="1" applyBorder="1" applyAlignment="1" applyProtection="1">
      <alignment horizontal="center"/>
    </xf>
    <xf numFmtId="2" fontId="28" fillId="2" borderId="51" xfId="0" applyNumberFormat="1" applyFont="1" applyFill="1" applyBorder="1" applyAlignment="1" applyProtection="1">
      <protection locked="0"/>
    </xf>
    <xf numFmtId="2" fontId="28" fillId="0" borderId="49" xfId="0" applyNumberFormat="1" applyFont="1" applyFill="1" applyBorder="1" applyAlignment="1" applyProtection="1"/>
    <xf numFmtId="2" fontId="28" fillId="2" borderId="49" xfId="0" applyNumberFormat="1" applyFont="1" applyFill="1" applyBorder="1" applyAlignment="1" applyProtection="1">
      <protection locked="0"/>
    </xf>
    <xf numFmtId="2" fontId="28" fillId="2" borderId="101" xfId="0" applyNumberFormat="1" applyFont="1" applyFill="1" applyBorder="1" applyAlignment="1" applyProtection="1">
      <protection locked="0"/>
    </xf>
    <xf numFmtId="2" fontId="28" fillId="0" borderId="51" xfId="0" applyNumberFormat="1" applyFont="1" applyFill="1" applyBorder="1" applyAlignment="1" applyProtection="1"/>
    <xf numFmtId="2" fontId="28" fillId="2" borderId="121" xfId="0" applyNumberFormat="1" applyFont="1" applyFill="1" applyBorder="1" applyAlignment="1" applyProtection="1">
      <protection locked="0"/>
    </xf>
    <xf numFmtId="2" fontId="28" fillId="2" borderId="62" xfId="0" applyNumberFormat="1" applyFont="1" applyFill="1" applyBorder="1" applyAlignment="1" applyProtection="1">
      <protection locked="0"/>
    </xf>
    <xf numFmtId="2" fontId="28" fillId="2" borderId="122" xfId="0" applyNumberFormat="1" applyFont="1" applyFill="1" applyBorder="1" applyAlignment="1" applyProtection="1">
      <protection locked="0"/>
    </xf>
    <xf numFmtId="2" fontId="29" fillId="0" borderId="65" xfId="0" applyNumberFormat="1" applyFont="1" applyFill="1" applyBorder="1" applyAlignment="1" applyProtection="1"/>
    <xf numFmtId="2" fontId="28" fillId="0" borderId="123" xfId="0" applyNumberFormat="1" applyFont="1" applyFill="1" applyBorder="1" applyAlignment="1" applyProtection="1"/>
    <xf numFmtId="2" fontId="30" fillId="0" borderId="65" xfId="0" applyNumberFormat="1" applyFont="1" applyFill="1" applyBorder="1" applyAlignment="1" applyProtection="1">
      <alignment wrapText="1"/>
    </xf>
    <xf numFmtId="180" fontId="29" fillId="0" borderId="124" xfId="0" applyNumberFormat="1" applyFont="1" applyFill="1" applyBorder="1" applyAlignment="1" applyProtection="1">
      <alignment horizontal="center"/>
    </xf>
    <xf numFmtId="0" fontId="45" fillId="2" borderId="125" xfId="0" applyFont="1" applyFill="1" applyBorder="1" applyAlignment="1" applyProtection="1">
      <protection locked="0"/>
    </xf>
    <xf numFmtId="0" fontId="45" fillId="2" borderId="125" xfId="0" applyFont="1" applyFill="1" applyBorder="1" applyAlignment="1" applyProtection="1"/>
    <xf numFmtId="0" fontId="28" fillId="0" borderId="66" xfId="0" applyFont="1" applyFill="1" applyBorder="1" applyAlignment="1" applyProtection="1">
      <alignment horizontal="centerContinuous" wrapText="1"/>
    </xf>
    <xf numFmtId="0" fontId="28" fillId="0" borderId="71" xfId="0" applyFont="1" applyFill="1" applyBorder="1" applyAlignment="1" applyProtection="1">
      <alignment horizontal="centerContinuous" wrapText="1"/>
    </xf>
    <xf numFmtId="0" fontId="63" fillId="0" borderId="0" xfId="0" applyFont="1">
      <alignment vertical="center"/>
    </xf>
    <xf numFmtId="0" fontId="63" fillId="0" borderId="0" xfId="0" applyFont="1" applyFill="1" applyBorder="1" applyAlignment="1" applyProtection="1">
      <protection locked="0"/>
    </xf>
    <xf numFmtId="0" fontId="28" fillId="0" borderId="0" xfId="0" applyFont="1" applyFill="1" applyBorder="1" applyAlignment="1" applyProtection="1">
      <alignment horizontal="center" vertical="top" wrapText="1"/>
    </xf>
    <xf numFmtId="0" fontId="29" fillId="0" borderId="0" xfId="0" applyFont="1" applyFill="1" applyBorder="1" applyAlignment="1" applyProtection="1">
      <alignment horizontal="right" vertical="center"/>
    </xf>
    <xf numFmtId="1" fontId="46" fillId="0" borderId="44" xfId="0" applyNumberFormat="1" applyFont="1" applyFill="1" applyBorder="1" applyProtection="1">
      <alignment vertical="center"/>
    </xf>
    <xf numFmtId="171" fontId="39" fillId="0" borderId="45" xfId="0" applyNumberFormat="1" applyFont="1" applyFill="1" applyBorder="1" applyAlignment="1" applyProtection="1">
      <alignment horizontal="center" vertical="center" wrapText="1"/>
    </xf>
    <xf numFmtId="171" fontId="39" fillId="0" borderId="45" xfId="0" applyNumberFormat="1" applyFont="1" applyFill="1" applyBorder="1" applyAlignment="1" applyProtection="1">
      <alignment horizontal="center" vertical="center" wrapText="1"/>
      <protection locked="0"/>
    </xf>
    <xf numFmtId="2" fontId="39" fillId="0" borderId="45" xfId="0" applyNumberFormat="1" applyFont="1" applyFill="1" applyBorder="1" applyAlignment="1" applyProtection="1">
      <alignment horizontal="center" vertical="center"/>
    </xf>
    <xf numFmtId="172" fontId="39" fillId="0" borderId="45" xfId="0" applyNumberFormat="1" applyFont="1" applyFill="1" applyBorder="1" applyAlignment="1" applyProtection="1">
      <alignment horizontal="center" vertical="center"/>
      <protection locked="0"/>
    </xf>
    <xf numFmtId="1" fontId="39" fillId="0" borderId="45" xfId="0" applyNumberFormat="1" applyFont="1" applyFill="1" applyBorder="1" applyAlignment="1" applyProtection="1">
      <alignment horizontal="center" vertical="center"/>
      <protection locked="0"/>
    </xf>
    <xf numFmtId="2" fontId="39" fillId="0" borderId="19" xfId="0" applyNumberFormat="1" applyFont="1" applyFill="1" applyBorder="1" applyProtection="1">
      <alignment vertical="center"/>
    </xf>
    <xf numFmtId="2" fontId="39" fillId="0" borderId="19" xfId="0" applyNumberFormat="1" applyFont="1" applyFill="1" applyBorder="1" applyAlignment="1" applyProtection="1">
      <alignment horizontal="center" vertical="center"/>
    </xf>
    <xf numFmtId="1" fontId="46" fillId="0" borderId="97" xfId="0" applyNumberFormat="1" applyFont="1" applyFill="1" applyBorder="1" applyProtection="1">
      <alignment vertical="center"/>
    </xf>
    <xf numFmtId="1" fontId="39" fillId="0" borderId="126" xfId="0" applyNumberFormat="1" applyFont="1" applyFill="1" applyBorder="1" applyProtection="1">
      <alignment vertical="center"/>
    </xf>
    <xf numFmtId="171" fontId="39" fillId="0" borderId="126" xfId="0" applyNumberFormat="1" applyFont="1" applyFill="1" applyBorder="1" applyAlignment="1" applyProtection="1">
      <alignment horizontal="center" vertical="center" wrapText="1"/>
    </xf>
    <xf numFmtId="171" fontId="39" fillId="0" borderId="126" xfId="0" applyNumberFormat="1" applyFont="1" applyFill="1" applyBorder="1" applyAlignment="1" applyProtection="1">
      <alignment horizontal="center" vertical="center" wrapText="1"/>
      <protection locked="0"/>
    </xf>
    <xf numFmtId="2" fontId="39" fillId="0" borderId="126" xfId="0" applyNumberFormat="1" applyFont="1" applyFill="1" applyBorder="1" applyAlignment="1" applyProtection="1">
      <alignment horizontal="center" vertical="center"/>
    </xf>
    <xf numFmtId="2" fontId="39" fillId="0" borderId="81" xfId="0" applyNumberFormat="1" applyFont="1" applyFill="1" applyBorder="1" applyAlignment="1" applyProtection="1">
      <alignment horizontal="center" vertical="center"/>
    </xf>
    <xf numFmtId="2" fontId="39" fillId="0" borderId="46" xfId="0" applyNumberFormat="1" applyFont="1" applyFill="1" applyBorder="1" applyAlignment="1" applyProtection="1">
      <alignment horizontal="center" vertical="center"/>
    </xf>
    <xf numFmtId="2" fontId="39" fillId="0" borderId="128" xfId="0" applyNumberFormat="1" applyFont="1" applyFill="1" applyBorder="1" applyAlignment="1" applyProtection="1">
      <alignment horizontal="center" vertical="center"/>
    </xf>
    <xf numFmtId="2" fontId="39" fillId="0" borderId="85" xfId="0" applyNumberFormat="1" applyFont="1" applyFill="1" applyBorder="1" applyProtection="1">
      <alignment vertical="center"/>
    </xf>
    <xf numFmtId="2" fontId="39" fillId="0" borderId="84" xfId="0" applyNumberFormat="1" applyFont="1" applyFill="1" applyBorder="1" applyAlignment="1" applyProtection="1">
      <alignment horizontal="center" vertical="center"/>
    </xf>
    <xf numFmtId="2" fontId="39" fillId="0" borderId="129" xfId="0" applyNumberFormat="1" applyFont="1" applyFill="1" applyBorder="1" applyAlignment="1" applyProtection="1">
      <alignment horizontal="center" vertical="center"/>
    </xf>
    <xf numFmtId="2" fontId="71" fillId="0" borderId="0" xfId="0" applyNumberFormat="1" applyFont="1" applyAlignment="1">
      <alignment horizontal="center"/>
    </xf>
    <xf numFmtId="2" fontId="39" fillId="0" borderId="2" xfId="0" applyNumberFormat="1" applyFont="1" applyFill="1" applyBorder="1" applyAlignment="1" applyProtection="1">
      <alignment horizontal="center" vertical="center"/>
      <protection locked="0"/>
    </xf>
    <xf numFmtId="2" fontId="39" fillId="0" borderId="19" xfId="0" applyNumberFormat="1" applyFont="1" applyFill="1" applyBorder="1" applyAlignment="1" applyProtection="1">
      <alignment horizontal="center" vertical="center"/>
      <protection locked="0"/>
    </xf>
    <xf numFmtId="2" fontId="39" fillId="0" borderId="126" xfId="0" applyNumberFormat="1" applyFont="1" applyFill="1" applyBorder="1" applyAlignment="1" applyProtection="1">
      <alignment horizontal="center" vertical="center"/>
      <protection locked="0"/>
    </xf>
    <xf numFmtId="2" fontId="39" fillId="0" borderId="84" xfId="0" applyNumberFormat="1" applyFont="1" applyFill="1" applyBorder="1" applyAlignment="1" applyProtection="1">
      <alignment horizontal="center" vertical="center"/>
      <protection locked="0"/>
    </xf>
    <xf numFmtId="2" fontId="0" fillId="0" borderId="0" xfId="0" applyNumberFormat="1">
      <alignment vertical="center"/>
    </xf>
    <xf numFmtId="2" fontId="39" fillId="0" borderId="11" xfId="0" applyNumberFormat="1" applyFont="1" applyFill="1" applyBorder="1" applyAlignment="1" applyProtection="1">
      <alignment horizontal="left" vertical="center"/>
    </xf>
    <xf numFmtId="2" fontId="39" fillId="0" borderId="126" xfId="0" applyNumberFormat="1" applyFont="1" applyFill="1" applyBorder="1" applyProtection="1">
      <alignment vertical="center"/>
    </xf>
    <xf numFmtId="2" fontId="39" fillId="0" borderId="97" xfId="0" applyNumberFormat="1" applyFont="1" applyFill="1" applyBorder="1" applyAlignment="1" applyProtection="1">
      <alignment horizontal="center" vertical="center"/>
    </xf>
    <xf numFmtId="2" fontId="39" fillId="0" borderId="97" xfId="0" applyNumberFormat="1" applyFont="1" applyFill="1" applyBorder="1" applyAlignment="1" applyProtection="1">
      <alignment horizontal="center" vertical="center"/>
      <protection locked="0"/>
    </xf>
    <xf numFmtId="2" fontId="39" fillId="0" borderId="127" xfId="0" applyNumberFormat="1" applyFont="1" applyFill="1" applyBorder="1" applyAlignment="1" applyProtection="1">
      <alignment horizontal="center" vertical="center"/>
    </xf>
    <xf numFmtId="0" fontId="39" fillId="0" borderId="106" xfId="0" applyFont="1" applyFill="1" applyBorder="1" applyAlignment="1" applyProtection="1">
      <alignment horizontal="center"/>
    </xf>
    <xf numFmtId="0" fontId="39" fillId="0" borderId="114" xfId="0" applyFont="1" applyFill="1" applyBorder="1" applyAlignment="1" applyProtection="1">
      <alignment horizontal="center"/>
    </xf>
    <xf numFmtId="0" fontId="29" fillId="0" borderId="33" xfId="0" applyFont="1" applyFill="1" applyBorder="1" applyProtection="1">
      <alignment vertical="center"/>
    </xf>
    <xf numFmtId="0" fontId="28" fillId="0" borderId="33" xfId="0" applyFont="1" applyFill="1" applyBorder="1" applyProtection="1">
      <alignment vertical="center"/>
    </xf>
    <xf numFmtId="3" fontId="28" fillId="0" borderId="51" xfId="0" applyNumberFormat="1" applyFont="1" applyFill="1" applyBorder="1" applyAlignment="1" applyProtection="1">
      <alignment horizontal="right" vertical="center"/>
    </xf>
    <xf numFmtId="0" fontId="0" fillId="0" borderId="0" xfId="0" applyProtection="1">
      <alignment vertical="center"/>
      <protection locked="0"/>
    </xf>
    <xf numFmtId="0" fontId="0" fillId="0" borderId="0" xfId="0" quotePrefix="1">
      <alignment vertical="center"/>
    </xf>
    <xf numFmtId="0" fontId="0" fillId="0" borderId="0" xfId="0" applyAlignment="1">
      <alignment wrapText="1"/>
    </xf>
    <xf numFmtId="0" fontId="32" fillId="0" borderId="52" xfId="0" applyFont="1" applyFill="1" applyBorder="1" applyProtection="1">
      <alignment vertical="center"/>
    </xf>
    <xf numFmtId="0" fontId="32" fillId="0" borderId="0" xfId="0" applyFont="1">
      <alignment vertical="center"/>
    </xf>
    <xf numFmtId="0" fontId="32" fillId="0" borderId="0" xfId="0" applyFont="1" applyAlignment="1" applyProtection="1">
      <alignment horizontal="left" vertical="center"/>
      <protection locked="0"/>
    </xf>
    <xf numFmtId="0" fontId="32" fillId="0" borderId="0" xfId="0" applyFont="1" applyProtection="1">
      <alignment vertical="center"/>
      <protection locked="0"/>
    </xf>
    <xf numFmtId="0" fontId="82" fillId="0" borderId="0" xfId="0" applyFont="1" applyAlignment="1">
      <alignment horizontal="right"/>
    </xf>
    <xf numFmtId="0" fontId="27" fillId="0" borderId="0" xfId="0" applyFont="1">
      <alignment vertical="center"/>
    </xf>
    <xf numFmtId="0" fontId="28" fillId="0" borderId="44" xfId="0" applyFont="1" applyFill="1" applyBorder="1" applyProtection="1">
      <alignment vertical="center"/>
    </xf>
    <xf numFmtId="0" fontId="40" fillId="0" borderId="91" xfId="0" applyFont="1" applyFill="1" applyBorder="1" applyAlignment="1" applyProtection="1"/>
    <xf numFmtId="0" fontId="0" fillId="0" borderId="0" xfId="0" applyAlignment="1">
      <alignment horizontal="center" wrapText="1"/>
    </xf>
    <xf numFmtId="0" fontId="28" fillId="0" borderId="10" xfId="0" applyFont="1" applyFill="1" applyBorder="1" applyProtection="1">
      <alignment vertical="center"/>
    </xf>
    <xf numFmtId="0" fontId="40" fillId="3" borderId="53" xfId="0" applyFont="1" applyFill="1" applyBorder="1" applyAlignment="1" applyProtection="1">
      <alignment horizontal="center"/>
    </xf>
    <xf numFmtId="1" fontId="40" fillId="3" borderId="79" xfId="0" applyNumberFormat="1" applyFont="1" applyFill="1" applyBorder="1" applyAlignment="1" applyProtection="1"/>
    <xf numFmtId="1" fontId="39" fillId="3" borderId="55" xfId="0" applyNumberFormat="1" applyFont="1" applyFill="1" applyBorder="1" applyAlignment="1" applyProtection="1">
      <alignment horizontal="center"/>
    </xf>
    <xf numFmtId="1" fontId="39" fillId="3" borderId="49" xfId="0" applyNumberFormat="1" applyFont="1" applyFill="1" applyBorder="1" applyAlignment="1" applyProtection="1">
      <alignment horizontal="center"/>
    </xf>
    <xf numFmtId="0" fontId="81" fillId="0" borderId="10" xfId="0" applyFont="1" applyFill="1" applyBorder="1" applyAlignment="1" applyProtection="1">
      <alignment horizontal="left" vertical="top" indent="1"/>
    </xf>
    <xf numFmtId="0" fontId="36" fillId="10" borderId="11" xfId="0" applyFont="1" applyFill="1" applyBorder="1" applyProtection="1">
      <alignment vertical="center"/>
    </xf>
    <xf numFmtId="0" fontId="36" fillId="10" borderId="11" xfId="0" applyFont="1" applyFill="1" applyBorder="1" applyAlignment="1" applyProtection="1">
      <alignment horizontal="left"/>
    </xf>
    <xf numFmtId="1" fontId="40" fillId="10" borderId="49" xfId="0" applyNumberFormat="1" applyFont="1" applyFill="1" applyBorder="1" applyAlignment="1" applyProtection="1">
      <alignment horizontal="center"/>
    </xf>
    <xf numFmtId="1" fontId="40" fillId="10" borderId="51" xfId="0" applyNumberFormat="1" applyFont="1" applyFill="1" applyBorder="1" applyAlignment="1" applyProtection="1">
      <alignment horizontal="right"/>
      <protection locked="0"/>
    </xf>
    <xf numFmtId="0" fontId="39" fillId="10" borderId="49" xfId="0" applyFont="1" applyFill="1" applyBorder="1" applyAlignment="1" applyProtection="1">
      <alignment horizontal="center"/>
    </xf>
    <xf numFmtId="1" fontId="28" fillId="10" borderId="11" xfId="0" applyNumberFormat="1" applyFont="1" applyFill="1" applyBorder="1" applyAlignment="1" applyProtection="1">
      <alignment horizontal="center"/>
      <protection locked="0"/>
    </xf>
    <xf numFmtId="0" fontId="84" fillId="0" borderId="10" xfId="0" applyFont="1" applyFill="1" applyBorder="1" applyAlignment="1" applyProtection="1"/>
    <xf numFmtId="0" fontId="28" fillId="2" borderId="47" xfId="0" applyFont="1" applyFill="1" applyBorder="1" applyAlignment="1" applyProtection="1">
      <alignment horizontal="center"/>
      <protection locked="0"/>
    </xf>
    <xf numFmtId="0" fontId="43" fillId="0" borderId="0" xfId="0" applyFont="1" applyFill="1" applyBorder="1" applyAlignment="1" applyProtection="1">
      <alignment horizontal="center"/>
    </xf>
    <xf numFmtId="0" fontId="28" fillId="2" borderId="133" xfId="0" applyFont="1" applyFill="1" applyBorder="1" applyAlignment="1" applyProtection="1">
      <alignment horizontal="center"/>
      <protection locked="0"/>
    </xf>
    <xf numFmtId="1" fontId="39" fillId="0" borderId="0" xfId="0" applyNumberFormat="1" applyFont="1" applyFill="1" applyBorder="1" applyAlignment="1" applyProtection="1">
      <alignment horizontal="left" vertical="top"/>
    </xf>
    <xf numFmtId="0" fontId="39" fillId="0" borderId="0" xfId="0" applyFont="1" applyFill="1" applyBorder="1" applyAlignment="1" applyProtection="1">
      <alignment vertical="top"/>
    </xf>
    <xf numFmtId="0" fontId="85" fillId="0" borderId="0" xfId="0" applyFont="1" applyProtection="1">
      <alignment vertical="center"/>
    </xf>
    <xf numFmtId="0" fontId="86" fillId="0" borderId="0" xfId="0" applyFont="1" applyFill="1" applyBorder="1" applyAlignment="1" applyProtection="1">
      <alignment horizontal="center"/>
    </xf>
    <xf numFmtId="0" fontId="86" fillId="0" borderId="0" xfId="0" applyFont="1" applyFill="1" applyBorder="1" applyAlignment="1" applyProtection="1"/>
    <xf numFmtId="0" fontId="87" fillId="0" borderId="5" xfId="0" applyFont="1" applyFill="1" applyBorder="1" applyAlignment="1" applyProtection="1">
      <alignment horizontal="center"/>
    </xf>
    <xf numFmtId="1" fontId="38" fillId="0" borderId="4" xfId="0" applyNumberFormat="1" applyFont="1" applyFill="1" applyBorder="1" applyAlignment="1" applyProtection="1">
      <alignment horizontal="centerContinuous"/>
    </xf>
    <xf numFmtId="1" fontId="38" fillId="0" borderId="134" xfId="0" applyNumberFormat="1" applyFont="1" applyFill="1" applyBorder="1" applyAlignment="1" applyProtection="1">
      <alignment horizontal="centerContinuous"/>
    </xf>
    <xf numFmtId="0" fontId="38" fillId="0" borderId="135" xfId="0" applyFont="1" applyFill="1" applyBorder="1" applyAlignment="1" applyProtection="1">
      <alignment horizontal="centerContinuous"/>
    </xf>
    <xf numFmtId="0" fontId="88" fillId="0" borderId="19" xfId="0" applyFont="1" applyFill="1" applyBorder="1" applyAlignment="1" applyProtection="1">
      <alignment horizontal="center"/>
    </xf>
    <xf numFmtId="1" fontId="88" fillId="0" borderId="54" xfId="0" applyNumberFormat="1" applyFont="1" applyFill="1" applyBorder="1" applyAlignment="1" applyProtection="1">
      <alignment horizontal="center"/>
    </xf>
    <xf numFmtId="1" fontId="88" fillId="0" borderId="136" xfId="0" applyNumberFormat="1" applyFont="1" applyFill="1" applyBorder="1" applyAlignment="1" applyProtection="1">
      <alignment horizontal="center"/>
    </xf>
    <xf numFmtId="0" fontId="40" fillId="0" borderId="137" xfId="0" applyFont="1" applyFill="1" applyBorder="1" applyAlignment="1" applyProtection="1">
      <alignment horizontal="center"/>
    </xf>
    <xf numFmtId="0" fontId="88" fillId="0" borderId="0" xfId="0" applyFont="1" applyFill="1" applyBorder="1" applyAlignment="1" applyProtection="1">
      <alignment horizontal="right"/>
    </xf>
    <xf numFmtId="0" fontId="88" fillId="0" borderId="19" xfId="0" applyFont="1" applyBorder="1" applyAlignment="1" applyProtection="1">
      <alignment horizontal="center"/>
    </xf>
    <xf numFmtId="0" fontId="40" fillId="0" borderId="119" xfId="0" applyFont="1" applyFill="1" applyBorder="1" applyAlignment="1" applyProtection="1"/>
    <xf numFmtId="0" fontId="88" fillId="0" borderId="19" xfId="0" applyFont="1" applyFill="1" applyBorder="1" applyAlignment="1" applyProtection="1">
      <alignment horizontal="centerContinuous"/>
    </xf>
    <xf numFmtId="0" fontId="88" fillId="0" borderId="0" xfId="0" applyFont="1" applyFill="1" applyBorder="1" applyAlignment="1" applyProtection="1">
      <alignment horizontal="centerContinuous"/>
    </xf>
    <xf numFmtId="0" fontId="88" fillId="0" borderId="7" xfId="0" applyFont="1" applyFill="1" applyBorder="1" applyAlignment="1" applyProtection="1">
      <alignment horizontal="center"/>
    </xf>
    <xf numFmtId="0" fontId="54" fillId="0" borderId="30" xfId="0" applyFont="1" applyFill="1" applyBorder="1" applyAlignment="1" applyProtection="1">
      <alignment horizontal="center"/>
    </xf>
    <xf numFmtId="0" fontId="88" fillId="0" borderId="48" xfId="0" applyFont="1" applyFill="1" applyBorder="1" applyAlignment="1" applyProtection="1">
      <alignment horizontal="center"/>
    </xf>
    <xf numFmtId="1" fontId="88" fillId="0" borderId="49" xfId="0" applyNumberFormat="1" applyFont="1" applyFill="1" applyBorder="1" applyAlignment="1" applyProtection="1">
      <alignment horizontal="center"/>
    </xf>
    <xf numFmtId="1" fontId="88" fillId="0" borderId="138" xfId="0" applyNumberFormat="1" applyFont="1" applyFill="1" applyBorder="1" applyAlignment="1" applyProtection="1">
      <alignment horizontal="center"/>
    </xf>
    <xf numFmtId="0" fontId="40" fillId="0" borderId="139" xfId="0" applyFont="1" applyFill="1" applyBorder="1" applyAlignment="1" applyProtection="1"/>
    <xf numFmtId="0" fontId="88" fillId="10" borderId="3" xfId="0" applyFont="1" applyFill="1" applyBorder="1" applyAlignment="1" applyProtection="1">
      <alignment horizontal="center"/>
    </xf>
    <xf numFmtId="0" fontId="40" fillId="2" borderId="3" xfId="0" applyFont="1" applyFill="1" applyBorder="1" applyAlignment="1" applyProtection="1">
      <alignment horizontal="center"/>
      <protection locked="0"/>
    </xf>
    <xf numFmtId="1" fontId="88" fillId="0" borderId="46" xfId="0" applyNumberFormat="1" applyFont="1" applyFill="1" applyBorder="1" applyAlignment="1" applyProtection="1">
      <alignment horizontal="center"/>
    </xf>
    <xf numFmtId="1" fontId="40" fillId="10" borderId="46" xfId="0" applyNumberFormat="1" applyFont="1" applyFill="1" applyBorder="1" applyAlignment="1" applyProtection="1">
      <alignment horizontal="center"/>
    </xf>
    <xf numFmtId="1" fontId="40" fillId="10" borderId="140" xfId="0" applyNumberFormat="1" applyFont="1" applyFill="1" applyBorder="1" applyAlignment="1" applyProtection="1">
      <alignment horizontal="center"/>
    </xf>
    <xf numFmtId="1" fontId="40" fillId="2" borderId="141" xfId="0" applyNumberFormat="1" applyFont="1" applyFill="1" applyBorder="1" applyAlignment="1" applyProtection="1">
      <alignment horizontal="center"/>
      <protection locked="0"/>
    </xf>
    <xf numFmtId="1" fontId="40" fillId="2" borderId="19" xfId="0" applyNumberFormat="1" applyFont="1" applyFill="1" applyBorder="1" applyAlignment="1" applyProtection="1">
      <alignment horizontal="center"/>
      <protection locked="0"/>
    </xf>
    <xf numFmtId="0" fontId="88" fillId="10" borderId="20" xfId="0" applyFont="1" applyFill="1" applyBorder="1" applyAlignment="1" applyProtection="1">
      <alignment horizontal="center"/>
    </xf>
    <xf numFmtId="1" fontId="40" fillId="10" borderId="54" xfId="0" applyNumberFormat="1" applyFont="1" applyFill="1" applyBorder="1" applyAlignment="1" applyProtection="1">
      <alignment horizontal="center"/>
    </xf>
    <xf numFmtId="1" fontId="40" fillId="10" borderId="136" xfId="0" applyNumberFormat="1" applyFont="1" applyFill="1" applyBorder="1" applyAlignment="1" applyProtection="1">
      <alignment horizontal="center"/>
    </xf>
    <xf numFmtId="1" fontId="40" fillId="2" borderId="137" xfId="0" applyNumberFormat="1" applyFont="1" applyFill="1" applyBorder="1" applyAlignment="1" applyProtection="1">
      <alignment horizontal="center"/>
      <protection locked="0"/>
    </xf>
    <xf numFmtId="0" fontId="47" fillId="0" borderId="44" xfId="0" applyFont="1" applyFill="1" applyBorder="1" applyAlignment="1" applyProtection="1">
      <alignment horizontal="center"/>
    </xf>
    <xf numFmtId="0" fontId="47" fillId="0" borderId="47" xfId="0" applyFont="1" applyFill="1" applyBorder="1" applyAlignment="1" applyProtection="1">
      <alignment horizontal="center"/>
    </xf>
    <xf numFmtId="1" fontId="40" fillId="0" borderId="44" xfId="0" applyNumberFormat="1" applyFont="1" applyFill="1" applyBorder="1" applyAlignment="1" applyProtection="1">
      <alignment horizontal="center"/>
    </xf>
    <xf numFmtId="0" fontId="88" fillId="0" borderId="89" xfId="0" applyFont="1" applyFill="1" applyBorder="1" applyAlignment="1" applyProtection="1">
      <alignment horizontal="center"/>
    </xf>
    <xf numFmtId="0" fontId="40" fillId="0" borderId="89" xfId="0" applyFont="1" applyFill="1" applyBorder="1" applyAlignment="1" applyProtection="1">
      <alignment horizontal="center"/>
    </xf>
    <xf numFmtId="172" fontId="40" fillId="0" borderId="89" xfId="0" applyNumberFormat="1" applyFont="1" applyFill="1" applyBorder="1" applyAlignment="1" applyProtection="1">
      <alignment horizontal="center"/>
    </xf>
    <xf numFmtId="1" fontId="40" fillId="0" borderId="89" xfId="0" applyNumberFormat="1" applyFont="1" applyFill="1" applyBorder="1" applyAlignment="1" applyProtection="1">
      <alignment horizontal="center"/>
    </xf>
    <xf numFmtId="1" fontId="88" fillId="0" borderId="47" xfId="0" applyNumberFormat="1" applyFont="1" applyFill="1" applyBorder="1" applyAlignment="1" applyProtection="1">
      <alignment horizontal="center"/>
    </xf>
    <xf numFmtId="1" fontId="40" fillId="0" borderId="47" xfId="0" applyNumberFormat="1" applyFont="1" applyFill="1" applyBorder="1" applyAlignment="1" applyProtection="1">
      <alignment horizontal="center"/>
    </xf>
    <xf numFmtId="1" fontId="40" fillId="0" borderId="142" xfId="0" applyNumberFormat="1" applyFont="1" applyFill="1" applyBorder="1" applyAlignment="1" applyProtection="1">
      <alignment horizontal="center"/>
    </xf>
    <xf numFmtId="1" fontId="40" fillId="0" borderId="143" xfId="0" applyNumberFormat="1" applyFont="1" applyFill="1" applyBorder="1" applyAlignment="1" applyProtection="1">
      <alignment horizontal="center"/>
    </xf>
    <xf numFmtId="172" fontId="40" fillId="0" borderId="44" xfId="0" applyNumberFormat="1" applyFont="1" applyFill="1" applyBorder="1" applyAlignment="1" applyProtection="1">
      <alignment horizontal="center"/>
    </xf>
    <xf numFmtId="0" fontId="88" fillId="0" borderId="3" xfId="0" applyFont="1" applyFill="1" applyBorder="1" applyAlignment="1" applyProtection="1">
      <alignment horizontal="center"/>
    </xf>
    <xf numFmtId="1" fontId="40" fillId="2" borderId="7" xfId="0" applyNumberFormat="1" applyFont="1" applyFill="1" applyBorder="1" applyAlignment="1" applyProtection="1">
      <alignment horizontal="center"/>
      <protection locked="0"/>
    </xf>
    <xf numFmtId="1" fontId="40" fillId="2" borderId="48" xfId="0" applyNumberFormat="1" applyFont="1" applyFill="1" applyBorder="1" applyAlignment="1" applyProtection="1">
      <alignment horizontal="center"/>
      <protection locked="0"/>
    </xf>
    <xf numFmtId="1" fontId="40" fillId="2" borderId="139" xfId="0" applyNumberFormat="1" applyFont="1" applyFill="1" applyBorder="1" applyAlignment="1" applyProtection="1">
      <alignment horizontal="center"/>
      <protection locked="0"/>
    </xf>
    <xf numFmtId="1" fontId="40" fillId="0" borderId="46" xfId="0" applyNumberFormat="1" applyFont="1" applyFill="1" applyBorder="1" applyAlignment="1" applyProtection="1">
      <alignment horizontal="center"/>
    </xf>
    <xf numFmtId="1" fontId="40" fillId="10" borderId="138" xfId="0" applyNumberFormat="1" applyFont="1" applyFill="1" applyBorder="1" applyAlignment="1" applyProtection="1">
      <alignment horizontal="center"/>
    </xf>
    <xf numFmtId="0" fontId="82" fillId="0" borderId="0" xfId="0" applyFont="1" applyAlignment="1" applyProtection="1">
      <alignment horizontal="right"/>
    </xf>
    <xf numFmtId="0" fontId="74" fillId="0" borderId="5" xfId="0" applyFont="1" applyBorder="1" applyProtection="1">
      <alignment vertical="center"/>
    </xf>
    <xf numFmtId="0" fontId="74" fillId="0" borderId="4" xfId="0" applyFont="1" applyBorder="1" applyProtection="1">
      <alignment vertical="center"/>
    </xf>
    <xf numFmtId="0" fontId="74" fillId="0" borderId="83" xfId="0" applyFont="1" applyBorder="1" applyAlignment="1" applyProtection="1">
      <alignment horizontal="center"/>
    </xf>
    <xf numFmtId="0" fontId="74" fillId="0" borderId="5" xfId="0" applyFont="1" applyBorder="1" applyAlignment="1" applyProtection="1">
      <alignment horizontal="centerContinuous"/>
    </xf>
    <xf numFmtId="0" fontId="74" fillId="0" borderId="4" xfId="0" applyFont="1" applyBorder="1" applyAlignment="1" applyProtection="1">
      <alignment horizontal="centerContinuous"/>
    </xf>
    <xf numFmtId="0" fontId="74" fillId="0" borderId="71" xfId="0" applyFont="1" applyBorder="1" applyAlignment="1" applyProtection="1">
      <alignment horizontal="centerContinuous"/>
    </xf>
    <xf numFmtId="0" fontId="0" fillId="0" borderId="19" xfId="0" applyBorder="1" applyProtection="1">
      <alignment vertical="center"/>
    </xf>
    <xf numFmtId="0" fontId="0" fillId="0" borderId="20" xfId="0" applyBorder="1" applyAlignment="1" applyProtection="1">
      <alignment horizontal="center"/>
    </xf>
    <xf numFmtId="0" fontId="0" fillId="0" borderId="19" xfId="0" applyBorder="1" applyAlignment="1" applyProtection="1">
      <alignment horizontal="centerContinuous"/>
    </xf>
    <xf numFmtId="0" fontId="0" fillId="0" borderId="0" xfId="0" applyBorder="1" applyAlignment="1" applyProtection="1">
      <alignment horizontal="centerContinuous"/>
    </xf>
    <xf numFmtId="0" fontId="0" fillId="0" borderId="55" xfId="0" applyBorder="1" applyAlignment="1" applyProtection="1">
      <alignment horizontal="centerContinuous"/>
    </xf>
    <xf numFmtId="0" fontId="0" fillId="0" borderId="7" xfId="0" applyBorder="1" applyProtection="1">
      <alignment vertical="center"/>
    </xf>
    <xf numFmtId="0" fontId="0" fillId="0" borderId="48" xfId="0" applyBorder="1" applyProtection="1">
      <alignment vertical="center"/>
    </xf>
    <xf numFmtId="0" fontId="0" fillId="0" borderId="7" xfId="0" applyBorder="1" applyAlignment="1" applyProtection="1">
      <alignment horizontal="center"/>
    </xf>
    <xf numFmtId="0" fontId="0" fillId="0" borderId="48" xfId="0" applyBorder="1" applyAlignment="1" applyProtection="1">
      <alignment horizontal="center"/>
    </xf>
    <xf numFmtId="0" fontId="0" fillId="0" borderId="8" xfId="0" applyBorder="1" applyAlignment="1" applyProtection="1">
      <alignment horizontal="center"/>
    </xf>
    <xf numFmtId="0" fontId="0" fillId="0" borderId="2" xfId="0" applyBorder="1" applyProtection="1">
      <alignment vertical="center"/>
    </xf>
    <xf numFmtId="0" fontId="0" fillId="0" borderId="11" xfId="0" applyBorder="1" applyProtection="1">
      <alignment vertical="center"/>
    </xf>
    <xf numFmtId="0" fontId="28" fillId="0" borderId="3" xfId="0" applyFont="1" applyFill="1" applyBorder="1" applyAlignment="1" applyProtection="1">
      <alignment horizontal="center" vertical="center"/>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0" fillId="0" borderId="2" xfId="0" applyBorder="1" applyAlignment="1" applyProtection="1">
      <alignment horizontal="left"/>
    </xf>
    <xf numFmtId="0" fontId="28" fillId="0" borderId="48" xfId="0" applyFont="1" applyFill="1" applyBorder="1" applyAlignment="1" applyProtection="1">
      <alignment horizontal="center" vertical="center"/>
    </xf>
    <xf numFmtId="0" fontId="0" fillId="2" borderId="7" xfId="0" applyFill="1" applyBorder="1" applyAlignment="1" applyProtection="1">
      <alignment horizontal="center"/>
      <protection locked="0"/>
    </xf>
    <xf numFmtId="0" fontId="0" fillId="2" borderId="48" xfId="0" applyFill="1" applyBorder="1" applyAlignment="1" applyProtection="1">
      <alignment horizontal="center"/>
      <protection locked="0"/>
    </xf>
    <xf numFmtId="1" fontId="0" fillId="0" borderId="52" xfId="0" applyNumberFormat="1" applyBorder="1" applyAlignment="1" applyProtection="1">
      <alignment horizontal="center"/>
    </xf>
    <xf numFmtId="1" fontId="0" fillId="0" borderId="51" xfId="0" applyNumberFormat="1" applyBorder="1" applyAlignment="1" applyProtection="1">
      <alignment horizontal="center"/>
    </xf>
    <xf numFmtId="0" fontId="32" fillId="0" borderId="0" xfId="0" applyFont="1" applyAlignment="1" applyProtection="1"/>
    <xf numFmtId="0" fontId="27" fillId="0" borderId="0" xfId="0" applyFont="1" applyAlignment="1" applyProtection="1"/>
    <xf numFmtId="0" fontId="47" fillId="4" borderId="57" xfId="0" applyFont="1" applyFill="1" applyBorder="1" applyAlignment="1" applyProtection="1">
      <alignment horizontal="centerContinuous"/>
    </xf>
    <xf numFmtId="0" fontId="88" fillId="4" borderId="62" xfId="0" applyFont="1" applyFill="1" applyBorder="1" applyAlignment="1" applyProtection="1">
      <alignment horizontal="center"/>
    </xf>
    <xf numFmtId="174" fontId="28" fillId="0" borderId="0" xfId="0" applyNumberFormat="1" applyFont="1" applyFill="1" applyBorder="1" applyAlignment="1" applyProtection="1">
      <alignment horizontal="center" vertical="center"/>
    </xf>
    <xf numFmtId="0" fontId="74" fillId="0" borderId="0" xfId="0" applyFont="1" applyProtection="1">
      <alignment vertical="center"/>
    </xf>
    <xf numFmtId="174" fontId="39" fillId="0" borderId="0" xfId="0" applyNumberFormat="1" applyFont="1" applyProtection="1">
      <alignment vertical="center"/>
    </xf>
    <xf numFmtId="0" fontId="26" fillId="0" borderId="0" xfId="0" applyFont="1" applyProtection="1">
      <alignment vertical="center"/>
    </xf>
    <xf numFmtId="0" fontId="26" fillId="0" borderId="0" xfId="0" applyFont="1" applyAlignment="1" applyProtection="1">
      <alignment horizontal="center" vertical="center"/>
    </xf>
    <xf numFmtId="174" fontId="39" fillId="0" borderId="0" xfId="0" applyNumberFormat="1" applyFont="1">
      <alignment vertical="center"/>
    </xf>
    <xf numFmtId="0" fontId="63" fillId="0" borderId="0" xfId="0" applyFont="1" applyAlignment="1" applyProtection="1">
      <alignment horizontal="right"/>
    </xf>
    <xf numFmtId="190" fontId="63" fillId="0" borderId="0" xfId="0" applyNumberFormat="1" applyFont="1" applyAlignment="1" applyProtection="1">
      <alignment horizontal="center" vertical="center"/>
    </xf>
    <xf numFmtId="10" fontId="63" fillId="0" borderId="0" xfId="0" applyNumberFormat="1" applyFont="1" applyAlignment="1">
      <alignment horizontal="center"/>
    </xf>
    <xf numFmtId="9" fontId="63" fillId="0" borderId="0" xfId="0" applyNumberFormat="1" applyFont="1" applyAlignment="1">
      <alignment horizontal="center"/>
    </xf>
    <xf numFmtId="2" fontId="63" fillId="0" borderId="0" xfId="0" applyNumberFormat="1" applyFont="1" applyAlignment="1" applyProtection="1">
      <alignment horizontal="center" vertical="center"/>
    </xf>
    <xf numFmtId="174" fontId="39" fillId="0" borderId="0" xfId="0" applyNumberFormat="1" applyFont="1" applyFill="1" applyBorder="1" applyAlignment="1" applyProtection="1">
      <alignment horizontal="center" vertical="center"/>
    </xf>
    <xf numFmtId="0" fontId="39" fillId="0" borderId="66" xfId="0" applyFont="1" applyFill="1" applyBorder="1" applyProtection="1">
      <alignment vertical="center"/>
    </xf>
    <xf numFmtId="1" fontId="39" fillId="0" borderId="71" xfId="0" applyNumberFormat="1" applyFont="1" applyFill="1" applyBorder="1" applyAlignment="1" applyProtection="1">
      <alignment horizontal="center" vertical="center"/>
    </xf>
    <xf numFmtId="0" fontId="39" fillId="0" borderId="71" xfId="0" applyFont="1" applyFill="1" applyBorder="1" applyAlignment="1" applyProtection="1">
      <alignment horizontal="center" vertical="center"/>
    </xf>
    <xf numFmtId="174" fontId="39" fillId="0" borderId="71" xfId="0" applyNumberFormat="1" applyFont="1" applyFill="1" applyBorder="1" applyAlignment="1" applyProtection="1">
      <alignment horizontal="center" vertical="center"/>
    </xf>
    <xf numFmtId="0" fontId="40" fillId="0" borderId="71" xfId="0" applyFont="1" applyFill="1" applyBorder="1" applyAlignment="1" applyProtection="1">
      <alignment horizontal="center" vertical="center"/>
    </xf>
    <xf numFmtId="0" fontId="87" fillId="0" borderId="66" xfId="0" applyFont="1" applyFill="1" applyBorder="1" applyAlignment="1" applyProtection="1">
      <alignment horizontal="center" vertical="center"/>
    </xf>
    <xf numFmtId="1" fontId="39" fillId="0" borderId="55" xfId="0" applyNumberFormat="1" applyFont="1" applyFill="1" applyBorder="1" applyAlignment="1" applyProtection="1">
      <alignment horizontal="center" vertical="center"/>
    </xf>
    <xf numFmtId="0" fontId="39" fillId="0" borderId="55" xfId="0" applyFont="1" applyFill="1" applyBorder="1" applyAlignment="1" applyProtection="1">
      <alignment horizontal="center" vertical="center"/>
    </xf>
    <xf numFmtId="174" fontId="39" fillId="0" borderId="55" xfId="0" applyNumberFormat="1" applyFont="1" applyFill="1" applyBorder="1" applyAlignment="1" applyProtection="1">
      <alignment horizontal="center" vertical="center"/>
    </xf>
    <xf numFmtId="0" fontId="40" fillId="0" borderId="55" xfId="0" applyFont="1" applyFill="1" applyBorder="1" applyAlignment="1" applyProtection="1">
      <alignment horizontal="center" vertical="center"/>
    </xf>
    <xf numFmtId="0" fontId="39" fillId="0" borderId="55" xfId="0" applyFont="1" applyFill="1" applyBorder="1" applyAlignment="1" applyProtection="1">
      <alignment horizontal="centerContinuous" vertical="center"/>
    </xf>
    <xf numFmtId="0" fontId="87" fillId="0" borderId="54" xfId="0" applyFont="1" applyFill="1" applyBorder="1" applyAlignment="1" applyProtection="1">
      <alignment horizontal="center" vertical="center"/>
    </xf>
    <xf numFmtId="0" fontId="88" fillId="0" borderId="0" xfId="0" applyFont="1" applyFill="1" applyBorder="1" applyAlignment="1" applyProtection="1">
      <alignment horizontal="center" vertical="center"/>
    </xf>
    <xf numFmtId="172" fontId="39" fillId="0" borderId="74" xfId="0" applyNumberFormat="1" applyFont="1" applyFill="1" applyBorder="1" applyAlignment="1" applyProtection="1">
      <alignment horizontal="center" vertical="center"/>
    </xf>
    <xf numFmtId="172" fontId="39" fillId="0" borderId="74" xfId="0" applyNumberFormat="1" applyFont="1" applyFill="1" applyBorder="1" applyAlignment="1" applyProtection="1">
      <alignment horizontal="centerContinuous" vertical="center"/>
    </xf>
    <xf numFmtId="172" fontId="39" fillId="0" borderId="55" xfId="0" applyNumberFormat="1" applyFont="1" applyFill="1" applyBorder="1" applyAlignment="1" applyProtection="1">
      <alignment horizontal="center" vertical="center"/>
    </xf>
    <xf numFmtId="172" fontId="39" fillId="0" borderId="144" xfId="0" applyNumberFormat="1" applyFont="1" applyFill="1" applyBorder="1" applyAlignment="1" applyProtection="1">
      <alignment horizontal="center" vertical="center"/>
    </xf>
    <xf numFmtId="172" fontId="39" fillId="0" borderId="95" xfId="0" applyNumberFormat="1" applyFont="1" applyFill="1" applyBorder="1" applyAlignment="1" applyProtection="1">
      <alignment horizontal="centerContinuous" vertical="center"/>
    </xf>
    <xf numFmtId="172" fontId="39" fillId="0" borderId="95" xfId="0" applyNumberFormat="1" applyFont="1" applyFill="1" applyBorder="1" applyAlignment="1" applyProtection="1">
      <alignment horizontal="center" vertical="center"/>
    </xf>
    <xf numFmtId="172" fontId="39" fillId="0" borderId="64" xfId="0" applyNumberFormat="1" applyFont="1" applyFill="1" applyBorder="1" applyAlignment="1" applyProtection="1">
      <alignment horizontal="center" vertical="center"/>
    </xf>
    <xf numFmtId="172" fontId="87" fillId="0" borderId="49" xfId="0" applyNumberFormat="1" applyFont="1" applyFill="1" applyBorder="1" applyAlignment="1" applyProtection="1">
      <alignment horizontal="center" vertical="center"/>
    </xf>
    <xf numFmtId="0" fontId="39" fillId="0" borderId="49" xfId="0" applyFont="1" applyFill="1" applyBorder="1" applyAlignment="1" applyProtection="1">
      <alignment horizontal="center" vertical="center"/>
    </xf>
    <xf numFmtId="0" fontId="38" fillId="0" borderId="66" xfId="0" applyFont="1" applyFill="1" applyBorder="1" applyProtection="1">
      <alignment vertical="center"/>
    </xf>
    <xf numFmtId="172" fontId="39" fillId="0" borderId="71" xfId="0" applyNumberFormat="1" applyFont="1" applyFill="1" applyBorder="1" applyAlignment="1" applyProtection="1">
      <alignment horizontal="center" vertical="center"/>
    </xf>
    <xf numFmtId="0" fontId="87" fillId="0" borderId="71" xfId="0" applyFont="1" applyFill="1" applyBorder="1" applyAlignment="1" applyProtection="1">
      <alignment horizontal="center" vertical="center"/>
    </xf>
    <xf numFmtId="2" fontId="39" fillId="0" borderId="71" xfId="0" applyNumberFormat="1" applyFont="1" applyFill="1" applyBorder="1" applyAlignment="1" applyProtection="1">
      <alignment horizontal="center" vertical="center"/>
    </xf>
    <xf numFmtId="0" fontId="39" fillId="0" borderId="145" xfId="0" applyFont="1" applyFill="1" applyBorder="1" applyProtection="1">
      <alignment vertical="center"/>
    </xf>
    <xf numFmtId="3" fontId="39" fillId="0" borderId="74" xfId="0" applyNumberFormat="1" applyFont="1" applyFill="1" applyBorder="1" applyAlignment="1" applyProtection="1">
      <alignment horizontal="center" vertical="center"/>
    </xf>
    <xf numFmtId="0" fontId="39" fillId="0" borderId="46" xfId="0" applyFont="1" applyFill="1" applyBorder="1" applyProtection="1">
      <alignment vertical="center"/>
    </xf>
    <xf numFmtId="0" fontId="39" fillId="0" borderId="130" xfId="0" applyFont="1" applyFill="1" applyBorder="1" applyProtection="1">
      <alignment vertical="center"/>
    </xf>
    <xf numFmtId="1" fontId="39" fillId="0" borderId="146" xfId="0" applyNumberFormat="1" applyFont="1" applyFill="1" applyBorder="1" applyAlignment="1" applyProtection="1">
      <alignment horizontal="center" vertical="center"/>
    </xf>
    <xf numFmtId="172" fontId="39" fillId="0" borderId="146" xfId="0" applyNumberFormat="1" applyFont="1" applyFill="1" applyBorder="1" applyAlignment="1" applyProtection="1">
      <alignment horizontal="center" vertical="center"/>
    </xf>
    <xf numFmtId="184" fontId="39" fillId="0" borderId="146" xfId="0" applyNumberFormat="1" applyFont="1" applyFill="1" applyBorder="1" applyAlignment="1" applyProtection="1">
      <alignment horizontal="center" vertical="center"/>
    </xf>
    <xf numFmtId="0" fontId="39" fillId="0" borderId="146" xfId="0" applyFont="1" applyFill="1" applyBorder="1" applyAlignment="1" applyProtection="1">
      <alignment horizontal="center" vertical="center"/>
    </xf>
    <xf numFmtId="174" fontId="39" fillId="0" borderId="146" xfId="0" applyNumberFormat="1" applyFont="1" applyFill="1" applyBorder="1" applyAlignment="1" applyProtection="1">
      <alignment horizontal="center" vertical="center"/>
    </xf>
    <xf numFmtId="0" fontId="87" fillId="0" borderId="146" xfId="0" applyFont="1" applyFill="1" applyBorder="1" applyAlignment="1" applyProtection="1">
      <alignment horizontal="center" vertical="center"/>
    </xf>
    <xf numFmtId="2" fontId="39" fillId="0" borderId="146" xfId="0" applyNumberFormat="1" applyFont="1" applyFill="1" applyBorder="1" applyAlignment="1" applyProtection="1">
      <alignment horizontal="center" vertical="center"/>
    </xf>
    <xf numFmtId="172" fontId="39" fillId="0" borderId="147" xfId="0" applyNumberFormat="1" applyFont="1" applyFill="1" applyBorder="1" applyAlignment="1" applyProtection="1">
      <alignment horizontal="center" vertical="center"/>
    </xf>
    <xf numFmtId="3" fontId="39" fillId="0" borderId="147" xfId="0" applyNumberFormat="1" applyFont="1" applyFill="1" applyBorder="1" applyAlignment="1" applyProtection="1">
      <alignment horizontal="center" vertical="center"/>
    </xf>
    <xf numFmtId="3" fontId="39" fillId="0" borderId="46" xfId="0" applyNumberFormat="1" applyFont="1" applyFill="1" applyBorder="1" applyAlignment="1" applyProtection="1">
      <alignment horizontal="center" vertical="center"/>
    </xf>
    <xf numFmtId="0" fontId="38" fillId="0" borderId="130" xfId="0" applyFont="1" applyFill="1" applyBorder="1" applyProtection="1">
      <alignment vertical="center"/>
    </xf>
    <xf numFmtId="1" fontId="39" fillId="0" borderId="4" xfId="0" applyNumberFormat="1" applyFont="1" applyFill="1" applyBorder="1" applyAlignment="1" applyProtection="1">
      <alignment horizontal="center" vertical="center"/>
    </xf>
    <xf numFmtId="174" fontId="39" fillId="0" borderId="4" xfId="0" applyNumberFormat="1" applyFont="1" applyFill="1" applyBorder="1" applyAlignment="1" applyProtection="1">
      <alignment horizontal="center" vertical="center"/>
    </xf>
    <xf numFmtId="0" fontId="39" fillId="0" borderId="4" xfId="0" applyFont="1" applyFill="1" applyBorder="1" applyAlignment="1" applyProtection="1">
      <alignment horizontal="right" vertical="center"/>
    </xf>
    <xf numFmtId="3" fontId="39" fillId="0" borderId="51" xfId="0" applyNumberFormat="1" applyFont="1" applyFill="1" applyBorder="1" applyAlignment="1" applyProtection="1">
      <alignment horizontal="center" vertical="center"/>
    </xf>
    <xf numFmtId="1" fontId="39" fillId="0" borderId="51" xfId="0" applyNumberFormat="1" applyFont="1" applyFill="1" applyBorder="1" applyAlignment="1" applyProtection="1">
      <alignment horizontal="center" vertical="center"/>
    </xf>
    <xf numFmtId="192" fontId="63" fillId="0" borderId="0" xfId="0" applyNumberFormat="1" applyFont="1" applyProtection="1">
      <alignment vertical="center"/>
    </xf>
    <xf numFmtId="1" fontId="39" fillId="2" borderId="51" xfId="0" applyNumberFormat="1" applyFont="1" applyFill="1" applyBorder="1" applyAlignment="1" applyProtection="1">
      <alignment horizontal="center" vertical="center"/>
      <protection locked="0"/>
    </xf>
    <xf numFmtId="172" fontId="39" fillId="0" borderId="65" xfId="0" applyNumberFormat="1" applyFont="1" applyFill="1" applyBorder="1" applyAlignment="1" applyProtection="1">
      <alignment horizontal="center" vertical="center"/>
    </xf>
    <xf numFmtId="172" fontId="39" fillId="0" borderId="109" xfId="0" applyNumberFormat="1" applyFont="1" applyFill="1" applyBorder="1" applyAlignment="1" applyProtection="1">
      <alignment horizontal="center" vertical="center"/>
    </xf>
    <xf numFmtId="174" fontId="39" fillId="0" borderId="0" xfId="0" applyNumberFormat="1" applyFont="1" applyFill="1" applyBorder="1" applyProtection="1">
      <alignment vertical="center"/>
    </xf>
    <xf numFmtId="0" fontId="39" fillId="2" borderId="51" xfId="0" applyFont="1" applyFill="1" applyBorder="1" applyAlignment="1" applyProtection="1">
      <alignment horizontal="center" vertical="center"/>
      <protection locked="0"/>
    </xf>
    <xf numFmtId="0" fontId="39" fillId="0" borderId="21" xfId="0" applyFont="1" applyFill="1" applyBorder="1" applyProtection="1">
      <alignment vertical="center"/>
    </xf>
    <xf numFmtId="0" fontId="39" fillId="0" borderId="6" xfId="0" applyFont="1" applyFill="1" applyBorder="1" applyProtection="1">
      <alignment vertical="center"/>
    </xf>
    <xf numFmtId="3" fontId="39" fillId="0" borderId="148" xfId="0" applyNumberFormat="1" applyFont="1" applyFill="1" applyBorder="1" applyAlignment="1" applyProtection="1">
      <alignment horizontal="center" vertical="center"/>
    </xf>
    <xf numFmtId="3" fontId="39" fillId="0" borderId="87" xfId="0" applyNumberFormat="1" applyFont="1" applyFill="1" applyBorder="1" applyAlignment="1" applyProtection="1">
      <alignment horizontal="center" vertical="center"/>
    </xf>
    <xf numFmtId="174" fontId="28" fillId="0" borderId="0" xfId="0" applyNumberFormat="1" applyFont="1" applyProtection="1">
      <alignment vertical="center"/>
    </xf>
    <xf numFmtId="0" fontId="90" fillId="0" borderId="0" xfId="0" applyFont="1" applyFill="1" applyBorder="1" applyAlignment="1" applyProtection="1"/>
    <xf numFmtId="1" fontId="90" fillId="0" borderId="0" xfId="0" applyNumberFormat="1" applyFont="1" applyFill="1" applyBorder="1" applyAlignment="1" applyProtection="1">
      <alignment horizontal="center"/>
    </xf>
    <xf numFmtId="0" fontId="85" fillId="0" borderId="0" xfId="0" applyFont="1" applyFill="1" applyBorder="1" applyAlignment="1" applyProtection="1"/>
    <xf numFmtId="1" fontId="0" fillId="0" borderId="0" xfId="0" applyNumberFormat="1" applyAlignment="1">
      <alignment horizontal="center"/>
    </xf>
    <xf numFmtId="0" fontId="27" fillId="0" borderId="0" xfId="0" applyFont="1" applyProtection="1">
      <alignment vertical="center"/>
    </xf>
    <xf numFmtId="0" fontId="94" fillId="0" borderId="0" xfId="0" applyFont="1">
      <alignment vertical="center"/>
    </xf>
    <xf numFmtId="193" fontId="0" fillId="0" borderId="0" xfId="0" applyNumberFormat="1" applyFill="1" applyAlignment="1" applyProtection="1">
      <alignment horizontal="center" vertical="center"/>
    </xf>
    <xf numFmtId="191" fontId="0" fillId="0" borderId="0" xfId="0" applyNumberFormat="1" applyFill="1" applyAlignment="1" applyProtection="1">
      <alignment horizontal="center" vertical="center"/>
    </xf>
    <xf numFmtId="190" fontId="0" fillId="0" borderId="0" xfId="0" applyNumberFormat="1" applyFill="1" applyAlignment="1" applyProtection="1">
      <alignment horizontal="center" vertical="center"/>
    </xf>
    <xf numFmtId="0" fontId="38" fillId="0" borderId="149" xfId="0" applyFont="1" applyFill="1" applyBorder="1" applyAlignment="1" applyProtection="1">
      <alignment horizontal="centerContinuous"/>
    </xf>
    <xf numFmtId="0" fontId="64" fillId="0" borderId="0" xfId="0" applyFont="1" applyFill="1" applyBorder="1" applyAlignment="1" applyProtection="1"/>
    <xf numFmtId="0" fontId="40" fillId="0" borderId="0" xfId="0" applyFont="1" applyProtection="1">
      <alignment vertical="center"/>
    </xf>
    <xf numFmtId="0" fontId="88" fillId="0" borderId="45" xfId="0" applyFont="1" applyFill="1" applyBorder="1" applyAlignment="1" applyProtection="1">
      <alignment horizontal="center"/>
    </xf>
    <xf numFmtId="0" fontId="88" fillId="0" borderId="11" xfId="0" applyFont="1" applyFill="1" applyBorder="1" applyAlignment="1" applyProtection="1">
      <alignment horizontal="center"/>
    </xf>
    <xf numFmtId="0" fontId="88" fillId="0" borderId="30" xfId="0" applyFont="1" applyFill="1" applyBorder="1" applyAlignment="1" applyProtection="1">
      <alignment horizontal="center"/>
    </xf>
    <xf numFmtId="0" fontId="0" fillId="0" borderId="0" xfId="0" applyFill="1" applyProtection="1">
      <alignment vertical="center"/>
    </xf>
    <xf numFmtId="0" fontId="88" fillId="0" borderId="0" xfId="0" applyFont="1" applyFill="1" applyBorder="1" applyAlignment="1" applyProtection="1">
      <alignment horizontal="center"/>
    </xf>
    <xf numFmtId="0" fontId="0" fillId="0" borderId="4" xfId="0" applyFill="1" applyBorder="1" applyProtection="1">
      <alignment vertical="center"/>
    </xf>
    <xf numFmtId="0" fontId="88" fillId="0" borderId="0" xfId="0" applyFont="1" applyFill="1" applyProtection="1">
      <alignment vertical="center"/>
    </xf>
    <xf numFmtId="0" fontId="88" fillId="0" borderId="0" xfId="0" applyFont="1" applyFill="1" applyAlignment="1" applyProtection="1">
      <alignment horizontal="centerContinuous"/>
    </xf>
    <xf numFmtId="3" fontId="39" fillId="0" borderId="102" xfId="0" applyNumberFormat="1" applyFont="1" applyFill="1" applyBorder="1" applyAlignment="1" applyProtection="1">
      <alignment horizontal="center" vertical="center"/>
    </xf>
    <xf numFmtId="3" fontId="39" fillId="0" borderId="3" xfId="0" applyNumberFormat="1" applyFont="1" applyFill="1" applyBorder="1" applyAlignment="1" applyProtection="1">
      <alignment horizontal="center" vertical="center"/>
    </xf>
    <xf numFmtId="3" fontId="39" fillId="0" borderId="24" xfId="0" applyNumberFormat="1" applyFont="1" applyFill="1" applyBorder="1" applyAlignment="1" applyProtection="1">
      <alignment horizontal="center" vertical="center"/>
    </xf>
    <xf numFmtId="3" fontId="38" fillId="0" borderId="0" xfId="0" applyNumberFormat="1" applyFont="1" applyFill="1" applyBorder="1" applyAlignment="1" applyProtection="1">
      <alignment horizontal="center" vertical="center"/>
    </xf>
    <xf numFmtId="0" fontId="95" fillId="0" borderId="0" xfId="0" applyFont="1">
      <alignment vertical="center"/>
    </xf>
    <xf numFmtId="0" fontId="39" fillId="3" borderId="26" xfId="0" applyFont="1" applyFill="1" applyBorder="1" applyProtection="1">
      <alignment vertical="center"/>
    </xf>
    <xf numFmtId="3" fontId="39" fillId="3" borderId="3" xfId="0" applyNumberFormat="1" applyFont="1" applyFill="1" applyBorder="1" applyAlignment="1" applyProtection="1">
      <alignment horizontal="center" vertical="center"/>
    </xf>
    <xf numFmtId="172" fontId="39" fillId="3" borderId="2" xfId="0" applyNumberFormat="1" applyFont="1" applyFill="1" applyBorder="1" applyProtection="1">
      <alignment vertical="center"/>
    </xf>
    <xf numFmtId="172" fontId="39" fillId="3" borderId="3" xfId="0" applyNumberFormat="1" applyFont="1" applyFill="1" applyBorder="1" applyAlignment="1" applyProtection="1">
      <alignment horizontal="center" vertical="center"/>
    </xf>
    <xf numFmtId="0" fontId="39" fillId="3" borderId="22" xfId="0" applyFont="1" applyFill="1" applyBorder="1" applyProtection="1">
      <alignment vertical="center"/>
    </xf>
    <xf numFmtId="3" fontId="39" fillId="3" borderId="24" xfId="0" applyNumberFormat="1" applyFont="1" applyFill="1" applyBorder="1" applyAlignment="1" applyProtection="1">
      <alignment horizontal="center" vertical="center"/>
    </xf>
    <xf numFmtId="172" fontId="39" fillId="3" borderId="23" xfId="0" applyNumberFormat="1" applyFont="1" applyFill="1" applyBorder="1" applyProtection="1">
      <alignment vertical="center"/>
    </xf>
    <xf numFmtId="0" fontId="39" fillId="3" borderId="23" xfId="0" applyFont="1" applyFill="1" applyBorder="1" applyAlignment="1" applyProtection="1">
      <alignment horizontal="center" vertical="center"/>
    </xf>
    <xf numFmtId="172" fontId="39" fillId="3" borderId="24" xfId="0" applyNumberFormat="1" applyFont="1" applyFill="1" applyBorder="1" applyAlignment="1" applyProtection="1">
      <alignment horizontal="center" vertical="center"/>
    </xf>
    <xf numFmtId="3" fontId="39" fillId="3" borderId="2" xfId="0" applyNumberFormat="1" applyFont="1" applyFill="1" applyBorder="1" applyAlignment="1" applyProtection="1">
      <alignment horizontal="center" vertical="center"/>
    </xf>
    <xf numFmtId="3" fontId="39" fillId="3" borderId="23" xfId="0" applyNumberFormat="1" applyFont="1" applyFill="1" applyBorder="1" applyAlignment="1" applyProtection="1">
      <alignment horizontal="center" vertical="center"/>
    </xf>
    <xf numFmtId="3" fontId="39" fillId="0" borderId="37" xfId="0" applyNumberFormat="1" applyFont="1" applyFill="1" applyBorder="1" applyAlignment="1" applyProtection="1">
      <alignment horizontal="center" vertical="center"/>
    </xf>
    <xf numFmtId="3" fontId="39" fillId="0" borderId="2" xfId="0" applyNumberFormat="1" applyFont="1" applyFill="1" applyBorder="1" applyAlignment="1" applyProtection="1">
      <alignment horizontal="center" vertical="center"/>
    </xf>
    <xf numFmtId="3" fontId="39" fillId="0" borderId="23" xfId="0" applyNumberFormat="1" applyFont="1" applyFill="1" applyBorder="1" applyAlignment="1" applyProtection="1">
      <alignment horizontal="center" vertical="center"/>
    </xf>
    <xf numFmtId="3" fontId="39" fillId="0" borderId="44" xfId="0" applyNumberFormat="1" applyFont="1" applyFill="1" applyBorder="1" applyAlignment="1" applyProtection="1">
      <alignment horizontal="center" vertical="center"/>
    </xf>
    <xf numFmtId="3" fontId="39" fillId="0" borderId="89" xfId="0" applyNumberFormat="1" applyFont="1" applyFill="1" applyBorder="1" applyAlignment="1" applyProtection="1">
      <alignment horizontal="center" vertical="center"/>
    </xf>
    <xf numFmtId="3" fontId="39" fillId="0" borderId="96" xfId="0" applyNumberFormat="1" applyFont="1" applyFill="1" applyBorder="1" applyAlignment="1" applyProtection="1">
      <alignment horizontal="center" vertical="center"/>
    </xf>
    <xf numFmtId="3" fontId="39" fillId="0" borderId="9" xfId="0" applyNumberFormat="1" applyFont="1" applyFill="1" applyBorder="1" applyAlignment="1" applyProtection="1">
      <alignment horizontal="center" vertical="center"/>
    </xf>
    <xf numFmtId="3" fontId="39" fillId="0" borderId="8" xfId="0" applyNumberFormat="1" applyFont="1" applyFill="1" applyBorder="1" applyAlignment="1" applyProtection="1">
      <alignment horizontal="center" vertical="center"/>
    </xf>
    <xf numFmtId="3" fontId="39" fillId="0" borderId="84" xfId="0" applyNumberFormat="1" applyFont="1" applyFill="1" applyBorder="1" applyAlignment="1" applyProtection="1">
      <alignment horizontal="center" vertical="center"/>
    </xf>
    <xf numFmtId="3" fontId="39" fillId="0" borderId="86" xfId="0" applyNumberFormat="1" applyFont="1" applyFill="1" applyBorder="1" applyAlignment="1" applyProtection="1">
      <alignment horizontal="center" vertical="center"/>
    </xf>
    <xf numFmtId="3" fontId="39" fillId="0" borderId="104" xfId="0" applyNumberFormat="1" applyFont="1" applyFill="1" applyBorder="1" applyAlignment="1" applyProtection="1">
      <alignment horizontal="center" vertical="center"/>
    </xf>
    <xf numFmtId="3" fontId="39" fillId="0" borderId="52" xfId="0" applyNumberFormat="1" applyFont="1" applyFill="1" applyBorder="1" applyAlignment="1" applyProtection="1">
      <alignment horizontal="center" vertical="center"/>
    </xf>
    <xf numFmtId="3" fontId="39" fillId="0" borderId="1" xfId="0" applyNumberFormat="1" applyFont="1" applyFill="1" applyBorder="1" applyAlignment="1" applyProtection="1">
      <alignment horizontal="center" vertical="center"/>
    </xf>
    <xf numFmtId="3" fontId="39" fillId="0" borderId="111" xfId="0" applyNumberFormat="1" applyFont="1" applyFill="1" applyBorder="1" applyAlignment="1" applyProtection="1">
      <alignment horizontal="center" vertical="center"/>
    </xf>
    <xf numFmtId="3" fontId="39" fillId="0" borderId="94" xfId="0" applyNumberFormat="1" applyFont="1" applyFill="1" applyBorder="1" applyAlignment="1" applyProtection="1">
      <alignment horizontal="center" vertical="center"/>
    </xf>
    <xf numFmtId="0" fontId="88" fillId="4" borderId="60" xfId="0" applyFont="1" applyFill="1" applyBorder="1" applyAlignment="1" applyProtection="1">
      <alignment horizontal="centerContinuous"/>
    </xf>
    <xf numFmtId="0" fontId="88" fillId="4" borderId="61" xfId="0" applyFont="1" applyFill="1" applyBorder="1" applyAlignment="1" applyProtection="1">
      <alignment horizontal="centerContinuous"/>
    </xf>
    <xf numFmtId="0" fontId="47" fillId="4" borderId="152" xfId="0" applyFont="1" applyFill="1" applyBorder="1" applyAlignment="1" applyProtection="1">
      <alignment horizontal="centerContinuous"/>
    </xf>
    <xf numFmtId="0" fontId="88" fillId="4" borderId="153" xfId="0" applyFont="1" applyFill="1" applyBorder="1" applyAlignment="1" applyProtection="1">
      <alignment horizontal="center"/>
    </xf>
    <xf numFmtId="3" fontId="28" fillId="0" borderId="0" xfId="0" applyNumberFormat="1" applyFont="1" applyProtection="1">
      <alignment vertical="center"/>
    </xf>
    <xf numFmtId="0" fontId="0" fillId="0" borderId="105" xfId="0" applyBorder="1" applyAlignment="1" applyProtection="1">
      <alignment horizontal="center"/>
    </xf>
    <xf numFmtId="172" fontId="0" fillId="0" borderId="2" xfId="0" applyNumberFormat="1" applyFill="1" applyBorder="1" applyAlignment="1" applyProtection="1">
      <alignment horizontal="center"/>
    </xf>
    <xf numFmtId="172" fontId="0" fillId="0" borderId="3" xfId="0" applyNumberFormat="1" applyFill="1" applyBorder="1" applyAlignment="1" applyProtection="1">
      <alignment horizontal="center"/>
    </xf>
    <xf numFmtId="172" fontId="0" fillId="0" borderId="9" xfId="0" applyNumberFormat="1" applyFill="1" applyBorder="1" applyAlignment="1" applyProtection="1">
      <alignment horizontal="center"/>
    </xf>
    <xf numFmtId="172" fontId="0" fillId="0" borderId="19" xfId="0" applyNumberFormat="1" applyFill="1" applyBorder="1" applyAlignment="1" applyProtection="1">
      <alignment horizontal="center"/>
    </xf>
    <xf numFmtId="172" fontId="0" fillId="0" borderId="20" xfId="0" applyNumberFormat="1" applyFill="1" applyBorder="1" applyAlignment="1" applyProtection="1">
      <alignment horizontal="center"/>
    </xf>
    <xf numFmtId="172" fontId="0" fillId="0" borderId="73" xfId="0" applyNumberFormat="1" applyFill="1" applyBorder="1" applyAlignment="1" applyProtection="1">
      <alignment horizontal="center"/>
    </xf>
    <xf numFmtId="0" fontId="0" fillId="0" borderId="98" xfId="0" applyBorder="1" applyProtection="1">
      <alignment vertical="center"/>
    </xf>
    <xf numFmtId="174" fontId="0" fillId="2" borderId="98" xfId="0" applyNumberFormat="1" applyFill="1" applyBorder="1" applyAlignment="1" applyProtection="1">
      <alignment horizontal="center"/>
      <protection locked="0"/>
    </xf>
    <xf numFmtId="174" fontId="0" fillId="2" borderId="105" xfId="0" applyNumberFormat="1" applyFill="1" applyBorder="1" applyAlignment="1" applyProtection="1">
      <alignment horizontal="center"/>
      <protection locked="0"/>
    </xf>
    <xf numFmtId="1" fontId="40" fillId="0" borderId="141" xfId="0" applyNumberFormat="1" applyFont="1" applyFill="1" applyBorder="1" applyAlignment="1" applyProtection="1">
      <alignment horizontal="center"/>
    </xf>
    <xf numFmtId="1" fontId="40" fillId="0" borderId="137" xfId="0" applyNumberFormat="1" applyFont="1" applyFill="1" applyBorder="1" applyAlignment="1" applyProtection="1">
      <alignment horizontal="center"/>
    </xf>
    <xf numFmtId="1" fontId="40" fillId="0" borderId="139" xfId="0" applyNumberFormat="1" applyFont="1" applyFill="1" applyBorder="1" applyAlignment="1" applyProtection="1">
      <alignment horizontal="center"/>
    </xf>
    <xf numFmtId="0" fontId="0" fillId="0" borderId="3" xfId="0" applyBorder="1" applyProtection="1">
      <alignment vertical="center"/>
    </xf>
    <xf numFmtId="174" fontId="0" fillId="2" borderId="3" xfId="0" applyNumberFormat="1" applyFill="1" applyBorder="1" applyAlignment="1" applyProtection="1">
      <alignment horizontal="center"/>
      <protection locked="0"/>
    </xf>
    <xf numFmtId="174" fontId="0" fillId="2" borderId="48" xfId="0" applyNumberFormat="1" applyFill="1" applyBorder="1" applyAlignment="1" applyProtection="1">
      <alignment horizontal="center"/>
      <protection locked="0"/>
    </xf>
    <xf numFmtId="0" fontId="0" fillId="0" borderId="20" xfId="0" applyBorder="1" applyAlignment="1" applyProtection="1">
      <alignment horizontal="centerContinuous"/>
    </xf>
    <xf numFmtId="0" fontId="71" fillId="0" borderId="0" xfId="0" applyFont="1" applyBorder="1" applyProtection="1">
      <alignment vertical="center"/>
    </xf>
    <xf numFmtId="0" fontId="40" fillId="10" borderId="154" xfId="0" applyFont="1" applyFill="1" applyBorder="1" applyAlignment="1" applyProtection="1">
      <alignment horizontal="left"/>
    </xf>
    <xf numFmtId="0" fontId="40" fillId="10" borderId="2" xfId="0" applyFont="1" applyFill="1" applyBorder="1" applyAlignment="1" applyProtection="1">
      <alignment horizontal="left"/>
    </xf>
    <xf numFmtId="0" fontId="40" fillId="10" borderId="19" xfId="0" applyFont="1" applyFill="1" applyBorder="1" applyAlignment="1" applyProtection="1">
      <alignment horizontal="left"/>
    </xf>
    <xf numFmtId="0" fontId="40" fillId="0" borderId="44" xfId="0" applyFont="1" applyFill="1" applyBorder="1" applyAlignment="1" applyProtection="1">
      <alignment horizontal="left"/>
    </xf>
    <xf numFmtId="0" fontId="40" fillId="10" borderId="7" xfId="0" applyFont="1" applyFill="1" applyBorder="1" applyAlignment="1" applyProtection="1">
      <alignment horizontal="left"/>
    </xf>
    <xf numFmtId="0" fontId="88" fillId="0" borderId="90" xfId="0" applyFont="1" applyFill="1" applyBorder="1" applyAlignment="1" applyProtection="1">
      <alignment horizontal="center"/>
    </xf>
    <xf numFmtId="0" fontId="88" fillId="0" borderId="98" xfId="0" applyFont="1" applyFill="1" applyBorder="1" applyAlignment="1" applyProtection="1">
      <alignment horizontal="center"/>
    </xf>
    <xf numFmtId="0" fontId="88" fillId="2" borderId="98" xfId="0" applyFont="1" applyFill="1" applyBorder="1" applyAlignment="1" applyProtection="1">
      <alignment horizontal="center"/>
      <protection locked="0"/>
    </xf>
    <xf numFmtId="0" fontId="88" fillId="2" borderId="72" xfId="0" applyFont="1" applyFill="1" applyBorder="1" applyAlignment="1" applyProtection="1">
      <alignment horizontal="center"/>
      <protection locked="0"/>
    </xf>
    <xf numFmtId="0" fontId="88" fillId="2" borderId="105" xfId="0" applyFont="1" applyFill="1" applyBorder="1" applyAlignment="1" applyProtection="1">
      <alignment horizontal="center"/>
      <protection locked="0"/>
    </xf>
    <xf numFmtId="0" fontId="57" fillId="0" borderId="0" xfId="0" applyFont="1" applyAlignment="1" applyProtection="1">
      <alignment horizontal="right"/>
    </xf>
    <xf numFmtId="0" fontId="57" fillId="0" borderId="0" xfId="0" applyFont="1" applyAlignment="1" applyProtection="1"/>
    <xf numFmtId="0" fontId="96" fillId="0" borderId="0" xfId="0" applyFont="1" applyAlignment="1" applyProtection="1">
      <alignment horizontal="center"/>
    </xf>
    <xf numFmtId="0" fontId="41" fillId="0" borderId="0" xfId="0" applyFont="1" applyAlignment="1" applyProtection="1">
      <alignment horizontal="right"/>
    </xf>
    <xf numFmtId="0" fontId="41" fillId="0" borderId="0" xfId="0" applyFont="1" applyAlignment="1">
      <alignment horizontal="center"/>
    </xf>
    <xf numFmtId="190" fontId="41" fillId="0" borderId="0" xfId="0" applyNumberFormat="1" applyFont="1" applyAlignment="1" applyProtection="1">
      <alignment horizontal="center" vertical="center"/>
    </xf>
    <xf numFmtId="10" fontId="41" fillId="0" borderId="0" xfId="0" applyNumberFormat="1" applyFont="1" applyAlignment="1">
      <alignment horizontal="center"/>
    </xf>
    <xf numFmtId="9" fontId="41" fillId="0" borderId="0" xfId="0" applyNumberFormat="1" applyFont="1" applyAlignment="1">
      <alignment horizontal="center"/>
    </xf>
    <xf numFmtId="2" fontId="41" fillId="0" borderId="0" xfId="0" applyNumberFormat="1" applyFont="1" applyAlignment="1" applyProtection="1">
      <alignment horizontal="center" vertical="center"/>
    </xf>
    <xf numFmtId="193" fontId="41" fillId="0" borderId="0" xfId="0" applyNumberFormat="1" applyFont="1" applyAlignment="1" applyProtection="1">
      <alignment horizontal="center" vertical="center"/>
    </xf>
    <xf numFmtId="0" fontId="73" fillId="0" borderId="110" xfId="0" applyFont="1" applyFill="1" applyBorder="1" applyAlignment="1" applyProtection="1">
      <alignment horizontal="center" wrapText="1"/>
      <protection locked="0"/>
    </xf>
    <xf numFmtId="0" fontId="88" fillId="0" borderId="30" xfId="0" applyFont="1" applyFill="1" applyBorder="1" applyAlignment="1" applyProtection="1">
      <alignment horizontal="center" wrapText="1"/>
    </xf>
    <xf numFmtId="172" fontId="39" fillId="0" borderId="88" xfId="0" applyNumberFormat="1" applyFont="1" applyFill="1" applyBorder="1" applyAlignment="1" applyProtection="1">
      <alignment horizontal="center" vertical="center"/>
    </xf>
    <xf numFmtId="3" fontId="39" fillId="0" borderId="117" xfId="0" applyNumberFormat="1" applyFont="1" applyFill="1" applyBorder="1" applyAlignment="1" applyProtection="1">
      <alignment horizontal="center" vertical="center"/>
    </xf>
    <xf numFmtId="3" fontId="39" fillId="0" borderId="119" xfId="0" applyNumberFormat="1" applyFont="1" applyFill="1" applyBorder="1" applyAlignment="1" applyProtection="1">
      <alignment horizontal="center" vertical="center"/>
    </xf>
    <xf numFmtId="3" fontId="39" fillId="0" borderId="120" xfId="0" applyNumberFormat="1" applyFont="1" applyFill="1" applyBorder="1" applyAlignment="1" applyProtection="1">
      <alignment horizontal="center" vertical="center"/>
    </xf>
    <xf numFmtId="184" fontId="39" fillId="0" borderId="2" xfId="0" applyNumberFormat="1" applyFont="1" applyFill="1" applyBorder="1" applyAlignment="1" applyProtection="1">
      <alignment horizontal="center" vertical="center"/>
    </xf>
    <xf numFmtId="0" fontId="88" fillId="0" borderId="105" xfId="0" applyFont="1" applyFill="1" applyBorder="1" applyAlignment="1" applyProtection="1">
      <alignment horizontal="center"/>
    </xf>
    <xf numFmtId="0" fontId="40" fillId="0" borderId="155" xfId="0" applyFont="1" applyFill="1" applyBorder="1" applyAlignment="1" applyProtection="1">
      <alignment horizontal="center"/>
    </xf>
    <xf numFmtId="3" fontId="39" fillId="3" borderId="37" xfId="0" applyNumberFormat="1" applyFont="1" applyFill="1" applyBorder="1" applyAlignment="1" applyProtection="1">
      <alignment horizontal="center" vertical="center"/>
    </xf>
    <xf numFmtId="3" fontId="39" fillId="3" borderId="102" xfId="0" applyNumberFormat="1" applyFont="1" applyFill="1" applyBorder="1" applyAlignment="1" applyProtection="1">
      <alignment horizontal="center" vertical="center"/>
    </xf>
    <xf numFmtId="2" fontId="39" fillId="3" borderId="37" xfId="0" applyNumberFormat="1" applyFont="1" applyFill="1" applyBorder="1" applyProtection="1">
      <alignment vertical="center"/>
    </xf>
    <xf numFmtId="172" fontId="39" fillId="3" borderId="102" xfId="0" applyNumberFormat="1" applyFont="1" applyFill="1" applyBorder="1" applyAlignment="1" applyProtection="1">
      <alignment horizontal="center" vertical="center"/>
    </xf>
    <xf numFmtId="172" fontId="39" fillId="3" borderId="103" xfId="0" applyNumberFormat="1" applyFont="1" applyFill="1" applyBorder="1" applyAlignment="1" applyProtection="1">
      <alignment horizontal="center" vertical="center"/>
    </xf>
    <xf numFmtId="3" fontId="39" fillId="0" borderId="19" xfId="0" applyNumberFormat="1" applyFont="1" applyFill="1" applyBorder="1" applyAlignment="1" applyProtection="1">
      <alignment horizontal="center" vertical="center"/>
    </xf>
    <xf numFmtId="0" fontId="97" fillId="4" borderId="57" xfId="0" applyFont="1" applyFill="1" applyBorder="1" applyAlignment="1" applyProtection="1">
      <alignment horizontal="centerContinuous"/>
    </xf>
    <xf numFmtId="0" fontId="40" fillId="4" borderId="156" xfId="0" applyFont="1" applyFill="1" applyBorder="1" applyAlignment="1" applyProtection="1">
      <alignment horizontal="centerContinuous"/>
    </xf>
    <xf numFmtId="0" fontId="40" fillId="4" borderId="157" xfId="0" applyFont="1" applyFill="1" applyBorder="1" applyAlignment="1" applyProtection="1">
      <alignment horizontal="centerContinuous"/>
    </xf>
    <xf numFmtId="0" fontId="88" fillId="4" borderId="60" xfId="0" applyFont="1" applyFill="1" applyBorder="1" applyAlignment="1" applyProtection="1"/>
    <xf numFmtId="171" fontId="40" fillId="0" borderId="158" xfId="0" applyNumberFormat="1" applyFont="1" applyFill="1" applyBorder="1" applyAlignment="1" applyProtection="1">
      <alignment horizontal="center"/>
    </xf>
    <xf numFmtId="171" fontId="40" fillId="0" borderId="114" xfId="0" applyNumberFormat="1" applyFont="1" applyFill="1" applyBorder="1" applyAlignment="1" applyProtection="1">
      <alignment horizontal="center"/>
    </xf>
    <xf numFmtId="171" fontId="40" fillId="0" borderId="23" xfId="0" applyNumberFormat="1" applyFont="1" applyFill="1" applyBorder="1" applyAlignment="1" applyProtection="1">
      <alignment horizontal="centerContinuous"/>
    </xf>
    <xf numFmtId="171" fontId="40" fillId="0" borderId="159" xfId="0" applyNumberFormat="1" applyFont="1" applyFill="1" applyBorder="1" applyAlignment="1" applyProtection="1">
      <alignment horizontal="centerContinuous"/>
    </xf>
    <xf numFmtId="0" fontId="40" fillId="0" borderId="23" xfId="0" applyFont="1" applyFill="1" applyBorder="1" applyAlignment="1" applyProtection="1"/>
    <xf numFmtId="0" fontId="40" fillId="0" borderId="159" xfId="0" applyFont="1" applyFill="1" applyBorder="1" applyAlignment="1" applyProtection="1"/>
    <xf numFmtId="0" fontId="40" fillId="10" borderId="23" xfId="0" applyFont="1" applyFill="1" applyBorder="1" applyAlignment="1" applyProtection="1"/>
    <xf numFmtId="171" fontId="40" fillId="0" borderId="160" xfId="0" applyNumberFormat="1" applyFont="1" applyFill="1" applyBorder="1" applyAlignment="1" applyProtection="1">
      <alignment horizontal="center"/>
    </xf>
    <xf numFmtId="171" fontId="40" fillId="0" borderId="161" xfId="0" applyNumberFormat="1" applyFont="1" applyFill="1" applyBorder="1" applyAlignment="1" applyProtection="1">
      <alignment horizontal="center"/>
    </xf>
    <xf numFmtId="171" fontId="40" fillId="0" borderId="56" xfId="0" applyNumberFormat="1" applyFont="1" applyFill="1" applyBorder="1" applyAlignment="1" applyProtection="1">
      <alignment horizontal="centerContinuous"/>
    </xf>
    <xf numFmtId="171" fontId="40" fillId="0" borderId="162" xfId="0" applyNumberFormat="1" applyFont="1" applyFill="1" applyBorder="1" applyAlignment="1" applyProtection="1">
      <alignment horizontal="centerContinuous"/>
    </xf>
    <xf numFmtId="0" fontId="40" fillId="10" borderId="56" xfId="0" applyFont="1" applyFill="1" applyBorder="1" applyAlignment="1" applyProtection="1"/>
    <xf numFmtId="0" fontId="40" fillId="10" borderId="162" xfId="0" applyFont="1" applyFill="1" applyBorder="1" applyAlignment="1" applyProtection="1"/>
    <xf numFmtId="0" fontId="97" fillId="4" borderId="156" xfId="0" applyFont="1" applyFill="1" applyBorder="1" applyAlignment="1" applyProtection="1">
      <alignment horizontal="centerContinuous"/>
    </xf>
    <xf numFmtId="0" fontId="40" fillId="10" borderId="159" xfId="0" applyFont="1" applyFill="1" applyBorder="1" applyAlignment="1" applyProtection="1"/>
    <xf numFmtId="0" fontId="88" fillId="4" borderId="156" xfId="0" applyFont="1" applyFill="1" applyBorder="1" applyAlignment="1" applyProtection="1"/>
    <xf numFmtId="0" fontId="88" fillId="4" borderId="157" xfId="0" applyFont="1" applyFill="1" applyBorder="1" applyAlignment="1" applyProtection="1"/>
    <xf numFmtId="0" fontId="40" fillId="4" borderId="100" xfId="0" applyFont="1" applyFill="1" applyBorder="1" applyAlignment="1" applyProtection="1">
      <alignment horizontal="centerContinuous"/>
    </xf>
    <xf numFmtId="0" fontId="40" fillId="4" borderId="57" xfId="0" applyFont="1" applyFill="1" applyBorder="1" applyAlignment="1" applyProtection="1">
      <alignment horizontal="centerContinuous"/>
    </xf>
    <xf numFmtId="0" fontId="40" fillId="4" borderId="56" xfId="0" applyFont="1" applyFill="1" applyBorder="1" applyAlignment="1" applyProtection="1">
      <alignment horizontal="centerContinuous"/>
    </xf>
    <xf numFmtId="0" fontId="40" fillId="4" borderId="152" xfId="0" applyFont="1" applyFill="1" applyBorder="1" applyAlignment="1" applyProtection="1">
      <alignment horizontal="centerContinuous"/>
    </xf>
    <xf numFmtId="3" fontId="28" fillId="0" borderId="30" xfId="0" applyNumberFormat="1" applyFont="1" applyFill="1" applyBorder="1" applyAlignment="1" applyProtection="1">
      <alignment horizontal="right"/>
    </xf>
    <xf numFmtId="0" fontId="64" fillId="0" borderId="0" xfId="0" applyFont="1" applyBorder="1" applyProtection="1">
      <alignment vertical="center"/>
    </xf>
    <xf numFmtId="0" fontId="29" fillId="0" borderId="0" xfId="0" applyFont="1" applyBorder="1" applyAlignment="1" applyProtection="1">
      <alignment horizontal="left"/>
    </xf>
    <xf numFmtId="0" fontId="29" fillId="0" borderId="0" xfId="0" applyFont="1" applyBorder="1" applyAlignment="1" applyProtection="1">
      <alignment horizontal="right"/>
    </xf>
    <xf numFmtId="0" fontId="38" fillId="0" borderId="0" xfId="0" applyFont="1" applyBorder="1" applyProtection="1">
      <alignment vertical="center"/>
    </xf>
    <xf numFmtId="0" fontId="29" fillId="0" borderId="0" xfId="0" applyFont="1" applyBorder="1" applyAlignment="1" applyProtection="1">
      <alignment horizontal="right" vertical="center"/>
    </xf>
    <xf numFmtId="3" fontId="28" fillId="0" borderId="0" xfId="0" applyNumberFormat="1" applyFont="1" applyBorder="1" applyProtection="1">
      <alignment vertical="center"/>
    </xf>
    <xf numFmtId="0" fontId="32" fillId="0" borderId="5" xfId="0" applyFont="1" applyBorder="1" applyProtection="1">
      <alignment vertical="center"/>
    </xf>
    <xf numFmtId="0" fontId="28" fillId="0" borderId="4" xfId="0" applyFont="1" applyBorder="1" applyProtection="1">
      <alignment vertical="center"/>
    </xf>
    <xf numFmtId="0" fontId="28" fillId="0" borderId="4" xfId="0" applyFont="1" applyBorder="1" applyAlignment="1" applyProtection="1">
      <alignment horizontal="center"/>
    </xf>
    <xf numFmtId="0" fontId="29" fillId="0" borderId="19" xfId="0" applyFont="1" applyBorder="1" applyProtection="1">
      <alignment vertical="center"/>
    </xf>
    <xf numFmtId="0" fontId="28" fillId="0" borderId="0" xfId="0" applyFont="1" applyBorder="1" applyAlignment="1" applyProtection="1">
      <alignment horizontal="center"/>
    </xf>
    <xf numFmtId="0" fontId="28" fillId="0" borderId="19" xfId="0" applyFont="1" applyBorder="1" applyAlignment="1" applyProtection="1">
      <alignment horizontal="right"/>
    </xf>
    <xf numFmtId="2" fontId="28" fillId="0" borderId="0" xfId="0" applyNumberFormat="1" applyFont="1" applyBorder="1" applyAlignment="1" applyProtection="1">
      <alignment horizontal="right"/>
    </xf>
    <xf numFmtId="2" fontId="28" fillId="0" borderId="0" xfId="0" quotePrefix="1" applyNumberFormat="1" applyFont="1" applyFill="1" applyBorder="1" applyAlignment="1" applyProtection="1">
      <alignment horizontal="center"/>
    </xf>
    <xf numFmtId="3" fontId="28" fillId="0" borderId="64" xfId="0" applyNumberFormat="1" applyFont="1" applyBorder="1" applyProtection="1">
      <alignment vertical="center"/>
    </xf>
    <xf numFmtId="0" fontId="32" fillId="0" borderId="19" xfId="0" applyFont="1" applyFill="1" applyBorder="1" applyProtection="1">
      <alignment vertical="center"/>
    </xf>
    <xf numFmtId="0" fontId="98" fillId="0" borderId="0" xfId="0" applyFont="1" applyFill="1" applyBorder="1" applyProtection="1">
      <alignment vertical="center"/>
    </xf>
    <xf numFmtId="0" fontId="98" fillId="0" borderId="0" xfId="0" applyFont="1" applyFill="1" applyProtection="1">
      <alignment vertical="center"/>
    </xf>
    <xf numFmtId="0" fontId="28" fillId="0" borderId="0" xfId="0" applyFont="1" applyBorder="1" applyAlignment="1" applyProtection="1">
      <alignment horizontal="left"/>
    </xf>
    <xf numFmtId="0" fontId="28" fillId="0" borderId="0" xfId="0" applyFont="1" applyBorder="1" applyAlignment="1" applyProtection="1">
      <alignment horizontal="right"/>
    </xf>
    <xf numFmtId="0" fontId="98" fillId="0" borderId="0" xfId="0" applyFont="1" applyProtection="1">
      <alignment vertical="center"/>
    </xf>
    <xf numFmtId="0" fontId="98" fillId="0" borderId="0" xfId="0" applyFont="1" applyBorder="1" applyProtection="1">
      <alignment vertical="center"/>
    </xf>
    <xf numFmtId="0" fontId="28" fillId="0" borderId="19" xfId="0" applyFont="1" applyBorder="1" applyProtection="1">
      <alignment vertical="center"/>
    </xf>
    <xf numFmtId="3" fontId="28" fillId="0" borderId="0" xfId="0" applyNumberFormat="1" applyFont="1" applyBorder="1" applyAlignment="1" applyProtection="1">
      <alignment horizontal="center"/>
    </xf>
    <xf numFmtId="0" fontId="32" fillId="0" borderId="19" xfId="0" applyFont="1" applyBorder="1" applyProtection="1">
      <alignment vertical="center"/>
    </xf>
    <xf numFmtId="0" fontId="39" fillId="0" borderId="0" xfId="0" applyFont="1" applyBorder="1" applyAlignment="1" applyProtection="1">
      <alignment horizontal="right"/>
    </xf>
    <xf numFmtId="0" fontId="39" fillId="0" borderId="0" xfId="0" applyFont="1" applyBorder="1" applyAlignment="1" applyProtection="1">
      <alignment horizontal="center" wrapText="1"/>
    </xf>
    <xf numFmtId="0" fontId="39" fillId="0" borderId="0" xfId="0" applyFont="1" applyBorder="1" applyAlignment="1" applyProtection="1">
      <alignment horizontal="center"/>
    </xf>
    <xf numFmtId="0" fontId="64" fillId="0" borderId="19" xfId="0" applyFont="1" applyBorder="1" applyProtection="1">
      <alignment vertical="center"/>
    </xf>
    <xf numFmtId="0" fontId="39" fillId="0" borderId="0" xfId="0" quotePrefix="1" applyFont="1" applyBorder="1" applyProtection="1">
      <alignment vertical="center"/>
    </xf>
    <xf numFmtId="3" fontId="29" fillId="0" borderId="51" xfId="0" applyNumberFormat="1" applyFont="1" applyBorder="1" applyProtection="1">
      <alignment vertical="center"/>
    </xf>
    <xf numFmtId="0" fontId="32" fillId="0" borderId="0" xfId="0" applyFont="1" applyBorder="1" applyProtection="1">
      <alignment vertical="center"/>
    </xf>
    <xf numFmtId="0" fontId="28" fillId="0" borderId="55" xfId="0" applyFont="1" applyBorder="1" applyProtection="1">
      <alignment vertical="center"/>
    </xf>
    <xf numFmtId="0" fontId="33" fillId="0" borderId="19" xfId="0" applyFont="1" applyBorder="1" applyProtection="1">
      <alignment vertical="center"/>
    </xf>
    <xf numFmtId="0" fontId="0" fillId="0" borderId="0" xfId="0" applyAlignment="1" applyProtection="1">
      <alignment horizontal="left" wrapText="1"/>
    </xf>
    <xf numFmtId="0" fontId="28" fillId="0" borderId="7" xfId="0" applyFont="1" applyBorder="1" applyProtection="1">
      <alignment vertical="center"/>
    </xf>
    <xf numFmtId="0" fontId="28" fillId="0" borderId="30" xfId="0" applyFont="1" applyBorder="1" applyProtection="1">
      <alignment vertical="center"/>
    </xf>
    <xf numFmtId="0" fontId="38" fillId="0" borderId="5" xfId="0" applyFont="1" applyBorder="1" applyProtection="1">
      <alignment vertical="center"/>
    </xf>
    <xf numFmtId="0" fontId="28" fillId="0" borderId="4" xfId="0" applyFont="1" applyBorder="1" applyAlignment="1" applyProtection="1">
      <alignment horizontal="right"/>
    </xf>
    <xf numFmtId="0" fontId="38" fillId="0" borderId="19" xfId="0" applyFont="1" applyBorder="1" applyProtection="1">
      <alignment vertical="center"/>
    </xf>
    <xf numFmtId="4" fontId="28" fillId="0" borderId="0" xfId="0" applyNumberFormat="1" applyFont="1" applyBorder="1" applyAlignment="1" applyProtection="1">
      <alignment horizontal="center"/>
    </xf>
    <xf numFmtId="172" fontId="28" fillId="0" borderId="0" xfId="0" applyNumberFormat="1" applyFont="1" applyBorder="1" applyAlignment="1" applyProtection="1">
      <alignment horizontal="center"/>
    </xf>
    <xf numFmtId="0" fontId="0" fillId="0" borderId="55" xfId="0" applyBorder="1" applyProtection="1">
      <alignment vertical="center"/>
    </xf>
    <xf numFmtId="2" fontId="28" fillId="8" borderId="0" xfId="0" applyNumberFormat="1" applyFont="1" applyFill="1" applyBorder="1" applyAlignment="1" applyProtection="1">
      <alignment horizontal="center"/>
    </xf>
    <xf numFmtId="0" fontId="28" fillId="0" borderId="0" xfId="0" quotePrefix="1" applyFont="1" applyBorder="1" applyAlignment="1" applyProtection="1">
      <alignment horizontal="center"/>
    </xf>
    <xf numFmtId="0" fontId="28" fillId="0" borderId="0" xfId="0" applyFont="1" applyAlignment="1" applyProtection="1">
      <alignment horizontal="center"/>
    </xf>
    <xf numFmtId="0" fontId="29" fillId="0" borderId="0" xfId="0" applyFont="1" applyBorder="1" applyAlignment="1" applyProtection="1">
      <alignment vertical="center" wrapText="1"/>
    </xf>
    <xf numFmtId="0" fontId="28" fillId="0" borderId="0" xfId="0" applyFont="1" applyBorder="1" applyAlignment="1" applyProtection="1">
      <alignment horizontal="center" vertical="center"/>
    </xf>
    <xf numFmtId="0" fontId="39" fillId="0" borderId="0" xfId="0" quotePrefix="1" applyFont="1" applyFill="1" applyBorder="1" applyProtection="1">
      <alignment vertical="center"/>
    </xf>
    <xf numFmtId="0" fontId="28" fillId="0" borderId="71" xfId="0" applyFont="1" applyBorder="1" applyProtection="1">
      <alignment vertical="center"/>
    </xf>
    <xf numFmtId="0" fontId="81" fillId="0" borderId="0" xfId="0" applyFont="1" applyBorder="1" applyProtection="1">
      <alignment vertical="center"/>
    </xf>
    <xf numFmtId="0" fontId="28" fillId="0" borderId="30" xfId="0" applyFont="1" applyBorder="1" applyAlignment="1" applyProtection="1">
      <alignment horizontal="center"/>
    </xf>
    <xf numFmtId="0" fontId="39" fillId="0" borderId="7" xfId="0" applyFont="1" applyBorder="1" applyProtection="1">
      <alignment vertical="center"/>
    </xf>
    <xf numFmtId="0" fontId="31" fillId="0" borderId="0" xfId="0" applyFont="1" applyBorder="1" applyAlignment="1" applyProtection="1">
      <alignment horizontal="right"/>
    </xf>
    <xf numFmtId="0" fontId="31" fillId="0" borderId="5" xfId="0" applyFont="1" applyBorder="1" applyProtection="1">
      <alignment vertical="center"/>
    </xf>
    <xf numFmtId="0" fontId="28" fillId="0" borderId="4" xfId="0" applyFont="1" applyBorder="1" applyAlignment="1" applyProtection="1">
      <alignment horizontal="centerContinuous"/>
    </xf>
    <xf numFmtId="3" fontId="28" fillId="0" borderId="0" xfId="0" applyNumberFormat="1" applyFont="1" applyFill="1" applyBorder="1" applyAlignment="1" applyProtection="1">
      <alignment horizontal="left"/>
    </xf>
    <xf numFmtId="2" fontId="40" fillId="0" borderId="0" xfId="0" applyNumberFormat="1" applyFont="1" applyFill="1" applyBorder="1" applyAlignment="1" applyProtection="1">
      <alignment horizontal="right"/>
    </xf>
    <xf numFmtId="0" fontId="28" fillId="0" borderId="0" xfId="0" quotePrefix="1" applyFont="1" applyFill="1" applyBorder="1" applyProtection="1">
      <alignment vertical="center"/>
    </xf>
    <xf numFmtId="0" fontId="28" fillId="0" borderId="0" xfId="0" quotePrefix="1" applyFont="1" applyBorder="1" applyProtection="1">
      <alignment vertical="center"/>
    </xf>
    <xf numFmtId="9" fontId="28" fillId="0" borderId="0" xfId="0" applyNumberFormat="1" applyFont="1" applyBorder="1" applyAlignment="1" applyProtection="1">
      <alignment horizontal="center"/>
    </xf>
    <xf numFmtId="0" fontId="28" fillId="0" borderId="0" xfId="0" quotePrefix="1" applyFont="1" applyBorder="1" applyAlignment="1" applyProtection="1">
      <alignment horizontal="left"/>
    </xf>
    <xf numFmtId="0" fontId="61" fillId="0" borderId="0" xfId="0" applyFont="1" applyBorder="1" applyAlignment="1" applyProtection="1">
      <alignment horizontal="center"/>
    </xf>
    <xf numFmtId="0" fontId="31" fillId="0" borderId="0" xfId="0" applyFont="1" applyProtection="1">
      <alignment vertical="center"/>
    </xf>
    <xf numFmtId="0" fontId="36" fillId="0" borderId="5" xfId="0" applyFont="1" applyBorder="1" applyProtection="1">
      <alignment vertical="center"/>
    </xf>
    <xf numFmtId="0" fontId="28" fillId="0" borderId="4" xfId="0" applyFont="1" applyBorder="1" applyAlignment="1" applyProtection="1">
      <alignment horizontal="center" vertical="center"/>
    </xf>
    <xf numFmtId="0" fontId="36" fillId="0" borderId="19" xfId="0" applyFont="1" applyBorder="1" applyProtection="1">
      <alignment vertical="center"/>
    </xf>
    <xf numFmtId="0" fontId="28" fillId="0" borderId="0" xfId="0" quotePrefix="1" applyFont="1" applyBorder="1" applyAlignment="1" applyProtection="1">
      <alignment horizontal="center" vertical="center"/>
    </xf>
    <xf numFmtId="0" fontId="31" fillId="0" borderId="19" xfId="0" applyFont="1" applyBorder="1" applyProtection="1">
      <alignment vertical="center"/>
    </xf>
    <xf numFmtId="3" fontId="29" fillId="0" borderId="51" xfId="0" applyNumberFormat="1" applyFont="1" applyBorder="1" applyAlignment="1" applyProtection="1">
      <alignment horizontal="right"/>
    </xf>
    <xf numFmtId="0" fontId="47" fillId="0" borderId="7" xfId="0" applyFont="1" applyBorder="1" applyProtection="1">
      <alignment vertical="center"/>
    </xf>
    <xf numFmtId="0" fontId="28" fillId="0" borderId="5" xfId="0" quotePrefix="1" applyFont="1" applyBorder="1" applyProtection="1">
      <alignment vertical="center"/>
    </xf>
    <xf numFmtId="0" fontId="28" fillId="0" borderId="19" xfId="0" quotePrefix="1" applyFont="1" applyBorder="1" applyProtection="1">
      <alignment vertical="center"/>
    </xf>
    <xf numFmtId="0" fontId="28" fillId="0" borderId="7" xfId="0" quotePrefix="1" applyFont="1" applyBorder="1" applyProtection="1">
      <alignment vertical="center"/>
    </xf>
    <xf numFmtId="0" fontId="0" fillId="0" borderId="0" xfId="0" applyBorder="1" applyAlignment="1" applyProtection="1">
      <alignment horizontal="center"/>
    </xf>
    <xf numFmtId="0" fontId="29" fillId="0" borderId="0" xfId="0" applyFont="1" applyBorder="1" applyAlignment="1" applyProtection="1">
      <alignment horizontal="center"/>
    </xf>
    <xf numFmtId="0" fontId="29" fillId="0" borderId="5" xfId="0" applyFont="1" applyBorder="1" applyAlignment="1" applyProtection="1">
      <alignment horizontal="left"/>
    </xf>
    <xf numFmtId="0" fontId="29" fillId="0" borderId="19" xfId="0" applyFont="1" applyBorder="1" applyAlignment="1" applyProtection="1">
      <alignment horizontal="left"/>
    </xf>
    <xf numFmtId="2" fontId="28" fillId="0" borderId="93" xfId="0" applyNumberFormat="1" applyFont="1" applyFill="1" applyBorder="1" applyProtection="1">
      <alignment vertical="center"/>
    </xf>
    <xf numFmtId="2" fontId="28" fillId="0" borderId="0" xfId="0" applyNumberFormat="1" applyFont="1" applyFill="1" applyBorder="1" applyProtection="1">
      <alignment vertical="center"/>
    </xf>
    <xf numFmtId="0" fontId="28" fillId="0" borderId="64" xfId="0" applyFont="1" applyBorder="1" applyProtection="1">
      <alignment vertical="center"/>
    </xf>
    <xf numFmtId="0" fontId="31" fillId="0" borderId="30" xfId="0" applyFont="1" applyBorder="1" applyProtection="1">
      <alignment vertical="center"/>
    </xf>
    <xf numFmtId="0" fontId="0" fillId="0" borderId="30" xfId="0" applyFill="1" applyBorder="1" applyProtection="1">
      <alignment vertical="center"/>
    </xf>
    <xf numFmtId="3" fontId="28" fillId="0" borderId="30" xfId="0" applyNumberFormat="1" applyFont="1" applyFill="1" applyBorder="1" applyAlignment="1" applyProtection="1">
      <alignment horizontal="center"/>
    </xf>
    <xf numFmtId="0" fontId="39" fillId="0" borderId="0" xfId="0" applyFont="1" applyFill="1" applyProtection="1">
      <alignment vertical="center"/>
    </xf>
    <xf numFmtId="0" fontId="59" fillId="0" borderId="0" xfId="0" applyFont="1" applyFill="1" applyBorder="1" applyAlignment="1" applyProtection="1">
      <alignment horizontal="left"/>
    </xf>
    <xf numFmtId="0" fontId="59" fillId="0" borderId="0" xfId="0" applyFont="1" applyFill="1" applyBorder="1" applyAlignment="1" applyProtection="1">
      <alignment horizontal="center"/>
    </xf>
    <xf numFmtId="0" fontId="28" fillId="0" borderId="0" xfId="0" applyFont="1" applyFill="1" applyProtection="1">
      <alignment vertical="center"/>
    </xf>
    <xf numFmtId="1" fontId="28" fillId="0" borderId="0" xfId="0" applyNumberFormat="1" applyFont="1" applyFill="1" applyBorder="1" applyProtection="1">
      <alignment vertical="center"/>
    </xf>
    <xf numFmtId="0" fontId="45" fillId="0" borderId="0" xfId="0" applyFont="1" applyFill="1" applyBorder="1" applyAlignment="1" applyProtection="1">
      <alignment horizontal="center"/>
    </xf>
    <xf numFmtId="3" fontId="45" fillId="0" borderId="0" xfId="0" applyNumberFormat="1" applyFont="1" applyFill="1" applyBorder="1" applyAlignment="1" applyProtection="1">
      <alignment horizontal="center"/>
    </xf>
    <xf numFmtId="3" fontId="28" fillId="2" borderId="11" xfId="0" applyNumberFormat="1" applyFont="1" applyFill="1" applyBorder="1" applyProtection="1">
      <alignment vertical="center"/>
      <protection locked="0"/>
    </xf>
    <xf numFmtId="3" fontId="28" fillId="0" borderId="11" xfId="0" applyNumberFormat="1" applyFont="1" applyFill="1" applyBorder="1" applyProtection="1">
      <alignment vertical="center"/>
    </xf>
    <xf numFmtId="4" fontId="28" fillId="0" borderId="0" xfId="0" applyNumberFormat="1" applyFont="1" applyFill="1" applyBorder="1" applyAlignment="1" applyProtection="1">
      <alignment horizontal="center"/>
    </xf>
    <xf numFmtId="3" fontId="28" fillId="0" borderId="88" xfId="0" applyNumberFormat="1" applyFont="1" applyFill="1" applyBorder="1" applyAlignment="1" applyProtection="1">
      <alignment horizontal="right"/>
    </xf>
    <xf numFmtId="0" fontId="32" fillId="0" borderId="0" xfId="0" applyFont="1" applyFill="1" applyBorder="1" applyAlignment="1" applyProtection="1">
      <alignment horizontal="right"/>
    </xf>
    <xf numFmtId="2" fontId="28" fillId="0" borderId="11" xfId="0" applyNumberFormat="1" applyFont="1" applyFill="1" applyBorder="1" applyProtection="1">
      <alignment vertical="center"/>
    </xf>
    <xf numFmtId="3" fontId="28" fillId="0" borderId="11" xfId="0" applyNumberFormat="1" applyFont="1" applyFill="1" applyBorder="1" applyAlignment="1" applyProtection="1">
      <alignment horizontal="center" vertical="center"/>
    </xf>
    <xf numFmtId="4" fontId="28" fillId="0" borderId="0" xfId="0" applyNumberFormat="1" applyFont="1" applyFill="1" applyBorder="1" applyAlignment="1" applyProtection="1">
      <alignment horizontal="center" vertical="center"/>
    </xf>
    <xf numFmtId="0" fontId="28" fillId="0" borderId="0" xfId="0" quotePrefix="1" applyFont="1" applyFill="1" applyBorder="1" applyAlignment="1" applyProtection="1">
      <alignment horizontal="center" vertical="center"/>
    </xf>
    <xf numFmtId="1" fontId="28" fillId="0" borderId="30" xfId="0" applyNumberFormat="1" applyFont="1" applyFill="1" applyBorder="1" applyProtection="1">
      <alignment vertical="center"/>
    </xf>
    <xf numFmtId="0" fontId="28" fillId="0" borderId="64" xfId="0" applyFont="1" applyFill="1" applyBorder="1" applyProtection="1">
      <alignment vertical="center"/>
    </xf>
    <xf numFmtId="0" fontId="61" fillId="0" borderId="0" xfId="0" applyFont="1" applyFill="1" applyBorder="1" applyProtection="1">
      <alignment vertical="center"/>
    </xf>
    <xf numFmtId="0" fontId="28" fillId="0" borderId="5" xfId="0" applyFont="1" applyFill="1" applyBorder="1" applyProtection="1">
      <alignment vertical="center"/>
    </xf>
    <xf numFmtId="2" fontId="28" fillId="0" borderId="4" xfId="0" applyNumberFormat="1" applyFont="1" applyFill="1" applyBorder="1" applyAlignment="1" applyProtection="1">
      <alignment horizontal="center"/>
    </xf>
    <xf numFmtId="3" fontId="28" fillId="0" borderId="4" xfId="0" applyNumberFormat="1" applyFont="1" applyFill="1" applyBorder="1" applyAlignment="1" applyProtection="1">
      <alignment horizontal="center"/>
    </xf>
    <xf numFmtId="0" fontId="28" fillId="0" borderId="4" xfId="0" applyFont="1" applyFill="1" applyBorder="1" applyAlignment="1" applyProtection="1">
      <alignment horizontal="center"/>
    </xf>
    <xf numFmtId="3" fontId="28" fillId="0" borderId="4" xfId="0" applyNumberFormat="1" applyFont="1" applyFill="1" applyBorder="1" applyAlignment="1" applyProtection="1">
      <alignment horizontal="right"/>
    </xf>
    <xf numFmtId="0" fontId="61" fillId="0" borderId="71" xfId="0" applyFont="1" applyFill="1" applyBorder="1" applyProtection="1">
      <alignment vertical="center"/>
    </xf>
    <xf numFmtId="0" fontId="28" fillId="0" borderId="19" xfId="0" applyFont="1" applyFill="1" applyBorder="1" applyProtection="1">
      <alignment vertical="center"/>
    </xf>
    <xf numFmtId="2" fontId="28" fillId="0" borderId="0" xfId="0" applyNumberFormat="1" applyFont="1" applyFill="1" applyBorder="1" applyAlignment="1" applyProtection="1">
      <alignment horizontal="center" vertical="center"/>
    </xf>
    <xf numFmtId="3" fontId="28" fillId="0" borderId="0" xfId="0" applyNumberFormat="1" applyFont="1" applyFill="1" applyBorder="1" applyAlignment="1" applyProtection="1">
      <alignment horizontal="center" vertical="center"/>
    </xf>
    <xf numFmtId="3" fontId="28" fillId="0" borderId="0" xfId="0" applyNumberFormat="1" applyFont="1" applyFill="1" applyBorder="1" applyAlignment="1" applyProtection="1">
      <alignment horizontal="right" vertical="center"/>
    </xf>
    <xf numFmtId="3" fontId="28" fillId="0" borderId="85" xfId="0" applyNumberFormat="1" applyFont="1" applyFill="1" applyBorder="1" applyProtection="1">
      <alignment vertical="center"/>
    </xf>
    <xf numFmtId="4" fontId="28" fillId="0" borderId="11" xfId="0" applyNumberFormat="1" applyFont="1" applyFill="1" applyBorder="1" applyAlignment="1" applyProtection="1">
      <alignment horizontal="center"/>
    </xf>
    <xf numFmtId="0" fontId="28" fillId="0" borderId="0" xfId="0" quotePrefix="1" applyFont="1" applyFill="1" applyBorder="1" applyAlignment="1" applyProtection="1">
      <alignment horizontal="center"/>
    </xf>
    <xf numFmtId="3" fontId="29" fillId="0" borderId="0" xfId="0" applyNumberFormat="1" applyFont="1" applyBorder="1" applyProtection="1">
      <alignment vertical="center"/>
    </xf>
    <xf numFmtId="0" fontId="0" fillId="0" borderId="0" xfId="0" applyAlignment="1" applyProtection="1">
      <alignment horizontal="center"/>
    </xf>
    <xf numFmtId="0" fontId="28" fillId="0" borderId="36" xfId="0" applyFont="1" applyFill="1" applyBorder="1" applyAlignment="1" applyProtection="1">
      <alignment horizontal="left"/>
    </xf>
    <xf numFmtId="0" fontId="0" fillId="0" borderId="36" xfId="0" applyBorder="1" applyAlignment="1" applyProtection="1"/>
    <xf numFmtId="3" fontId="28" fillId="0" borderId="51" xfId="0" applyNumberFormat="1" applyFont="1" applyBorder="1" applyProtection="1">
      <alignment vertical="center"/>
    </xf>
    <xf numFmtId="1" fontId="28" fillId="0" borderId="93" xfId="0" applyNumberFormat="1" applyFont="1" applyFill="1" applyBorder="1" applyProtection="1">
      <alignment vertical="center"/>
    </xf>
    <xf numFmtId="184" fontId="28" fillId="0" borderId="93" xfId="0" applyNumberFormat="1" applyFont="1" applyFill="1" applyBorder="1" applyProtection="1">
      <alignment vertical="center"/>
    </xf>
    <xf numFmtId="184" fontId="28" fillId="0" borderId="51" xfId="0" applyNumberFormat="1" applyFont="1" applyBorder="1" applyProtection="1">
      <alignment vertical="center"/>
    </xf>
    <xf numFmtId="0" fontId="0" fillId="0" borderId="0" xfId="0" applyAlignment="1">
      <alignment vertical="center" wrapText="1"/>
    </xf>
    <xf numFmtId="2" fontId="28" fillId="0" borderId="0" xfId="0" applyNumberFormat="1" applyFont="1" applyBorder="1" applyAlignment="1" applyProtection="1">
      <alignment horizontal="left"/>
    </xf>
    <xf numFmtId="3" fontId="28" fillId="0" borderId="0" xfId="0" applyNumberFormat="1" applyFont="1" applyBorder="1" applyAlignment="1" applyProtection="1">
      <alignment horizontal="right"/>
    </xf>
    <xf numFmtId="0" fontId="28" fillId="0" borderId="0" xfId="0" applyFont="1" applyAlignment="1" applyProtection="1">
      <alignment horizontal="right"/>
    </xf>
    <xf numFmtId="2" fontId="42" fillId="0" borderId="0" xfId="0" applyNumberFormat="1" applyFont="1" applyBorder="1" applyAlignment="1" applyProtection="1">
      <alignment horizontal="right"/>
    </xf>
    <xf numFmtId="0" fontId="28" fillId="0" borderId="0" xfId="0" quotePrefix="1" applyFont="1" applyAlignment="1" applyProtection="1">
      <alignment horizontal="center"/>
    </xf>
    <xf numFmtId="0" fontId="28" fillId="0" borderId="19" xfId="0" quotePrefix="1" applyFont="1" applyBorder="1" applyAlignment="1" applyProtection="1">
      <alignment horizontal="right"/>
    </xf>
    <xf numFmtId="0" fontId="28" fillId="0" borderId="0" xfId="0" applyFont="1" applyBorder="1" applyAlignment="1">
      <alignment horizontal="center"/>
    </xf>
    <xf numFmtId="0" fontId="99" fillId="0" borderId="0" xfId="0" applyFont="1" applyProtection="1">
      <alignment vertical="center"/>
    </xf>
    <xf numFmtId="0" fontId="28" fillId="0" borderId="0" xfId="0" quotePrefix="1" applyFont="1" applyProtection="1">
      <alignment vertical="center"/>
    </xf>
    <xf numFmtId="0" fontId="28" fillId="0" borderId="0" xfId="0" applyFont="1" applyFill="1" applyAlignment="1">
      <alignment horizontal="center"/>
    </xf>
    <xf numFmtId="9" fontId="28" fillId="0" borderId="0" xfId="0" quotePrefix="1" applyNumberFormat="1" applyFont="1" applyFill="1" applyBorder="1" applyAlignment="1" applyProtection="1">
      <alignment horizontal="center"/>
    </xf>
    <xf numFmtId="0" fontId="28" fillId="0" borderId="0" xfId="0" applyFont="1" applyBorder="1" applyAlignment="1" applyProtection="1">
      <alignment vertical="top" wrapText="1"/>
    </xf>
    <xf numFmtId="3" fontId="28" fillId="0" borderId="0" xfId="0" applyNumberFormat="1" applyFont="1" applyBorder="1" applyAlignment="1" applyProtection="1">
      <alignment horizontal="center" vertical="center"/>
    </xf>
    <xf numFmtId="1" fontId="28" fillId="0" borderId="0" xfId="0" applyNumberFormat="1" applyFont="1" applyBorder="1" applyAlignment="1" applyProtection="1">
      <alignment horizontal="center"/>
    </xf>
    <xf numFmtId="1" fontId="28" fillId="0" borderId="0" xfId="0" applyNumberFormat="1" applyFont="1" applyBorder="1" applyAlignment="1" applyProtection="1">
      <alignment horizontal="right"/>
    </xf>
    <xf numFmtId="0" fontId="28" fillId="0" borderId="5" xfId="0" applyFont="1" applyBorder="1" applyProtection="1">
      <alignment vertical="center"/>
    </xf>
    <xf numFmtId="0" fontId="29" fillId="0" borderId="4" xfId="0" applyFont="1" applyBorder="1" applyProtection="1">
      <alignment vertical="center"/>
    </xf>
    <xf numFmtId="3" fontId="28" fillId="0" borderId="4" xfId="0" applyNumberFormat="1" applyFont="1" applyFill="1" applyBorder="1" applyProtection="1">
      <alignment vertical="center"/>
    </xf>
    <xf numFmtId="3" fontId="28" fillId="0" borderId="30" xfId="0" applyNumberFormat="1" applyFont="1" applyFill="1" applyBorder="1" applyProtection="1">
      <alignment vertical="center"/>
    </xf>
    <xf numFmtId="1" fontId="28" fillId="0" borderId="4" xfId="0" applyNumberFormat="1" applyFont="1" applyBorder="1" applyAlignment="1" applyProtection="1">
      <alignment horizontal="center" vertical="center"/>
    </xf>
    <xf numFmtId="0" fontId="28" fillId="0" borderId="4" xfId="0" applyFont="1" applyBorder="1" applyAlignment="1" applyProtection="1"/>
    <xf numFmtId="0" fontId="28" fillId="0" borderId="0" xfId="0" applyFont="1" applyBorder="1" applyAlignment="1" applyProtection="1">
      <alignment vertical="center" wrapText="1"/>
    </xf>
    <xf numFmtId="0" fontId="0" fillId="0" borderId="4" xfId="0" applyBorder="1" applyAlignment="1"/>
    <xf numFmtId="0" fontId="29" fillId="0" borderId="4" xfId="0" applyFont="1" applyBorder="1" applyAlignment="1"/>
    <xf numFmtId="0" fontId="38" fillId="8" borderId="4" xfId="0" applyFont="1" applyFill="1" applyBorder="1" applyAlignment="1" applyProtection="1"/>
    <xf numFmtId="0" fontId="38" fillId="8" borderId="0" xfId="0" applyFont="1" applyFill="1" applyBorder="1" applyProtection="1">
      <alignment vertical="center"/>
    </xf>
    <xf numFmtId="0" fontId="32" fillId="0" borderId="19" xfId="0" applyFont="1" applyBorder="1" applyAlignment="1" applyProtection="1"/>
    <xf numFmtId="0" fontId="28" fillId="0" borderId="0" xfId="0" applyFont="1" applyBorder="1" applyAlignment="1" applyProtection="1">
      <alignment vertical="top"/>
    </xf>
    <xf numFmtId="2" fontId="39" fillId="0" borderId="0" xfId="0" applyNumberFormat="1" applyFont="1" applyBorder="1" applyAlignment="1" applyProtection="1">
      <alignment horizontal="left"/>
    </xf>
    <xf numFmtId="0" fontId="39" fillId="0" borderId="0" xfId="0" applyFont="1" applyBorder="1" applyAlignment="1" applyProtection="1">
      <alignment horizontal="left"/>
    </xf>
    <xf numFmtId="0" fontId="39" fillId="0" borderId="0" xfId="0" applyFont="1" applyAlignment="1">
      <alignment horizontal="left"/>
    </xf>
    <xf numFmtId="0" fontId="0" fillId="0" borderId="0" xfId="0" applyAlignment="1">
      <alignment vertical="top"/>
    </xf>
    <xf numFmtId="0" fontId="0" fillId="0" borderId="0" xfId="0" applyAlignment="1">
      <alignment vertical="top" wrapText="1"/>
    </xf>
    <xf numFmtId="1" fontId="28" fillId="0" borderId="0" xfId="0" applyNumberFormat="1" applyFont="1" applyBorder="1" applyAlignment="1" applyProtection="1">
      <alignment horizontal="center" vertical="center"/>
    </xf>
    <xf numFmtId="3" fontId="28" fillId="0" borderId="4" xfId="0" applyNumberFormat="1" applyFont="1" applyBorder="1" applyAlignment="1" applyProtection="1">
      <alignment horizontal="center"/>
    </xf>
    <xf numFmtId="0" fontId="57" fillId="0" borderId="0" xfId="0" applyFont="1" applyProtection="1">
      <alignment vertical="center"/>
    </xf>
    <xf numFmtId="0" fontId="75" fillId="0" borderId="0" xfId="0" applyFont="1" applyProtection="1">
      <alignment vertical="center"/>
    </xf>
    <xf numFmtId="0" fontId="59" fillId="0" borderId="0" xfId="0" applyFont="1" applyProtection="1">
      <alignment vertical="center"/>
    </xf>
    <xf numFmtId="0" fontId="100" fillId="0" borderId="0" xfId="0" applyFont="1" applyProtection="1">
      <alignment vertical="center"/>
    </xf>
    <xf numFmtId="0" fontId="28" fillId="2" borderId="30" xfId="0" applyFont="1" applyFill="1" applyBorder="1" applyProtection="1">
      <alignment vertical="center"/>
    </xf>
    <xf numFmtId="0" fontId="28" fillId="2" borderId="30" xfId="0" applyFont="1" applyFill="1" applyBorder="1" applyProtection="1">
      <alignment vertical="center"/>
      <protection locked="0"/>
    </xf>
    <xf numFmtId="0" fontId="29" fillId="0" borderId="0" xfId="0" applyFont="1" applyAlignment="1" applyProtection="1">
      <alignment horizontal="right" vertical="center"/>
    </xf>
    <xf numFmtId="1" fontId="100" fillId="0" borderId="0" xfId="0" applyNumberFormat="1" applyFont="1" applyBorder="1" applyProtection="1">
      <alignment vertical="center"/>
    </xf>
    <xf numFmtId="1" fontId="28" fillId="0" borderId="27" xfId="0" applyNumberFormat="1" applyFont="1" applyBorder="1" applyAlignment="1" applyProtection="1">
      <alignment horizontal="center" vertical="center"/>
    </xf>
    <xf numFmtId="0" fontId="29" fillId="0" borderId="22" xfId="0" applyFont="1" applyBorder="1" applyProtection="1">
      <alignment vertical="center"/>
    </xf>
    <xf numFmtId="1" fontId="28" fillId="0" borderId="17" xfId="0" applyNumberFormat="1" applyFont="1" applyBorder="1" applyAlignment="1" applyProtection="1">
      <alignment horizontal="center" vertical="center"/>
    </xf>
    <xf numFmtId="1" fontId="28" fillId="0" borderId="14" xfId="0" applyNumberFormat="1" applyFont="1" applyBorder="1" applyProtection="1">
      <alignment vertical="center"/>
    </xf>
    <xf numFmtId="1" fontId="28" fillId="0" borderId="14" xfId="0" applyNumberFormat="1" applyFont="1" applyFill="1" applyBorder="1" applyProtection="1">
      <alignment vertical="center"/>
    </xf>
    <xf numFmtId="172" fontId="29" fillId="0" borderId="14" xfId="0" applyNumberFormat="1" applyFont="1" applyBorder="1" applyProtection="1">
      <alignment vertical="center"/>
    </xf>
    <xf numFmtId="0" fontId="28" fillId="0" borderId="14" xfId="0" applyFont="1" applyBorder="1" applyProtection="1">
      <alignment vertical="center"/>
    </xf>
    <xf numFmtId="172" fontId="29" fillId="0" borderId="13" xfId="0" applyNumberFormat="1" applyFont="1" applyBorder="1" applyProtection="1">
      <alignment vertical="center"/>
    </xf>
    <xf numFmtId="0" fontId="42" fillId="0" borderId="0" xfId="0" applyFont="1" applyProtection="1">
      <alignment vertical="center"/>
    </xf>
    <xf numFmtId="1" fontId="28" fillId="0" borderId="0" xfId="0" applyNumberFormat="1" applyFont="1" applyBorder="1" applyProtection="1">
      <alignment vertical="center"/>
    </xf>
    <xf numFmtId="172" fontId="29" fillId="0" borderId="0" xfId="0" applyNumberFormat="1" applyFont="1" applyBorder="1" applyProtection="1">
      <alignment vertical="center"/>
    </xf>
    <xf numFmtId="2" fontId="79" fillId="0" borderId="0" xfId="0" applyNumberFormat="1" applyFont="1" applyAlignment="1" applyProtection="1">
      <alignment horizontal="left" vertical="center"/>
    </xf>
    <xf numFmtId="0" fontId="79" fillId="0" borderId="0" xfId="0" applyFont="1" applyAlignment="1" applyProtection="1">
      <alignment horizontal="right" vertical="center"/>
    </xf>
    <xf numFmtId="0" fontId="101" fillId="0" borderId="0" xfId="0" applyFont="1" applyProtection="1">
      <alignment vertical="center"/>
    </xf>
    <xf numFmtId="1" fontId="29" fillId="0" borderId="0" xfId="0" applyNumberFormat="1" applyFont="1" applyBorder="1" applyProtection="1">
      <alignment vertical="center"/>
    </xf>
    <xf numFmtId="1" fontId="28" fillId="0" borderId="64" xfId="0" applyNumberFormat="1" applyFont="1" applyBorder="1" applyProtection="1">
      <alignment vertical="center"/>
    </xf>
    <xf numFmtId="1" fontId="28" fillId="0" borderId="30" xfId="0" applyNumberFormat="1" applyFont="1" applyBorder="1" applyProtection="1">
      <alignment vertical="center"/>
    </xf>
    <xf numFmtId="1" fontId="28" fillId="0" borderId="7" xfId="0" applyNumberFormat="1" applyFont="1" applyBorder="1" applyProtection="1">
      <alignment vertical="center"/>
    </xf>
    <xf numFmtId="0" fontId="28" fillId="0" borderId="84" xfId="0" applyFont="1" applyBorder="1" applyProtection="1">
      <alignment vertical="center"/>
    </xf>
    <xf numFmtId="197" fontId="29" fillId="0" borderId="163" xfId="0" applyNumberFormat="1" applyFont="1" applyBorder="1" applyProtection="1">
      <alignment vertical="center"/>
    </xf>
    <xf numFmtId="198" fontId="28" fillId="0" borderId="123" xfId="0" applyNumberFormat="1" applyFont="1" applyBorder="1" applyProtection="1">
      <alignment vertical="center"/>
    </xf>
    <xf numFmtId="198" fontId="28" fillId="0" borderId="107" xfId="0" applyNumberFormat="1" applyFont="1" applyBorder="1" applyProtection="1">
      <alignment vertical="center"/>
    </xf>
    <xf numFmtId="197" fontId="29" fillId="0" borderId="108" xfId="0" applyNumberFormat="1" applyFont="1" applyBorder="1" applyProtection="1">
      <alignment vertical="center"/>
    </xf>
    <xf numFmtId="198" fontId="28" fillId="0" borderId="108" xfId="0" applyNumberFormat="1" applyFont="1" applyBorder="1" applyProtection="1">
      <alignment vertical="center"/>
    </xf>
    <xf numFmtId="198" fontId="28" fillId="0" borderId="164" xfId="0" applyNumberFormat="1" applyFont="1" applyBorder="1" applyProtection="1">
      <alignment vertical="center"/>
    </xf>
    <xf numFmtId="195" fontId="29" fillId="0" borderId="164" xfId="0" applyNumberFormat="1" applyFont="1" applyBorder="1" applyAlignment="1" applyProtection="1">
      <alignment horizontal="left" vertical="center"/>
    </xf>
    <xf numFmtId="195" fontId="29" fillId="0" borderId="32" xfId="0" applyNumberFormat="1" applyFont="1" applyBorder="1" applyAlignment="1" applyProtection="1">
      <alignment horizontal="left" vertical="center"/>
    </xf>
    <xf numFmtId="195" fontId="29" fillId="0" borderId="31" xfId="0" applyNumberFormat="1" applyFont="1" applyBorder="1" applyAlignment="1" applyProtection="1">
      <alignment horizontal="left" vertical="center"/>
    </xf>
    <xf numFmtId="0" fontId="28" fillId="0" borderId="2" xfId="0" applyFont="1" applyBorder="1" applyProtection="1">
      <alignment vertical="center"/>
    </xf>
    <xf numFmtId="1" fontId="28" fillId="3" borderId="114" xfId="0" applyNumberFormat="1" applyFont="1" applyFill="1" applyBorder="1" applyProtection="1">
      <alignment vertical="center"/>
    </xf>
    <xf numFmtId="198" fontId="28" fillId="0" borderId="54" xfId="0" applyNumberFormat="1" applyFont="1" applyBorder="1" applyProtection="1">
      <alignment vertical="center"/>
    </xf>
    <xf numFmtId="1" fontId="28" fillId="3" borderId="54" xfId="0" applyNumberFormat="1" applyFont="1" applyFill="1" applyBorder="1" applyProtection="1">
      <alignment vertical="center"/>
    </xf>
    <xf numFmtId="198" fontId="28" fillId="0" borderId="130" xfId="0" applyNumberFormat="1" applyFont="1" applyBorder="1" applyProtection="1">
      <alignment vertical="center"/>
    </xf>
    <xf numFmtId="198" fontId="28" fillId="0" borderId="165" xfId="0" applyNumberFormat="1" applyFont="1" applyBorder="1" applyProtection="1">
      <alignment vertical="center"/>
    </xf>
    <xf numFmtId="195" fontId="28" fillId="0" borderId="4" xfId="0" applyNumberFormat="1" applyFont="1" applyBorder="1" applyAlignment="1" applyProtection="1">
      <alignment horizontal="left" vertical="center"/>
    </xf>
    <xf numFmtId="195" fontId="28" fillId="0" borderId="5" xfId="0" applyNumberFormat="1" applyFont="1" applyBorder="1" applyAlignment="1" applyProtection="1">
      <alignment horizontal="left" vertical="center"/>
    </xf>
    <xf numFmtId="198" fontId="28" fillId="0" borderId="127" xfId="0" applyNumberFormat="1" applyFont="1" applyBorder="1" applyProtection="1">
      <alignment vertical="center"/>
    </xf>
    <xf numFmtId="195" fontId="28" fillId="0" borderId="45" xfId="0" applyNumberFormat="1" applyFont="1" applyBorder="1" applyAlignment="1" applyProtection="1">
      <alignment horizontal="left" vertical="center"/>
    </xf>
    <xf numFmtId="195" fontId="28" fillId="0" borderId="44" xfId="0" applyNumberFormat="1" applyFont="1" applyBorder="1" applyAlignment="1" applyProtection="1">
      <alignment horizontal="left" vertical="center"/>
    </xf>
    <xf numFmtId="198" fontId="28" fillId="0" borderId="46" xfId="0" applyNumberFormat="1" applyFont="1" applyBorder="1" applyProtection="1">
      <alignment vertical="center"/>
    </xf>
    <xf numFmtId="195" fontId="28" fillId="0" borderId="11" xfId="0" applyNumberFormat="1" applyFont="1" applyBorder="1" applyAlignment="1" applyProtection="1">
      <alignment horizontal="left" vertical="center"/>
    </xf>
    <xf numFmtId="195" fontId="28" fillId="0" borderId="2" xfId="0" applyNumberFormat="1" applyFont="1" applyBorder="1" applyAlignment="1" applyProtection="1">
      <alignment horizontal="left" vertical="center"/>
    </xf>
    <xf numFmtId="0" fontId="28" fillId="0" borderId="146" xfId="0" applyFont="1" applyBorder="1" applyProtection="1">
      <alignment vertical="center"/>
    </xf>
    <xf numFmtId="195" fontId="28" fillId="0" borderId="53" xfId="0" applyNumberFormat="1" applyFont="1" applyBorder="1" applyAlignment="1" applyProtection="1">
      <alignment horizontal="left" vertical="center"/>
    </xf>
    <xf numFmtId="195" fontId="28" fillId="0" borderId="33" xfId="0" applyNumberFormat="1" applyFont="1" applyBorder="1" applyAlignment="1" applyProtection="1">
      <alignment horizontal="left" vertical="center"/>
    </xf>
    <xf numFmtId="195" fontId="28" fillId="0" borderId="52" xfId="0" applyNumberFormat="1" applyFont="1" applyBorder="1" applyAlignment="1" applyProtection="1">
      <alignment horizontal="left" vertical="center"/>
    </xf>
    <xf numFmtId="1" fontId="28" fillId="3" borderId="66" xfId="0" applyNumberFormat="1" applyFont="1" applyFill="1" applyBorder="1" applyProtection="1">
      <alignment vertical="center"/>
    </xf>
    <xf numFmtId="198" fontId="28" fillId="0" borderId="47" xfId="0" applyNumberFormat="1" applyFont="1" applyBorder="1" applyProtection="1">
      <alignment vertical="center"/>
    </xf>
    <xf numFmtId="195" fontId="29" fillId="0" borderId="53" xfId="0" applyNumberFormat="1" applyFont="1" applyBorder="1" applyAlignment="1" applyProtection="1">
      <alignment horizontal="center" vertical="center"/>
    </xf>
    <xf numFmtId="195" fontId="29" fillId="0" borderId="51" xfId="0" applyNumberFormat="1" applyFont="1" applyBorder="1" applyAlignment="1" applyProtection="1">
      <alignment horizontal="center" vertical="center"/>
    </xf>
    <xf numFmtId="195" fontId="29" fillId="0" borderId="7" xfId="0" applyNumberFormat="1" applyFont="1" applyBorder="1" applyAlignment="1" applyProtection="1">
      <alignment horizontal="center" vertical="center"/>
    </xf>
    <xf numFmtId="195" fontId="29" fillId="0" borderId="49" xfId="0" applyNumberFormat="1" applyFont="1" applyBorder="1" applyAlignment="1" applyProtection="1">
      <alignment horizontal="center" vertical="center"/>
    </xf>
    <xf numFmtId="195" fontId="29" fillId="0" borderId="49" xfId="0" applyNumberFormat="1" applyFont="1" applyBorder="1" applyAlignment="1" applyProtection="1">
      <alignment horizontal="right" vertical="center"/>
    </xf>
    <xf numFmtId="0" fontId="28" fillId="0" borderId="64" xfId="0" applyFont="1" applyBorder="1" applyAlignment="1" applyProtection="1">
      <alignment horizontal="centerContinuous" vertical="center"/>
    </xf>
    <xf numFmtId="0" fontId="29" fillId="0" borderId="64" xfId="0" applyFont="1" applyBorder="1" applyAlignment="1" applyProtection="1">
      <alignment horizontal="centerContinuous" vertical="center"/>
    </xf>
    <xf numFmtId="0" fontId="29" fillId="0" borderId="64" xfId="0" applyFont="1" applyBorder="1" applyProtection="1">
      <alignment vertical="center"/>
    </xf>
    <xf numFmtId="199" fontId="29" fillId="0" borderId="7" xfId="0" applyNumberFormat="1" applyFont="1" applyBorder="1" applyProtection="1">
      <alignment vertical="center"/>
    </xf>
    <xf numFmtId="195" fontId="29" fillId="0" borderId="7" xfId="0" applyNumberFormat="1" applyFont="1" applyBorder="1" applyAlignment="1" applyProtection="1">
      <alignment horizontal="centerContinuous" vertical="center"/>
    </xf>
    <xf numFmtId="199" fontId="29" fillId="0" borderId="7" xfId="0" applyNumberFormat="1" applyFont="1" applyBorder="1" applyAlignment="1" applyProtection="1">
      <alignment horizontal="centerContinuous" vertical="center"/>
    </xf>
    <xf numFmtId="0" fontId="29" fillId="0" borderId="71" xfId="0" applyFont="1" applyBorder="1" applyAlignment="1" applyProtection="1">
      <alignment horizontal="centerContinuous" vertical="center"/>
    </xf>
    <xf numFmtId="199" fontId="29" fillId="0" borderId="5" xfId="0" applyNumberFormat="1" applyFont="1" applyBorder="1" applyAlignment="1" applyProtection="1">
      <alignment horizontal="centerContinuous" vertical="center"/>
    </xf>
    <xf numFmtId="0" fontId="28" fillId="0" borderId="71" xfId="0" applyFont="1" applyBorder="1" applyAlignment="1" applyProtection="1">
      <alignment horizontal="centerContinuous" vertical="center"/>
    </xf>
    <xf numFmtId="195" fontId="29" fillId="0" borderId="5" xfId="0" applyNumberFormat="1" applyFont="1" applyBorder="1" applyAlignment="1" applyProtection="1">
      <alignment horizontal="centerContinuous" vertical="center"/>
    </xf>
    <xf numFmtId="195" fontId="29" fillId="0" borderId="0" xfId="0" applyNumberFormat="1" applyFont="1" applyAlignment="1" applyProtection="1">
      <alignment horizontal="left" vertical="center"/>
    </xf>
    <xf numFmtId="195" fontId="32" fillId="0" borderId="0" xfId="0" applyNumberFormat="1" applyFont="1" applyAlignment="1" applyProtection="1">
      <alignment horizontal="left" vertical="center"/>
    </xf>
    <xf numFmtId="199" fontId="28" fillId="0" borderId="0" xfId="0" applyNumberFormat="1" applyFont="1" applyBorder="1" applyProtection="1">
      <alignment vertical="center"/>
    </xf>
    <xf numFmtId="198" fontId="28" fillId="0" borderId="49" xfId="0" applyNumberFormat="1" applyFont="1" applyBorder="1" applyProtection="1">
      <alignment vertical="center"/>
    </xf>
    <xf numFmtId="0" fontId="29" fillId="0" borderId="30" xfId="0" applyFont="1" applyBorder="1" applyProtection="1">
      <alignment vertical="center"/>
    </xf>
    <xf numFmtId="0" fontId="29" fillId="0" borderId="7" xfId="0" applyFont="1" applyBorder="1" applyProtection="1">
      <alignment vertical="center"/>
    </xf>
    <xf numFmtId="198" fontId="28" fillId="0" borderId="51" xfId="0" applyNumberFormat="1" applyFont="1" applyBorder="1" applyProtection="1">
      <alignment vertical="center"/>
    </xf>
    <xf numFmtId="173" fontId="28" fillId="2" borderId="51" xfId="0" applyNumberFormat="1" applyFont="1" applyFill="1" applyBorder="1" applyAlignment="1" applyProtection="1">
      <alignment horizontal="center" vertical="center"/>
      <protection locked="0"/>
    </xf>
    <xf numFmtId="199" fontId="29" fillId="0" borderId="0" xfId="0" applyNumberFormat="1" applyFont="1" applyBorder="1" applyProtection="1">
      <alignment vertical="center"/>
    </xf>
    <xf numFmtId="173" fontId="28" fillId="2" borderId="51" xfId="0" quotePrefix="1" applyNumberFormat="1" applyFont="1" applyFill="1" applyBorder="1" applyAlignment="1" applyProtection="1">
      <alignment horizontal="center" vertical="center"/>
      <protection locked="0"/>
    </xf>
    <xf numFmtId="199" fontId="28" fillId="0" borderId="0" xfId="0" applyNumberFormat="1" applyFont="1" applyProtection="1">
      <alignment vertical="center"/>
    </xf>
    <xf numFmtId="0" fontId="102" fillId="0" borderId="0" xfId="0" applyFont="1" applyAlignment="1" applyProtection="1">
      <alignment horizontal="right" vertical="center"/>
    </xf>
    <xf numFmtId="199" fontId="28" fillId="0" borderId="0" xfId="0" applyNumberFormat="1" applyFont="1" applyBorder="1" applyAlignment="1" applyProtection="1">
      <alignment horizontal="left" vertical="center"/>
    </xf>
    <xf numFmtId="198" fontId="28" fillId="0" borderId="51" xfId="0" applyNumberFormat="1" applyFont="1" applyBorder="1" applyAlignment="1" applyProtection="1">
      <alignment horizontal="center" vertical="center"/>
    </xf>
    <xf numFmtId="199" fontId="28" fillId="0" borderId="64" xfId="0" applyNumberFormat="1" applyFont="1" applyBorder="1" applyProtection="1">
      <alignment vertical="center"/>
    </xf>
    <xf numFmtId="199" fontId="28" fillId="3" borderId="49" xfId="0" applyNumberFormat="1" applyFont="1" applyFill="1" applyBorder="1" applyProtection="1">
      <alignment vertical="center"/>
    </xf>
    <xf numFmtId="198" fontId="28" fillId="0" borderId="129" xfId="0" applyNumberFormat="1" applyFont="1" applyBorder="1" applyProtection="1">
      <alignment vertical="center"/>
    </xf>
    <xf numFmtId="199" fontId="28" fillId="0" borderId="129" xfId="0" applyNumberFormat="1" applyFont="1" applyFill="1" applyBorder="1" applyAlignment="1" applyProtection="1">
      <alignment horizontal="center" vertical="center"/>
    </xf>
    <xf numFmtId="199" fontId="28" fillId="2" borderId="129" xfId="0" applyNumberFormat="1" applyFont="1" applyFill="1" applyBorder="1" applyProtection="1">
      <alignment vertical="center"/>
      <protection locked="0"/>
    </xf>
    <xf numFmtId="198" fontId="28" fillId="2" borderId="129" xfId="0" applyNumberFormat="1" applyFont="1" applyFill="1" applyBorder="1" applyProtection="1">
      <alignment vertical="center"/>
      <protection locked="0"/>
    </xf>
    <xf numFmtId="0" fontId="28" fillId="0" borderId="85" xfId="0" applyFont="1" applyBorder="1" applyProtection="1">
      <alignment vertical="center"/>
    </xf>
    <xf numFmtId="199" fontId="28" fillId="0" borderId="55" xfId="0" applyNumberFormat="1" applyFont="1" applyBorder="1" applyProtection="1">
      <alignment vertical="center"/>
    </xf>
    <xf numFmtId="199" fontId="28" fillId="3" borderId="54" xfId="0" applyNumberFormat="1" applyFont="1" applyFill="1" applyBorder="1" applyProtection="1">
      <alignment vertical="center"/>
    </xf>
    <xf numFmtId="199" fontId="28" fillId="0" borderId="127" xfId="0" applyNumberFormat="1" applyFont="1" applyFill="1" applyBorder="1" applyAlignment="1" applyProtection="1">
      <alignment horizontal="center" vertical="center"/>
    </xf>
    <xf numFmtId="199" fontId="28" fillId="2" borderId="127" xfId="0" applyNumberFormat="1" applyFont="1" applyFill="1" applyBorder="1" applyProtection="1">
      <alignment vertical="center"/>
      <protection locked="0"/>
    </xf>
    <xf numFmtId="198" fontId="28" fillId="2" borderId="127" xfId="0" applyNumberFormat="1" applyFont="1" applyFill="1" applyBorder="1" applyProtection="1">
      <alignment vertical="center"/>
      <protection locked="0"/>
    </xf>
    <xf numFmtId="0" fontId="28" fillId="0" borderId="11" xfId="0" applyFont="1" applyBorder="1" applyProtection="1">
      <alignment vertical="center"/>
    </xf>
    <xf numFmtId="199" fontId="28" fillId="3" borderId="130" xfId="0" applyNumberFormat="1" applyFont="1" applyFill="1" applyBorder="1" applyProtection="1">
      <alignment vertical="center"/>
    </xf>
    <xf numFmtId="199" fontId="28" fillId="3" borderId="46" xfId="0" applyNumberFormat="1" applyFont="1" applyFill="1" applyBorder="1" applyProtection="1">
      <alignment vertical="center"/>
    </xf>
    <xf numFmtId="199" fontId="28" fillId="3" borderId="46" xfId="0" applyNumberFormat="1" applyFont="1" applyFill="1" applyBorder="1" applyAlignment="1" applyProtection="1">
      <alignment horizontal="left" vertical="center"/>
    </xf>
    <xf numFmtId="199" fontId="28" fillId="3" borderId="54" xfId="0" applyNumberFormat="1" applyFont="1" applyFill="1" applyBorder="1" applyAlignment="1" applyProtection="1">
      <alignment horizontal="left" vertical="center"/>
    </xf>
    <xf numFmtId="0" fontId="28" fillId="0" borderId="126" xfId="0" applyFont="1" applyBorder="1" applyProtection="1">
      <alignment vertical="center"/>
    </xf>
    <xf numFmtId="0" fontId="28" fillId="0" borderId="97" xfId="0" applyFont="1" applyBorder="1" applyProtection="1">
      <alignment vertical="center"/>
    </xf>
    <xf numFmtId="198" fontId="28" fillId="0" borderId="66" xfId="0" applyNumberFormat="1" applyFont="1" applyBorder="1" applyProtection="1">
      <alignment vertical="center"/>
    </xf>
    <xf numFmtId="199" fontId="28" fillId="2" borderId="66" xfId="0" applyNumberFormat="1" applyFont="1" applyFill="1" applyBorder="1" applyProtection="1">
      <alignment vertical="center"/>
      <protection locked="0"/>
    </xf>
    <xf numFmtId="198" fontId="28" fillId="2" borderId="66" xfId="0" applyNumberFormat="1" applyFont="1" applyFill="1" applyBorder="1" applyProtection="1">
      <alignment vertical="center"/>
      <protection locked="0"/>
    </xf>
    <xf numFmtId="199" fontId="28" fillId="2" borderId="130" xfId="0" applyNumberFormat="1" applyFont="1" applyFill="1" applyBorder="1" applyProtection="1">
      <alignment vertical="center"/>
      <protection locked="0"/>
    </xf>
    <xf numFmtId="198" fontId="28" fillId="2" borderId="130" xfId="0" applyNumberFormat="1" applyFont="1" applyFill="1" applyBorder="1" applyProtection="1">
      <alignment vertical="center"/>
      <protection locked="0"/>
    </xf>
    <xf numFmtId="195" fontId="28" fillId="0" borderId="0" xfId="0" applyNumberFormat="1" applyFont="1" applyBorder="1" applyAlignment="1" applyProtection="1">
      <alignment horizontal="left" vertical="center"/>
    </xf>
    <xf numFmtId="199" fontId="28" fillId="2" borderId="46" xfId="0" applyNumberFormat="1" applyFont="1" applyFill="1" applyBorder="1" applyProtection="1">
      <alignment vertical="center"/>
      <protection locked="0"/>
    </xf>
    <xf numFmtId="198" fontId="28" fillId="2" borderId="46" xfId="0" applyNumberFormat="1" applyFont="1" applyFill="1" applyBorder="1" applyProtection="1">
      <alignment vertical="center"/>
      <protection locked="0"/>
    </xf>
    <xf numFmtId="199" fontId="28" fillId="3" borderId="66" xfId="0" applyNumberFormat="1" applyFont="1" applyFill="1" applyBorder="1" applyAlignment="1" applyProtection="1">
      <alignment horizontal="left" vertical="center"/>
    </xf>
    <xf numFmtId="197" fontId="28" fillId="0" borderId="49" xfId="0" applyNumberFormat="1" applyFont="1" applyBorder="1" applyAlignment="1" applyProtection="1">
      <alignment horizontal="center" vertical="center"/>
    </xf>
    <xf numFmtId="199" fontId="28" fillId="0" borderId="49" xfId="0" quotePrefix="1" applyNumberFormat="1" applyFont="1" applyBorder="1" applyAlignment="1" applyProtection="1">
      <alignment horizontal="center" vertical="center"/>
    </xf>
    <xf numFmtId="0" fontId="28" fillId="0" borderId="49" xfId="0" applyFont="1" applyBorder="1" applyAlignment="1" applyProtection="1">
      <alignment horizontal="center" vertical="center"/>
    </xf>
    <xf numFmtId="195" fontId="29" fillId="0" borderId="0" xfId="0" applyNumberFormat="1" applyFont="1" applyBorder="1" applyAlignment="1" applyProtection="1">
      <alignment horizontal="left" vertical="center"/>
    </xf>
    <xf numFmtId="197" fontId="28" fillId="0" borderId="66" xfId="0" applyNumberFormat="1" applyFont="1" applyBorder="1" applyAlignment="1" applyProtection="1">
      <alignment horizontal="center" vertical="center"/>
    </xf>
    <xf numFmtId="199" fontId="28" fillId="0" borderId="66" xfId="0" applyNumberFormat="1" applyFont="1" applyBorder="1" applyAlignment="1" applyProtection="1">
      <alignment horizontal="center" vertical="center"/>
    </xf>
    <xf numFmtId="0" fontId="28" fillId="0" borderId="66" xfId="0" applyFont="1" applyBorder="1" applyAlignment="1" applyProtection="1">
      <alignment horizontal="center" vertical="center"/>
    </xf>
    <xf numFmtId="197" fontId="28" fillId="0" borderId="71" xfId="0" applyNumberFormat="1" applyFont="1" applyBorder="1" applyAlignment="1" applyProtection="1">
      <alignment horizontal="left" vertical="center"/>
    </xf>
    <xf numFmtId="197" fontId="28" fillId="0" borderId="4" xfId="0" applyNumberFormat="1" applyFont="1" applyBorder="1" applyProtection="1">
      <alignment vertical="center"/>
    </xf>
    <xf numFmtId="199" fontId="28" fillId="0" borderId="4" xfId="0" applyNumberFormat="1" applyFont="1" applyBorder="1" applyProtection="1">
      <alignment vertical="center"/>
    </xf>
    <xf numFmtId="195" fontId="29" fillId="0" borderId="5" xfId="0" applyNumberFormat="1" applyFont="1" applyBorder="1" applyAlignment="1" applyProtection="1">
      <alignment horizontal="left" vertical="center"/>
    </xf>
    <xf numFmtId="197" fontId="28" fillId="0" borderId="0" xfId="0" applyNumberFormat="1" applyFont="1" applyBorder="1" applyAlignment="1" applyProtection="1">
      <alignment horizontal="left" vertical="center"/>
    </xf>
    <xf numFmtId="197" fontId="28" fillId="0" borderId="0" xfId="0" applyNumberFormat="1" applyFont="1" applyBorder="1" applyProtection="1">
      <alignment vertical="center"/>
    </xf>
    <xf numFmtId="195" fontId="32" fillId="0" borderId="0" xfId="0" applyNumberFormat="1" applyFont="1" applyBorder="1" applyAlignment="1" applyProtection="1">
      <alignment horizontal="left" vertical="center"/>
    </xf>
    <xf numFmtId="0" fontId="79" fillId="0" borderId="0" xfId="0" applyFont="1" applyProtection="1">
      <alignment vertical="center"/>
    </xf>
    <xf numFmtId="196" fontId="28" fillId="0" borderId="0" xfId="0" applyNumberFormat="1" applyFont="1" applyBorder="1" applyProtection="1">
      <alignment vertical="center"/>
    </xf>
    <xf numFmtId="0" fontId="28" fillId="0" borderId="0" xfId="0" applyFont="1" applyAlignment="1" applyProtection="1">
      <alignment horizontal="left" vertical="center"/>
    </xf>
    <xf numFmtId="0" fontId="103" fillId="0" borderId="0" xfId="0" applyFont="1" applyProtection="1">
      <alignment vertical="center"/>
    </xf>
    <xf numFmtId="196" fontId="28" fillId="0" borderId="51" xfId="0" applyNumberFormat="1" applyFont="1" applyBorder="1" applyProtection="1">
      <alignment vertical="center"/>
    </xf>
    <xf numFmtId="2" fontId="79" fillId="0" borderId="0" xfId="0" applyNumberFormat="1" applyFont="1" applyAlignment="1" applyProtection="1">
      <alignment horizontal="right" vertical="center"/>
    </xf>
    <xf numFmtId="196" fontId="28" fillId="0" borderId="33" xfId="0" applyNumberFormat="1" applyFont="1" applyBorder="1" applyProtection="1">
      <alignment vertical="center"/>
    </xf>
    <xf numFmtId="0" fontId="28" fillId="0" borderId="0" xfId="0" applyFont="1" applyAlignment="1" applyProtection="1">
      <alignment horizontal="right" vertical="center"/>
    </xf>
    <xf numFmtId="198" fontId="28" fillId="0" borderId="91" xfId="0" applyNumberFormat="1" applyFont="1" applyBorder="1" applyProtection="1">
      <alignment vertical="center"/>
    </xf>
    <xf numFmtId="196" fontId="28" fillId="0" borderId="129" xfId="0" applyNumberFormat="1" applyFont="1" applyFill="1" applyBorder="1" applyProtection="1">
      <alignment vertical="center"/>
    </xf>
    <xf numFmtId="0" fontId="28" fillId="0" borderId="128" xfId="0" applyFont="1" applyFill="1" applyBorder="1" applyAlignment="1" applyProtection="1">
      <alignment horizontal="center" vertical="center"/>
    </xf>
    <xf numFmtId="195" fontId="28" fillId="0" borderId="91" xfId="0" applyNumberFormat="1" applyFont="1" applyBorder="1" applyAlignment="1" applyProtection="1">
      <alignment horizontal="left" vertical="center"/>
    </xf>
    <xf numFmtId="195" fontId="28" fillId="0" borderId="85" xfId="0" applyNumberFormat="1" applyFont="1" applyBorder="1" applyAlignment="1" applyProtection="1">
      <alignment horizontal="left" vertical="center"/>
    </xf>
    <xf numFmtId="195" fontId="28" fillId="0" borderId="84" xfId="0" applyNumberFormat="1" applyFont="1" applyBorder="1" applyAlignment="1" applyProtection="1">
      <alignment horizontal="left" vertical="center"/>
    </xf>
    <xf numFmtId="198" fontId="28" fillId="0" borderId="128" xfId="0" applyNumberFormat="1" applyFont="1" applyBorder="1" applyProtection="1">
      <alignment vertical="center"/>
    </xf>
    <xf numFmtId="195" fontId="28" fillId="0" borderId="128" xfId="0" applyNumberFormat="1" applyFont="1" applyBorder="1" applyAlignment="1" applyProtection="1">
      <alignment horizontal="left" vertical="center"/>
    </xf>
    <xf numFmtId="195" fontId="28" fillId="0" borderId="126" xfId="0" applyNumberFormat="1" applyFont="1" applyBorder="1" applyAlignment="1" applyProtection="1">
      <alignment horizontal="left" vertical="center"/>
    </xf>
    <xf numFmtId="195" fontId="28" fillId="0" borderId="97" xfId="0" applyNumberFormat="1" applyFont="1" applyBorder="1" applyAlignment="1" applyProtection="1">
      <alignment horizontal="left" vertical="center"/>
    </xf>
    <xf numFmtId="0" fontId="28" fillId="0" borderId="0" xfId="0" applyFont="1" applyAlignment="1" applyProtection="1">
      <alignment horizontal="center" vertical="center"/>
    </xf>
    <xf numFmtId="195" fontId="28" fillId="0" borderId="81" xfId="0" applyNumberFormat="1" applyFont="1" applyBorder="1" applyAlignment="1" applyProtection="1">
      <alignment horizontal="left" vertical="center"/>
    </xf>
    <xf numFmtId="198" fontId="28" fillId="2" borderId="146" xfId="0" applyNumberFormat="1" applyFont="1" applyFill="1" applyBorder="1" applyProtection="1">
      <alignment vertical="center"/>
      <protection locked="0"/>
    </xf>
    <xf numFmtId="0" fontId="28" fillId="3" borderId="64" xfId="0" applyFont="1" applyFill="1" applyBorder="1" applyProtection="1">
      <alignment vertical="center"/>
    </xf>
    <xf numFmtId="2" fontId="28" fillId="3" borderId="49" xfId="0" applyNumberFormat="1" applyFont="1" applyFill="1" applyBorder="1" applyAlignment="1" applyProtection="1">
      <alignment horizontal="right" vertical="center" indent="1"/>
    </xf>
    <xf numFmtId="0" fontId="28" fillId="0" borderId="146" xfId="0" applyFont="1" applyBorder="1" applyAlignment="1" applyProtection="1">
      <alignment horizontal="center" vertical="center"/>
    </xf>
    <xf numFmtId="195" fontId="28" fillId="0" borderId="146" xfId="0" applyNumberFormat="1" applyFont="1" applyBorder="1" applyAlignment="1" applyProtection="1">
      <alignment horizontal="left" vertical="center"/>
    </xf>
    <xf numFmtId="195" fontId="28" fillId="0" borderId="88" xfId="0" applyNumberFormat="1" applyFont="1" applyBorder="1" applyAlignment="1" applyProtection="1">
      <alignment horizontal="left" vertical="center"/>
    </xf>
    <xf numFmtId="195" fontId="28" fillId="0" borderId="82" xfId="0" applyNumberFormat="1" applyFont="1" applyBorder="1" applyAlignment="1" applyProtection="1">
      <alignment horizontal="left" vertical="center"/>
    </xf>
    <xf numFmtId="198" fontId="28" fillId="2" borderId="128" xfId="0" applyNumberFormat="1" applyFont="1" applyFill="1" applyBorder="1" applyProtection="1">
      <alignment vertical="center"/>
      <protection locked="0"/>
    </xf>
    <xf numFmtId="0" fontId="28" fillId="3" borderId="146" xfId="0" applyFont="1" applyFill="1" applyBorder="1" applyProtection="1">
      <alignment vertical="center"/>
    </xf>
    <xf numFmtId="2" fontId="28" fillId="3" borderId="130" xfId="0" applyNumberFormat="1" applyFont="1" applyFill="1" applyBorder="1" applyAlignment="1" applyProtection="1">
      <alignment horizontal="right" vertical="center" indent="1"/>
    </xf>
    <xf numFmtId="0" fontId="28" fillId="0" borderId="128" xfId="0" applyFont="1" applyBorder="1" applyAlignment="1" applyProtection="1">
      <alignment horizontal="center" vertical="center"/>
    </xf>
    <xf numFmtId="0" fontId="29" fillId="0" borderId="49" xfId="0" applyFont="1" applyBorder="1" applyAlignment="1" applyProtection="1">
      <alignment horizontal="center" vertical="center"/>
    </xf>
    <xf numFmtId="195" fontId="29" fillId="0" borderId="30" xfId="0" applyNumberFormat="1" applyFont="1" applyBorder="1" applyAlignment="1" applyProtection="1">
      <alignment horizontal="left" vertical="center"/>
    </xf>
    <xf numFmtId="0" fontId="29" fillId="0" borderId="71" xfId="0" applyFont="1" applyBorder="1" applyAlignment="1" applyProtection="1">
      <alignment horizontal="center" vertical="center"/>
    </xf>
    <xf numFmtId="195" fontId="29" fillId="0" borderId="4" xfId="0" applyNumberFormat="1" applyFont="1" applyBorder="1" applyAlignment="1" applyProtection="1">
      <alignment horizontal="left" vertical="center"/>
    </xf>
    <xf numFmtId="1" fontId="28" fillId="0" borderId="0" xfId="0" applyNumberFormat="1" applyFont="1" applyBorder="1" applyAlignment="1" applyProtection="1">
      <alignment horizontal="right" vertical="center"/>
    </xf>
    <xf numFmtId="0" fontId="28" fillId="0" borderId="0" xfId="0" quotePrefix="1" applyFont="1" applyAlignment="1" applyProtection="1">
      <alignment horizontal="right" vertical="center"/>
    </xf>
    <xf numFmtId="198" fontId="28" fillId="0" borderId="51" xfId="0" applyNumberFormat="1" applyFont="1" applyBorder="1" applyAlignment="1" applyProtection="1">
      <alignment horizontal="right" vertical="center"/>
    </xf>
    <xf numFmtId="197" fontId="28" fillId="0" borderId="0" xfId="0" applyNumberFormat="1" applyFont="1" applyBorder="1" applyAlignment="1" applyProtection="1">
      <alignment horizontal="right" vertical="center"/>
    </xf>
    <xf numFmtId="172" fontId="100" fillId="0" borderId="0" xfId="0" applyNumberFormat="1" applyFont="1" applyFill="1" applyBorder="1" applyProtection="1">
      <alignment vertical="center"/>
    </xf>
    <xf numFmtId="172" fontId="104" fillId="0" borderId="0" xfId="0" applyNumberFormat="1" applyFont="1" applyFill="1" applyBorder="1" applyProtection="1">
      <alignment vertical="center"/>
    </xf>
    <xf numFmtId="0" fontId="28" fillId="3" borderId="49" xfId="0" applyFont="1" applyFill="1" applyBorder="1" applyProtection="1">
      <alignment vertical="center"/>
    </xf>
    <xf numFmtId="0" fontId="28" fillId="3" borderId="54" xfId="0" applyFont="1" applyFill="1" applyBorder="1" applyProtection="1">
      <alignment vertical="center"/>
    </xf>
    <xf numFmtId="197" fontId="28" fillId="0" borderId="46" xfId="0" applyNumberFormat="1" applyFont="1" applyBorder="1" applyProtection="1">
      <alignment vertical="center"/>
    </xf>
    <xf numFmtId="0" fontId="28" fillId="0" borderId="128" xfId="0" applyFont="1" applyBorder="1" applyProtection="1">
      <alignment vertical="center"/>
    </xf>
    <xf numFmtId="195" fontId="28" fillId="0" borderId="55" xfId="0" applyNumberFormat="1" applyFont="1" applyFill="1" applyBorder="1" applyProtection="1">
      <alignment vertical="center"/>
    </xf>
    <xf numFmtId="0" fontId="28" fillId="0" borderId="126" xfId="0" applyFont="1" applyFill="1" applyBorder="1" applyProtection="1">
      <alignment vertical="center"/>
    </xf>
    <xf numFmtId="0" fontId="28" fillId="0" borderId="82" xfId="0" applyFont="1" applyFill="1" applyBorder="1" applyProtection="1">
      <alignment vertical="center"/>
    </xf>
    <xf numFmtId="0" fontId="28" fillId="0" borderId="88" xfId="0" applyFont="1" applyFill="1" applyBorder="1" applyProtection="1">
      <alignment vertical="center"/>
    </xf>
    <xf numFmtId="0" fontId="28" fillId="3" borderId="66" xfId="0" applyFont="1" applyFill="1" applyBorder="1" applyProtection="1">
      <alignment vertical="center"/>
    </xf>
    <xf numFmtId="172" fontId="29" fillId="0" borderId="33" xfId="0" applyNumberFormat="1" applyFont="1" applyFill="1" applyBorder="1" applyProtection="1">
      <alignment vertical="center"/>
    </xf>
    <xf numFmtId="200" fontId="29" fillId="0" borderId="33" xfId="0" applyNumberFormat="1" applyFont="1" applyFill="1" applyBorder="1" applyProtection="1">
      <alignment vertical="center"/>
    </xf>
    <xf numFmtId="197" fontId="29" fillId="0" borderId="33" xfId="0" applyNumberFormat="1" applyFont="1" applyFill="1" applyBorder="1" applyProtection="1">
      <alignment vertical="center"/>
    </xf>
    <xf numFmtId="172" fontId="29" fillId="0" borderId="33" xfId="0" applyNumberFormat="1" applyFont="1" applyFill="1" applyBorder="1" applyAlignment="1" applyProtection="1">
      <alignment horizontal="center" vertical="center"/>
    </xf>
    <xf numFmtId="1" fontId="29" fillId="0" borderId="33" xfId="0" applyNumberFormat="1" applyFont="1" applyFill="1" applyBorder="1" applyAlignment="1" applyProtection="1">
      <alignment horizontal="center"/>
    </xf>
    <xf numFmtId="0" fontId="29" fillId="0" borderId="33" xfId="0" applyFont="1" applyFill="1" applyBorder="1" applyAlignment="1" applyProtection="1">
      <alignment horizontal="center" vertical="center"/>
    </xf>
    <xf numFmtId="195" fontId="29" fillId="0" borderId="52" xfId="0" applyNumberFormat="1" applyFont="1" applyFill="1" applyBorder="1" applyProtection="1">
      <alignment vertical="center"/>
    </xf>
    <xf numFmtId="197" fontId="28" fillId="0" borderId="46" xfId="0" applyNumberFormat="1" applyFont="1" applyFill="1" applyBorder="1" applyProtection="1">
      <alignment vertical="center"/>
    </xf>
    <xf numFmtId="1" fontId="100" fillId="0" borderId="0" xfId="0" applyNumberFormat="1" applyFont="1" applyFill="1" applyBorder="1" applyAlignment="1" applyProtection="1">
      <alignment horizontal="center" vertical="center"/>
    </xf>
    <xf numFmtId="195" fontId="28" fillId="0" borderId="97" xfId="0" applyNumberFormat="1" applyFont="1" applyFill="1" applyBorder="1" applyProtection="1">
      <alignment vertical="center"/>
    </xf>
    <xf numFmtId="0" fontId="28" fillId="0" borderId="97" xfId="0" applyFont="1" applyFill="1" applyBorder="1" applyProtection="1">
      <alignment vertical="center"/>
    </xf>
    <xf numFmtId="1" fontId="28" fillId="0" borderId="128" xfId="0" applyNumberFormat="1" applyFont="1" applyBorder="1" applyAlignment="1" applyProtection="1">
      <alignment horizontal="left" vertical="center"/>
    </xf>
    <xf numFmtId="195" fontId="28" fillId="0" borderId="55" xfId="0" applyNumberFormat="1" applyFont="1" applyFill="1" applyBorder="1" applyAlignment="1" applyProtection="1">
      <alignment horizontal="left" vertical="center"/>
    </xf>
    <xf numFmtId="1" fontId="28" fillId="0" borderId="80" xfId="0" applyNumberFormat="1" applyFont="1" applyBorder="1" applyAlignment="1" applyProtection="1">
      <alignment horizontal="left" vertical="center"/>
    </xf>
    <xf numFmtId="195" fontId="29" fillId="0" borderId="33" xfId="0" applyNumberFormat="1" applyFont="1" applyBorder="1" applyAlignment="1" applyProtection="1">
      <alignment horizontal="center" vertical="center"/>
    </xf>
    <xf numFmtId="0" fontId="29" fillId="0" borderId="33" xfId="0" applyFont="1" applyBorder="1" applyProtection="1">
      <alignment vertical="center"/>
    </xf>
    <xf numFmtId="0" fontId="29" fillId="0" borderId="52" xfId="0" applyFont="1" applyBorder="1" applyProtection="1">
      <alignment vertical="center"/>
    </xf>
    <xf numFmtId="195" fontId="29" fillId="0" borderId="54" xfId="0" applyNumberFormat="1" applyFont="1" applyBorder="1" applyAlignment="1" applyProtection="1">
      <alignment horizontal="center" vertical="center"/>
    </xf>
    <xf numFmtId="195" fontId="29" fillId="0" borderId="66" xfId="0" applyNumberFormat="1" applyFont="1" applyBorder="1" applyAlignment="1" applyProtection="1">
      <alignment horizontal="center" vertical="center"/>
    </xf>
    <xf numFmtId="0" fontId="29" fillId="0" borderId="55" xfId="0" applyFont="1" applyBorder="1" applyProtection="1">
      <alignment vertical="center"/>
    </xf>
    <xf numFmtId="0" fontId="76" fillId="0" borderId="64" xfId="0" applyFont="1" applyBorder="1" applyAlignment="1" applyProtection="1">
      <alignment horizontal="centerContinuous" vertical="center"/>
    </xf>
    <xf numFmtId="195" fontId="73" fillId="0" borderId="7" xfId="0" applyNumberFormat="1" applyFont="1" applyBorder="1" applyAlignment="1" applyProtection="1">
      <alignment horizontal="centerContinuous" vertical="center"/>
    </xf>
    <xf numFmtId="195" fontId="29" fillId="0" borderId="55" xfId="0" applyNumberFormat="1" applyFont="1" applyFill="1" applyBorder="1" applyAlignment="1" applyProtection="1">
      <alignment horizontal="left" vertical="center"/>
    </xf>
    <xf numFmtId="0" fontId="39" fillId="0" borderId="71" xfId="0" applyFont="1" applyBorder="1" applyAlignment="1" applyProtection="1">
      <alignment horizontal="centerContinuous" vertical="center"/>
    </xf>
    <xf numFmtId="195" fontId="29" fillId="0" borderId="66" xfId="0" applyNumberFormat="1" applyFont="1" applyBorder="1" applyAlignment="1" applyProtection="1">
      <alignment horizontal="left" vertical="center"/>
    </xf>
    <xf numFmtId="0" fontId="29" fillId="0" borderId="71" xfId="0" applyFont="1" applyBorder="1" applyProtection="1">
      <alignment vertical="center"/>
    </xf>
    <xf numFmtId="1" fontId="75" fillId="0" borderId="0" xfId="0" applyNumberFormat="1" applyFont="1" applyAlignment="1" applyProtection="1">
      <alignment horizontal="right" vertical="center"/>
    </xf>
    <xf numFmtId="0" fontId="75" fillId="0" borderId="0" xfId="0" applyFont="1" applyAlignment="1" applyProtection="1">
      <alignment horizontal="right" vertical="center"/>
    </xf>
    <xf numFmtId="0" fontId="61" fillId="0" borderId="0" xfId="0" applyFont="1" applyProtection="1">
      <alignment vertical="center"/>
    </xf>
    <xf numFmtId="0" fontId="32" fillId="0" borderId="0" xfId="0" applyFont="1" applyProtection="1">
      <alignment vertical="center"/>
    </xf>
    <xf numFmtId="0" fontId="75" fillId="8" borderId="0" xfId="0" applyFont="1" applyFill="1" applyProtection="1">
      <alignment vertical="center"/>
    </xf>
    <xf numFmtId="0" fontId="27" fillId="0" borderId="10" xfId="0" applyFont="1" applyBorder="1" applyProtection="1">
      <alignment vertical="center"/>
    </xf>
    <xf numFmtId="0" fontId="27" fillId="0" borderId="10" xfId="0" applyFont="1" applyBorder="1" applyAlignment="1" applyProtection="1">
      <alignment horizontal="center"/>
    </xf>
    <xf numFmtId="0" fontId="27" fillId="0" borderId="10" xfId="0" applyFont="1" applyFill="1" applyBorder="1" applyAlignment="1" applyProtection="1">
      <alignment horizontal="right"/>
    </xf>
    <xf numFmtId="196" fontId="27" fillId="2" borderId="128" xfId="0" applyNumberFormat="1" applyFont="1" applyFill="1" applyBorder="1" applyProtection="1">
      <alignment vertical="center"/>
      <protection locked="0"/>
    </xf>
    <xf numFmtId="198" fontId="28" fillId="0" borderId="49" xfId="0" applyNumberFormat="1" applyFont="1" applyBorder="1" applyAlignment="1" applyProtection="1">
      <alignment horizontal="right" vertical="center"/>
    </xf>
    <xf numFmtId="195" fontId="28" fillId="0" borderId="84" xfId="0" applyNumberFormat="1" applyFont="1" applyFill="1" applyBorder="1" applyProtection="1">
      <alignment vertical="center"/>
    </xf>
    <xf numFmtId="0" fontId="28" fillId="0" borderId="85" xfId="0" applyFont="1" applyFill="1" applyBorder="1" applyProtection="1">
      <alignment vertical="center"/>
    </xf>
    <xf numFmtId="0" fontId="28" fillId="0" borderId="91" xfId="0" applyFont="1" applyBorder="1" applyProtection="1">
      <alignment vertical="center"/>
    </xf>
    <xf numFmtId="197" fontId="28" fillId="0" borderId="49" xfId="0" applyNumberFormat="1" applyFont="1" applyFill="1" applyBorder="1" applyProtection="1">
      <alignment vertical="center"/>
    </xf>
    <xf numFmtId="196" fontId="28" fillId="0" borderId="128" xfId="0" applyNumberFormat="1" applyFont="1" applyFill="1" applyBorder="1" applyProtection="1">
      <alignment vertical="center"/>
    </xf>
    <xf numFmtId="196" fontId="28" fillId="0" borderId="80" xfId="0" applyNumberFormat="1" applyFont="1" applyFill="1" applyBorder="1" applyProtection="1">
      <alignment vertical="center"/>
    </xf>
    <xf numFmtId="2" fontId="28" fillId="2" borderId="93" xfId="0" applyNumberFormat="1" applyFont="1" applyFill="1" applyBorder="1" applyProtection="1">
      <alignment vertical="center"/>
      <protection locked="0"/>
    </xf>
    <xf numFmtId="1" fontId="28" fillId="10" borderId="0" xfId="0" applyNumberFormat="1" applyFont="1" applyFill="1" applyBorder="1" applyAlignment="1" applyProtection="1">
      <alignment horizontal="center"/>
      <protection locked="0"/>
    </xf>
    <xf numFmtId="1" fontId="28" fillId="10" borderId="47" xfId="0" applyNumberFormat="1" applyFont="1" applyFill="1" applyBorder="1" applyAlignment="1" applyProtection="1">
      <alignment horizontal="center"/>
      <protection locked="0"/>
    </xf>
    <xf numFmtId="184" fontId="28" fillId="0" borderId="0" xfId="0" applyNumberFormat="1" applyFont="1" applyFill="1" applyBorder="1" applyAlignment="1" applyProtection="1">
      <alignment horizontal="center"/>
    </xf>
    <xf numFmtId="184" fontId="28" fillId="0" borderId="0" xfId="0" applyNumberFormat="1" applyFont="1" applyFill="1" applyBorder="1" applyProtection="1">
      <alignment vertical="center"/>
    </xf>
    <xf numFmtId="0" fontId="106" fillId="0" borderId="0" xfId="0" applyFont="1" applyProtection="1">
      <alignment vertical="center"/>
    </xf>
    <xf numFmtId="184" fontId="106" fillId="0" borderId="93" xfId="0" applyNumberFormat="1" applyFont="1" applyFill="1" applyBorder="1" applyAlignment="1" applyProtection="1">
      <alignment horizontal="center"/>
    </xf>
    <xf numFmtId="0" fontId="106" fillId="0" borderId="0" xfId="0" applyFont="1" applyAlignment="1" applyProtection="1">
      <alignment horizontal="center"/>
    </xf>
    <xf numFmtId="0" fontId="27" fillId="0" borderId="0" xfId="0" applyFont="1" applyFill="1">
      <alignment vertical="center"/>
    </xf>
    <xf numFmtId="167" fontId="36" fillId="2" borderId="11" xfId="0" applyNumberFormat="1" applyFont="1" applyFill="1" applyBorder="1" applyAlignment="1" applyProtection="1">
      <alignment horizontal="left"/>
      <protection locked="0"/>
    </xf>
    <xf numFmtId="0" fontId="107" fillId="0" borderId="0" xfId="0" applyFont="1" applyFill="1" applyBorder="1" applyAlignment="1" applyProtection="1">
      <alignment horizontal="center"/>
    </xf>
    <xf numFmtId="0" fontId="40" fillId="0" borderId="55" xfId="0" applyFont="1" applyBorder="1">
      <alignment vertical="center"/>
    </xf>
    <xf numFmtId="0" fontId="0" fillId="0" borderId="0" xfId="0" applyBorder="1" applyAlignment="1"/>
    <xf numFmtId="1" fontId="106" fillId="0" borderId="0" xfId="0" applyNumberFormat="1" applyFont="1" applyAlignment="1" applyProtection="1">
      <alignment horizontal="center"/>
      <protection locked="0"/>
    </xf>
    <xf numFmtId="0" fontId="26" fillId="0" borderId="0" xfId="0" applyFont="1" applyBorder="1" applyAlignment="1" applyProtection="1">
      <alignment horizontal="center"/>
    </xf>
    <xf numFmtId="0" fontId="26" fillId="0" borderId="0" xfId="0" applyFont="1" applyBorder="1" applyAlignment="1" applyProtection="1">
      <alignment horizontal="right"/>
    </xf>
    <xf numFmtId="0" fontId="26" fillId="0" borderId="0" xfId="0" applyFont="1" applyAlignment="1" applyProtection="1">
      <alignment horizontal="left"/>
    </xf>
    <xf numFmtId="0" fontId="39" fillId="0" borderId="5" xfId="0" applyFont="1" applyBorder="1" applyProtection="1">
      <alignment vertical="center"/>
    </xf>
    <xf numFmtId="0" fontId="0" fillId="0" borderId="71" xfId="0" applyBorder="1" applyAlignment="1" applyProtection="1">
      <alignment horizontal="centerContinuous"/>
    </xf>
    <xf numFmtId="0" fontId="40" fillId="0" borderId="19" xfId="0" applyFont="1" applyBorder="1" applyProtection="1">
      <alignment vertical="center"/>
    </xf>
    <xf numFmtId="0" fontId="40" fillId="0" borderId="19" xfId="0" applyFont="1" applyBorder="1" applyAlignment="1" applyProtection="1">
      <alignment horizontal="left"/>
    </xf>
    <xf numFmtId="0" fontId="0" fillId="0" borderId="0" xfId="0" applyBorder="1" applyAlignment="1" applyProtection="1">
      <alignment horizontal="left"/>
    </xf>
    <xf numFmtId="0" fontId="40" fillId="0" borderId="0" xfId="0" applyFont="1" applyBorder="1" applyAlignment="1" applyProtection="1">
      <alignment horizontal="left"/>
    </xf>
    <xf numFmtId="0" fontId="40" fillId="0" borderId="7" xfId="0" applyFont="1" applyBorder="1" applyProtection="1">
      <alignment vertical="center"/>
    </xf>
    <xf numFmtId="0" fontId="0" fillId="0" borderId="30" xfId="0" applyBorder="1" applyAlignment="1" applyProtection="1">
      <alignment horizontal="left"/>
    </xf>
    <xf numFmtId="0" fontId="0" fillId="0" borderId="30" xfId="0" applyBorder="1" applyAlignment="1" applyProtection="1">
      <alignment horizontal="centerContinuous"/>
    </xf>
    <xf numFmtId="0" fontId="26" fillId="0" borderId="0" xfId="0" applyFont="1" applyBorder="1" applyProtection="1">
      <alignment vertical="center"/>
    </xf>
    <xf numFmtId="0" fontId="27" fillId="0" borderId="0" xfId="0" applyFont="1" applyBorder="1" applyProtection="1">
      <alignment vertical="center"/>
    </xf>
    <xf numFmtId="0" fontId="0" fillId="0" borderId="0" xfId="0" applyFill="1" applyBorder="1" applyAlignment="1" applyProtection="1">
      <alignment horizontal="center"/>
    </xf>
    <xf numFmtId="0" fontId="0" fillId="0" borderId="14" xfId="0" applyBorder="1" applyProtection="1">
      <alignment vertical="center"/>
    </xf>
    <xf numFmtId="172" fontId="0" fillId="0" borderId="0" xfId="0" applyNumberFormat="1" applyFill="1" applyBorder="1" applyAlignment="1" applyProtection="1">
      <alignment horizontal="center"/>
    </xf>
    <xf numFmtId="9" fontId="40" fillId="0" borderId="30" xfId="0" quotePrefix="1" applyNumberFormat="1" applyFont="1" applyFill="1" applyBorder="1" applyAlignment="1" applyProtection="1">
      <alignment horizontal="center"/>
    </xf>
    <xf numFmtId="174" fontId="0" fillId="0" borderId="0" xfId="0" applyNumberFormat="1" applyFill="1" applyBorder="1" applyAlignment="1" applyProtection="1">
      <alignment horizontal="center"/>
    </xf>
    <xf numFmtId="1" fontId="0" fillId="0" borderId="0" xfId="0" applyNumberFormat="1" applyBorder="1" applyAlignment="1" applyProtection="1">
      <alignment horizontal="center"/>
    </xf>
    <xf numFmtId="0" fontId="27" fillId="0" borderId="0" xfId="0" applyFont="1" applyBorder="1" applyAlignment="1" applyProtection="1"/>
    <xf numFmtId="0" fontId="40" fillId="0" borderId="64" xfId="0" applyFont="1" applyBorder="1" applyAlignment="1" applyProtection="1">
      <alignment horizontal="left"/>
    </xf>
    <xf numFmtId="1" fontId="40" fillId="0" borderId="52" xfId="0" applyNumberFormat="1" applyFont="1" applyFill="1" applyBorder="1" applyAlignment="1" applyProtection="1">
      <alignment horizontal="center"/>
    </xf>
    <xf numFmtId="2" fontId="40" fillId="0" borderId="48" xfId="0" applyNumberFormat="1" applyFont="1" applyFill="1" applyBorder="1" applyAlignment="1" applyProtection="1">
      <alignment horizontal="center"/>
    </xf>
    <xf numFmtId="0" fontId="27" fillId="0" borderId="0" xfId="0" applyFont="1" applyBorder="1" applyAlignment="1" applyProtection="1">
      <alignment horizontal="center"/>
    </xf>
    <xf numFmtId="2" fontId="26" fillId="8" borderId="0" xfId="0" applyNumberFormat="1" applyFont="1" applyFill="1" applyBorder="1" applyAlignment="1" applyProtection="1">
      <alignment horizontal="center"/>
    </xf>
    <xf numFmtId="1" fontId="109" fillId="0" borderId="0" xfId="0" applyNumberFormat="1" applyFont="1" applyBorder="1" applyAlignment="1" applyProtection="1">
      <alignment horizontal="right" vertical="center"/>
    </xf>
    <xf numFmtId="1" fontId="109" fillId="0" borderId="0" xfId="0" applyNumberFormat="1" applyFont="1" applyBorder="1" applyAlignment="1" applyProtection="1">
      <alignment horizontal="left" vertical="center"/>
    </xf>
    <xf numFmtId="172" fontId="29" fillId="0" borderId="18" xfId="0" applyNumberFormat="1" applyFont="1" applyBorder="1" applyProtection="1">
      <alignment vertical="center"/>
    </xf>
    <xf numFmtId="0" fontId="39" fillId="8" borderId="0" xfId="0" applyFont="1" applyFill="1" applyBorder="1" applyProtection="1">
      <alignment vertical="center"/>
    </xf>
    <xf numFmtId="0" fontId="26" fillId="0" borderId="0" xfId="0" applyFont="1" applyAlignment="1" applyProtection="1">
      <alignment horizontal="center"/>
    </xf>
    <xf numFmtId="0" fontId="47" fillId="0" borderId="53" xfId="0" applyFont="1" applyFill="1" applyBorder="1" applyAlignment="1" applyProtection="1">
      <alignment horizontal="right" vertical="center"/>
    </xf>
    <xf numFmtId="0" fontId="40" fillId="0" borderId="75" xfId="0" applyFont="1" applyBorder="1" applyProtection="1">
      <alignment vertical="center"/>
    </xf>
    <xf numFmtId="0" fontId="0" fillId="0" borderId="75" xfId="0" applyBorder="1" applyAlignment="1" applyProtection="1">
      <alignment horizontal="center"/>
    </xf>
    <xf numFmtId="0" fontId="39" fillId="0" borderId="75" xfId="0" applyFont="1" applyFill="1" applyBorder="1" applyAlignment="1" applyProtection="1">
      <alignment horizontal="center"/>
    </xf>
    <xf numFmtId="0" fontId="40" fillId="5" borderId="20" xfId="0" applyFont="1" applyFill="1" applyBorder="1" applyAlignment="1" applyProtection="1">
      <alignment horizontal="center"/>
    </xf>
    <xf numFmtId="172" fontId="40" fillId="2" borderId="30" xfId="0" applyNumberFormat="1" applyFont="1" applyFill="1" applyBorder="1" applyAlignment="1" applyProtection="1">
      <alignment horizontal="center"/>
      <protection locked="0"/>
    </xf>
    <xf numFmtId="0" fontId="39" fillId="0" borderId="75" xfId="0" applyFont="1" applyFill="1" applyBorder="1" applyAlignment="1" applyProtection="1">
      <alignment horizontal="center" vertical="center"/>
    </xf>
    <xf numFmtId="0" fontId="40" fillId="0" borderId="57" xfId="0" applyFont="1" applyBorder="1" applyProtection="1">
      <alignment vertical="center"/>
    </xf>
    <xf numFmtId="172" fontId="0" fillId="0" borderId="51" xfId="0" applyNumberFormat="1" applyBorder="1" applyAlignment="1" applyProtection="1">
      <alignment horizontal="center"/>
    </xf>
    <xf numFmtId="0" fontId="38" fillId="0" borderId="13" xfId="0" applyFont="1" applyFill="1" applyBorder="1" applyAlignment="1" applyProtection="1"/>
    <xf numFmtId="0" fontId="40" fillId="0" borderId="14" xfId="0" applyFont="1" applyFill="1" applyBorder="1" applyAlignment="1" applyProtection="1">
      <alignment horizontal="centerContinuous"/>
    </xf>
    <xf numFmtId="0" fontId="40" fillId="0" borderId="15" xfId="0" applyFont="1" applyFill="1" applyBorder="1" applyAlignment="1" applyProtection="1">
      <alignment horizontal="centerContinuous"/>
    </xf>
    <xf numFmtId="0" fontId="39" fillId="0" borderId="14" xfId="0" applyFont="1" applyFill="1" applyBorder="1" applyAlignment="1" applyProtection="1">
      <alignment horizontal="centerContinuous" vertical="center"/>
    </xf>
    <xf numFmtId="0" fontId="39" fillId="0" borderId="18" xfId="0" applyFont="1" applyFill="1" applyBorder="1" applyAlignment="1" applyProtection="1"/>
    <xf numFmtId="0" fontId="39" fillId="0" borderId="167" xfId="0" applyFont="1" applyFill="1" applyBorder="1" applyAlignment="1" applyProtection="1"/>
    <xf numFmtId="0" fontId="40" fillId="0" borderId="156" xfId="0" applyFont="1" applyFill="1" applyBorder="1" applyAlignment="1" applyProtection="1"/>
    <xf numFmtId="0" fontId="39" fillId="0" borderId="62" xfId="0" applyFont="1" applyFill="1" applyBorder="1" applyAlignment="1" applyProtection="1">
      <alignment horizontal="center"/>
    </xf>
    <xf numFmtId="2" fontId="39" fillId="0" borderId="10" xfId="0" applyNumberFormat="1" applyFont="1" applyFill="1" applyBorder="1" applyAlignment="1" applyProtection="1"/>
    <xf numFmtId="0" fontId="39" fillId="0" borderId="159" xfId="0" applyFont="1" applyFill="1" applyBorder="1" applyAlignment="1" applyProtection="1"/>
    <xf numFmtId="0" fontId="39" fillId="0" borderId="60" xfId="0" quotePrefix="1" applyFont="1" applyFill="1" applyBorder="1" applyAlignment="1" applyProtection="1">
      <alignment horizontal="center"/>
    </xf>
    <xf numFmtId="2" fontId="39" fillId="0" borderId="170" xfId="0" applyNumberFormat="1" applyFont="1" applyFill="1" applyBorder="1" applyAlignment="1" applyProtection="1">
      <alignment horizontal="center"/>
    </xf>
    <xf numFmtId="2" fontId="39" fillId="0" borderId="171" xfId="0" applyNumberFormat="1" applyFont="1" applyFill="1" applyBorder="1" applyAlignment="1" applyProtection="1">
      <alignment horizontal="center"/>
    </xf>
    <xf numFmtId="0" fontId="39" fillId="0" borderId="23" xfId="0" applyFont="1" applyFill="1" applyBorder="1" applyAlignment="1" applyProtection="1"/>
    <xf numFmtId="0" fontId="39" fillId="0" borderId="24" xfId="0" applyFont="1" applyFill="1" applyBorder="1" applyAlignment="1" applyProtection="1">
      <alignment horizontal="center"/>
    </xf>
    <xf numFmtId="0" fontId="39" fillId="0" borderId="13" xfId="0" applyFont="1" applyFill="1" applyBorder="1" applyAlignment="1" applyProtection="1">
      <alignment horizontal="centerContinuous" vertical="center"/>
    </xf>
    <xf numFmtId="0" fontId="39" fillId="0" borderId="17" xfId="0" applyFont="1" applyFill="1" applyBorder="1" applyAlignment="1" applyProtection="1">
      <alignment horizontal="centerContinuous" wrapText="1"/>
    </xf>
    <xf numFmtId="0" fontId="70" fillId="0" borderId="0" xfId="0" applyFont="1" applyBorder="1">
      <alignment vertical="center"/>
    </xf>
    <xf numFmtId="0" fontId="66" fillId="0" borderId="71" xfId="0" applyFont="1" applyFill="1" applyBorder="1" applyAlignment="1" applyProtection="1">
      <alignment horizontal="right"/>
    </xf>
    <xf numFmtId="0" fontId="47" fillId="0" borderId="71" xfId="0" applyFont="1" applyFill="1" applyBorder="1" applyAlignment="1" applyProtection="1">
      <alignment horizontal="right"/>
    </xf>
    <xf numFmtId="0" fontId="40" fillId="0" borderId="53" xfId="0" applyFont="1" applyFill="1" applyBorder="1" applyProtection="1">
      <alignment vertical="center"/>
    </xf>
    <xf numFmtId="0" fontId="47" fillId="0" borderId="7" xfId="0" applyFont="1" applyFill="1" applyBorder="1" applyProtection="1">
      <alignment vertical="center"/>
    </xf>
    <xf numFmtId="0" fontId="40" fillId="0" borderId="64" xfId="0" applyFont="1" applyFill="1" applyBorder="1" applyAlignment="1" applyProtection="1">
      <alignment horizontal="centerContinuous" vertical="center"/>
    </xf>
    <xf numFmtId="0" fontId="0" fillId="0" borderId="19" xfId="0" applyBorder="1" applyAlignment="1" applyProtection="1"/>
    <xf numFmtId="0" fontId="0" fillId="0" borderId="17" xfId="0" applyBorder="1" applyProtection="1">
      <alignment vertical="center"/>
    </xf>
    <xf numFmtId="0" fontId="29" fillId="0" borderId="0" xfId="0" applyFont="1" applyFill="1" applyBorder="1" applyAlignment="1" applyProtection="1">
      <alignment horizontal="centerContinuous"/>
    </xf>
    <xf numFmtId="0" fontId="27" fillId="0" borderId="0" xfId="0" applyFont="1" applyFill="1" applyBorder="1" applyAlignment="1" applyProtection="1">
      <alignment horizontal="center"/>
    </xf>
    <xf numFmtId="0" fontId="27" fillId="0" borderId="0" xfId="0" applyFont="1" applyFill="1" applyBorder="1" applyAlignment="1" applyProtection="1">
      <alignment horizontal="centerContinuous"/>
    </xf>
    <xf numFmtId="0" fontId="107" fillId="0" borderId="0" xfId="0" applyFont="1" applyBorder="1" applyAlignment="1">
      <alignment horizontal="center"/>
    </xf>
    <xf numFmtId="0" fontId="66" fillId="0" borderId="66" xfId="0" applyFont="1" applyFill="1" applyBorder="1" applyAlignment="1" applyProtection="1">
      <alignment horizontal="centerContinuous" vertical="center"/>
    </xf>
    <xf numFmtId="0" fontId="74" fillId="0" borderId="0" xfId="0" applyFont="1" applyBorder="1" applyProtection="1">
      <alignment vertical="center"/>
    </xf>
    <xf numFmtId="0" fontId="74" fillId="0" borderId="0" xfId="0" applyFont="1" applyBorder="1" applyAlignment="1" applyProtection="1">
      <alignment horizontal="center"/>
    </xf>
    <xf numFmtId="0" fontId="93" fillId="0" borderId="0" xfId="0" applyFont="1" applyBorder="1" applyAlignment="1" applyProtection="1">
      <alignment horizontal="centerContinuous"/>
    </xf>
    <xf numFmtId="0" fontId="74" fillId="0" borderId="0" xfId="0" applyFont="1" applyBorder="1" applyAlignment="1" applyProtection="1">
      <alignment horizontal="centerContinuous"/>
    </xf>
    <xf numFmtId="0" fontId="30" fillId="0" borderId="0" xfId="0" applyFont="1" applyBorder="1" applyProtection="1">
      <alignment vertical="center"/>
    </xf>
    <xf numFmtId="1" fontId="87" fillId="0" borderId="0" xfId="0" applyNumberFormat="1" applyFont="1" applyBorder="1" applyAlignment="1" applyProtection="1">
      <alignment horizontal="center"/>
    </xf>
    <xf numFmtId="1" fontId="87"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85" fillId="0" borderId="0" xfId="0" applyFont="1" applyFill="1" applyBorder="1" applyAlignment="1" applyProtection="1">
      <alignment horizontal="centerContinuous" vertical="top"/>
    </xf>
    <xf numFmtId="0" fontId="85" fillId="0" borderId="0" xfId="0" applyFont="1" applyFill="1" applyBorder="1" applyAlignment="1" applyProtection="1">
      <alignment horizontal="centerContinuous" vertical="center"/>
    </xf>
    <xf numFmtId="1" fontId="87" fillId="0" borderId="0" xfId="0" applyNumberFormat="1" applyFont="1" applyFill="1" applyBorder="1" applyAlignment="1" applyProtection="1">
      <alignment horizontal="center"/>
    </xf>
    <xf numFmtId="0" fontId="0" fillId="0" borderId="0" xfId="0" applyBorder="1" applyAlignment="1">
      <alignment horizontal="center" vertical="center"/>
    </xf>
    <xf numFmtId="0" fontId="87" fillId="0" borderId="0" xfId="0" applyFont="1" applyFill="1" applyBorder="1" applyAlignment="1" applyProtection="1">
      <alignment horizontal="center"/>
    </xf>
    <xf numFmtId="0" fontId="85" fillId="0" borderId="0" xfId="0" applyFont="1" applyFill="1" applyBorder="1" applyAlignment="1" applyProtection="1">
      <alignment horizontal="center"/>
    </xf>
    <xf numFmtId="172" fontId="85" fillId="0" borderId="0" xfId="0" applyNumberFormat="1" applyFont="1" applyFill="1" applyBorder="1" applyAlignment="1" applyProtection="1">
      <alignment horizontal="center"/>
    </xf>
    <xf numFmtId="172" fontId="92" fillId="0" borderId="0" xfId="0" applyNumberFormat="1" applyFont="1" applyFill="1" applyBorder="1" applyAlignment="1" applyProtection="1">
      <alignment horizontal="center"/>
    </xf>
    <xf numFmtId="172" fontId="92" fillId="0" borderId="0" xfId="0" applyNumberFormat="1" applyFont="1" applyBorder="1" applyAlignment="1">
      <alignment horizontal="center"/>
    </xf>
    <xf numFmtId="196" fontId="27" fillId="2" borderId="51" xfId="0" applyNumberFormat="1" applyFont="1" applyFill="1" applyBorder="1" applyProtection="1">
      <alignment vertical="center"/>
      <protection locked="0"/>
    </xf>
    <xf numFmtId="196" fontId="110" fillId="0" borderId="0" xfId="0" applyNumberFormat="1" applyFont="1" applyProtection="1">
      <alignment vertical="center"/>
    </xf>
    <xf numFmtId="196" fontId="27" fillId="2" borderId="47" xfId="0" applyNumberFormat="1" applyFont="1" applyFill="1" applyBorder="1" applyProtection="1">
      <alignment vertical="center"/>
      <protection locked="0"/>
    </xf>
    <xf numFmtId="196" fontId="27" fillId="2" borderId="81" xfId="0" applyNumberFormat="1" applyFont="1" applyFill="1" applyBorder="1" applyProtection="1">
      <alignment vertical="center"/>
      <protection locked="0"/>
    </xf>
    <xf numFmtId="196" fontId="27" fillId="2" borderId="127" xfId="0" applyNumberFormat="1" applyFont="1" applyFill="1" applyBorder="1" applyProtection="1">
      <alignment vertical="center"/>
      <protection locked="0"/>
    </xf>
    <xf numFmtId="196" fontId="27" fillId="2" borderId="129" xfId="0" applyNumberFormat="1" applyFont="1" applyFill="1" applyBorder="1" applyProtection="1">
      <alignment vertical="center"/>
      <protection locked="0"/>
    </xf>
    <xf numFmtId="196" fontId="27" fillId="2" borderId="91" xfId="0" applyNumberFormat="1" applyFont="1" applyFill="1" applyBorder="1" applyProtection="1">
      <alignment vertical="center"/>
      <protection locked="0"/>
    </xf>
    <xf numFmtId="1" fontId="111" fillId="0" borderId="0" xfId="0" applyNumberFormat="1" applyFont="1" applyBorder="1" applyProtection="1">
      <alignment vertical="center"/>
    </xf>
    <xf numFmtId="172" fontId="27" fillId="0" borderId="0" xfId="0" quotePrefix="1" applyNumberFormat="1" applyFont="1" applyAlignment="1">
      <alignment horizontal="right"/>
    </xf>
    <xf numFmtId="0" fontId="70" fillId="0" borderId="13" xfId="0" applyFont="1" applyBorder="1">
      <alignment vertical="center"/>
    </xf>
    <xf numFmtId="0" fontId="71" fillId="0" borderId="18" xfId="0" applyFont="1" applyFill="1" applyBorder="1" applyAlignment="1" applyProtection="1"/>
    <xf numFmtId="174" fontId="40" fillId="2" borderId="121" xfId="0" applyNumberFormat="1" applyFont="1" applyFill="1" applyBorder="1" applyAlignment="1" applyProtection="1">
      <alignment horizontal="center"/>
      <protection locked="0"/>
    </xf>
    <xf numFmtId="187" fontId="40" fillId="0" borderId="121" xfId="0" applyNumberFormat="1" applyFont="1" applyBorder="1" applyAlignment="1">
      <alignment horizontal="center"/>
    </xf>
    <xf numFmtId="0" fontId="0" fillId="0" borderId="18" xfId="0" applyBorder="1">
      <alignment vertical="center"/>
    </xf>
    <xf numFmtId="0" fontId="70" fillId="0" borderId="22" xfId="0" applyFont="1" applyBorder="1">
      <alignment vertical="center"/>
    </xf>
    <xf numFmtId="0" fontId="40" fillId="0" borderId="5" xfId="0" applyFont="1" applyBorder="1">
      <alignment vertical="center"/>
    </xf>
    <xf numFmtId="0" fontId="40" fillId="0" borderId="4" xfId="0" applyFont="1" applyBorder="1">
      <alignment vertical="center"/>
    </xf>
    <xf numFmtId="0" fontId="40" fillId="0" borderId="71" xfId="0" applyFont="1" applyBorder="1">
      <alignment vertical="center"/>
    </xf>
    <xf numFmtId="0" fontId="26" fillId="8" borderId="0" xfId="0" applyFont="1" applyFill="1" applyProtection="1">
      <alignment vertical="center"/>
    </xf>
    <xf numFmtId="196" fontId="27" fillId="0" borderId="0" xfId="0" applyNumberFormat="1" applyFont="1" applyBorder="1" applyProtection="1">
      <alignment vertical="center"/>
    </xf>
    <xf numFmtId="0" fontId="73" fillId="0" borderId="0" xfId="0" applyFont="1" applyAlignment="1" applyProtection="1">
      <alignment horizontal="right" vertical="center"/>
    </xf>
    <xf numFmtId="196" fontId="27" fillId="0" borderId="51" xfId="0" applyNumberFormat="1" applyFont="1" applyBorder="1" applyAlignment="1" applyProtection="1">
      <alignment horizontal="center" vertical="center"/>
    </xf>
    <xf numFmtId="197" fontId="27" fillId="0" borderId="51" xfId="0" applyNumberFormat="1" applyFont="1" applyBorder="1" applyProtection="1">
      <alignment vertical="center"/>
    </xf>
    <xf numFmtId="0" fontId="40" fillId="2" borderId="91" xfId="0" applyFont="1" applyFill="1" applyBorder="1" applyAlignment="1" applyProtection="1"/>
    <xf numFmtId="0" fontId="40" fillId="2" borderId="19" xfId="0" applyFont="1" applyFill="1" applyBorder="1" applyAlignment="1" applyProtection="1">
      <protection locked="0"/>
    </xf>
    <xf numFmtId="0" fontId="40" fillId="2" borderId="0" xfId="0" applyFont="1" applyFill="1" applyBorder="1" applyAlignment="1" applyProtection="1"/>
    <xf numFmtId="2" fontId="40" fillId="2" borderId="19" xfId="0" applyNumberFormat="1" applyFont="1" applyFill="1" applyBorder="1" applyAlignment="1" applyProtection="1">
      <alignment horizontal="center"/>
      <protection locked="0"/>
    </xf>
    <xf numFmtId="0" fontId="40" fillId="0" borderId="52" xfId="0" applyFont="1" applyFill="1" applyBorder="1" applyAlignment="1" applyProtection="1">
      <alignment horizontal="center"/>
    </xf>
    <xf numFmtId="0" fontId="113" fillId="0" borderId="0" xfId="0" applyFont="1" applyAlignment="1">
      <alignment horizontal="right"/>
    </xf>
    <xf numFmtId="1" fontId="114" fillId="0" borderId="0" xfId="0" applyNumberFormat="1" applyFont="1" applyFill="1" applyBorder="1" applyAlignment="1" applyProtection="1">
      <alignment horizontal="left"/>
    </xf>
    <xf numFmtId="0" fontId="113" fillId="0" borderId="0" xfId="0" applyFont="1" applyAlignment="1">
      <alignment horizontal="left"/>
    </xf>
    <xf numFmtId="2" fontId="27" fillId="0" borderId="15" xfId="0" applyNumberFormat="1" applyFont="1" applyFill="1" applyBorder="1" applyAlignment="1" applyProtection="1">
      <alignment horizontal="center" vertical="center" wrapText="1"/>
    </xf>
    <xf numFmtId="1" fontId="40" fillId="2" borderId="84" xfId="0" applyNumberFormat="1" applyFont="1" applyFill="1" applyBorder="1" applyAlignment="1" applyProtection="1">
      <alignment horizontal="center"/>
      <protection locked="0"/>
    </xf>
    <xf numFmtId="1" fontId="40" fillId="2" borderId="86" xfId="0" applyNumberFormat="1" applyFont="1" applyFill="1" applyBorder="1" applyAlignment="1" applyProtection="1">
      <alignment horizontal="center"/>
      <protection locked="0"/>
    </xf>
    <xf numFmtId="1" fontId="40" fillId="0" borderId="84" xfId="0" applyNumberFormat="1" applyFont="1" applyFill="1" applyBorder="1" applyAlignment="1" applyProtection="1">
      <alignment horizontal="center"/>
    </xf>
    <xf numFmtId="1" fontId="40" fillId="0" borderId="86" xfId="0" applyNumberFormat="1" applyFont="1" applyFill="1" applyBorder="1" applyAlignment="1" applyProtection="1">
      <alignment horizontal="center"/>
    </xf>
    <xf numFmtId="1" fontId="40" fillId="0" borderId="87" xfId="0" applyNumberFormat="1" applyFont="1" applyFill="1" applyBorder="1" applyAlignment="1" applyProtection="1">
      <alignment horizontal="center"/>
    </xf>
    <xf numFmtId="173" fontId="39" fillId="0" borderId="52" xfId="0" applyNumberFormat="1" applyFont="1" applyFill="1" applyBorder="1" applyAlignment="1" applyProtection="1">
      <alignment horizontal="centerContinuous" vertical="center"/>
    </xf>
    <xf numFmtId="173" fontId="39" fillId="0" borderId="51" xfId="0" applyNumberFormat="1" applyFont="1" applyFill="1" applyBorder="1" applyAlignment="1" applyProtection="1">
      <alignment horizontal="centerContinuous" vertical="center"/>
    </xf>
    <xf numFmtId="174" fontId="39" fillId="0" borderId="51" xfId="0" applyNumberFormat="1" applyFont="1" applyFill="1" applyBorder="1" applyAlignment="1" applyProtection="1">
      <alignment horizontal="centerContinuous" vertical="center"/>
    </xf>
    <xf numFmtId="201" fontId="39" fillId="0" borderId="64" xfId="0" applyNumberFormat="1" applyFont="1" applyFill="1" applyBorder="1" applyAlignment="1" applyProtection="1">
      <alignment horizontal="center" vertical="center"/>
    </xf>
    <xf numFmtId="0" fontId="116" fillId="0" borderId="0" xfId="0" applyFont="1">
      <alignment vertical="center"/>
    </xf>
    <xf numFmtId="172" fontId="59" fillId="4" borderId="154" xfId="0" applyNumberFormat="1" applyFont="1" applyFill="1" applyBorder="1" applyAlignment="1" applyProtection="1">
      <alignment horizontal="center"/>
    </xf>
    <xf numFmtId="172" fontId="59" fillId="4" borderId="90" xfId="0" applyNumberFormat="1" applyFont="1" applyFill="1" applyBorder="1" applyAlignment="1" applyProtection="1">
      <alignment horizontal="center"/>
    </xf>
    <xf numFmtId="172" fontId="59" fillId="4" borderId="96" xfId="0" applyNumberFormat="1" applyFont="1" applyFill="1" applyBorder="1" applyAlignment="1" applyProtection="1">
      <alignment horizontal="center"/>
    </xf>
    <xf numFmtId="172" fontId="40" fillId="2" borderId="50" xfId="0" applyNumberFormat="1" applyFont="1" applyFill="1" applyBorder="1" applyAlignment="1" applyProtection="1">
      <alignment horizontal="center"/>
      <protection locked="0"/>
    </xf>
    <xf numFmtId="172" fontId="40" fillId="2" borderId="98" xfId="0" applyNumberFormat="1" applyFont="1" applyFill="1" applyBorder="1" applyAlignment="1" applyProtection="1">
      <alignment horizontal="center"/>
      <protection locked="0"/>
    </xf>
    <xf numFmtId="172" fontId="40" fillId="2" borderId="9" xfId="0" applyNumberFormat="1" applyFont="1" applyFill="1" applyBorder="1" applyAlignment="1" applyProtection="1">
      <alignment horizontal="center"/>
      <protection locked="0"/>
    </xf>
    <xf numFmtId="172" fontId="40" fillId="2" borderId="144" xfId="0" applyNumberFormat="1" applyFont="1" applyFill="1" applyBorder="1" applyAlignment="1" applyProtection="1">
      <alignment horizontal="center"/>
      <protection locked="0"/>
    </xf>
    <xf numFmtId="172" fontId="40" fillId="2" borderId="105" xfId="0" applyNumberFormat="1" applyFont="1" applyFill="1" applyBorder="1" applyAlignment="1" applyProtection="1">
      <alignment horizontal="center"/>
      <protection locked="0"/>
    </xf>
    <xf numFmtId="172" fontId="40" fillId="2" borderId="8" xfId="0" applyNumberFormat="1" applyFont="1" applyFill="1" applyBorder="1" applyAlignment="1" applyProtection="1">
      <alignment horizontal="center"/>
      <protection locked="0"/>
    </xf>
    <xf numFmtId="172" fontId="40" fillId="2" borderId="172" xfId="0" applyNumberFormat="1" applyFont="1" applyFill="1" applyBorder="1" applyAlignment="1" applyProtection="1">
      <alignment horizontal="center"/>
      <protection locked="0"/>
    </xf>
    <xf numFmtId="172" fontId="40" fillId="2" borderId="93" xfId="0" applyNumberFormat="1" applyFont="1" applyFill="1" applyBorder="1" applyAlignment="1" applyProtection="1">
      <alignment horizontal="center"/>
      <protection locked="0"/>
    </xf>
    <xf numFmtId="172" fontId="40" fillId="2" borderId="116" xfId="0" applyNumberFormat="1" applyFont="1" applyFill="1" applyBorder="1" applyAlignment="1" applyProtection="1">
      <alignment horizontal="center"/>
      <protection locked="0"/>
    </xf>
    <xf numFmtId="172" fontId="40" fillId="2" borderId="118" xfId="0" applyNumberFormat="1" applyFont="1" applyFill="1" applyBorder="1" applyAlignment="1" applyProtection="1">
      <alignment horizontal="center"/>
      <protection locked="0"/>
    </xf>
    <xf numFmtId="172" fontId="40" fillId="2" borderId="72" xfId="0" applyNumberFormat="1" applyFont="1" applyFill="1" applyBorder="1" applyAlignment="1" applyProtection="1">
      <alignment horizontal="center"/>
      <protection locked="0"/>
    </xf>
    <xf numFmtId="172" fontId="40" fillId="2" borderId="73" xfId="0" applyNumberFormat="1" applyFont="1" applyFill="1" applyBorder="1" applyAlignment="1" applyProtection="1">
      <alignment horizontal="center"/>
      <protection locked="0"/>
    </xf>
    <xf numFmtId="0" fontId="40" fillId="0" borderId="173" xfId="0" applyFont="1" applyFill="1" applyBorder="1" applyAlignment="1" applyProtection="1">
      <alignment horizontal="center"/>
    </xf>
    <xf numFmtId="0" fontId="40" fillId="0" borderId="111" xfId="0" applyFont="1" applyFill="1" applyBorder="1" applyAlignment="1" applyProtection="1">
      <alignment horizontal="center"/>
    </xf>
    <xf numFmtId="0" fontId="40" fillId="0" borderId="94" xfId="0" applyFont="1" applyFill="1" applyBorder="1" applyAlignment="1" applyProtection="1">
      <alignment horizontal="center"/>
    </xf>
    <xf numFmtId="0" fontId="117" fillId="0" borderId="0" xfId="0" applyFont="1">
      <alignment vertical="center"/>
    </xf>
    <xf numFmtId="0" fontId="118" fillId="0" borderId="0" xfId="0" applyFont="1">
      <alignment vertical="center"/>
    </xf>
    <xf numFmtId="0" fontId="119" fillId="0" borderId="0" xfId="0" applyFont="1">
      <alignment vertical="center"/>
    </xf>
    <xf numFmtId="1" fontId="29" fillId="0" borderId="36" xfId="0" applyNumberFormat="1" applyFont="1" applyFill="1" applyBorder="1" applyAlignment="1" applyProtection="1">
      <alignment horizontal="right"/>
    </xf>
    <xf numFmtId="0" fontId="28" fillId="0" borderId="36" xfId="0" applyFont="1" applyFill="1" applyBorder="1" applyAlignment="1" applyProtection="1">
      <alignment horizontal="right"/>
    </xf>
    <xf numFmtId="1" fontId="28" fillId="0" borderId="36" xfId="0" applyNumberFormat="1" applyFont="1" applyFill="1" applyBorder="1" applyAlignment="1" applyProtection="1"/>
    <xf numFmtId="0" fontId="29" fillId="0" borderId="36" xfId="0" applyFont="1" applyFill="1" applyBorder="1" applyAlignment="1" applyProtection="1">
      <alignment horizontal="left"/>
    </xf>
    <xf numFmtId="0" fontId="29" fillId="0" borderId="36" xfId="0" applyFont="1" applyFill="1" applyBorder="1" applyAlignment="1" applyProtection="1"/>
    <xf numFmtId="0" fontId="29" fillId="0" borderId="36" xfId="0" applyFont="1" applyFill="1" applyBorder="1" applyAlignment="1" applyProtection="1">
      <alignment horizontal="right"/>
    </xf>
    <xf numFmtId="9" fontId="29" fillId="0" borderId="36" xfId="0" applyNumberFormat="1" applyFont="1" applyFill="1" applyBorder="1" applyAlignment="1" applyProtection="1">
      <alignment horizontal="right"/>
    </xf>
    <xf numFmtId="170" fontId="28" fillId="0" borderId="36" xfId="0" applyNumberFormat="1" applyFont="1" applyFill="1" applyBorder="1" applyAlignment="1" applyProtection="1">
      <alignment horizontal="left"/>
    </xf>
    <xf numFmtId="170" fontId="29" fillId="0" borderId="36" xfId="0" applyNumberFormat="1" applyFont="1" applyFill="1" applyBorder="1" applyAlignment="1" applyProtection="1">
      <alignment horizontal="right"/>
    </xf>
    <xf numFmtId="170" fontId="28" fillId="0" borderId="36" xfId="0" applyNumberFormat="1" applyFont="1" applyFill="1" applyBorder="1" applyAlignment="1" applyProtection="1">
      <alignment horizontal="right"/>
    </xf>
    <xf numFmtId="0" fontId="0" fillId="0" borderId="36" xfId="0" applyBorder="1">
      <alignment vertical="center"/>
    </xf>
    <xf numFmtId="1" fontId="28" fillId="0" borderId="49" xfId="0" applyNumberFormat="1" applyFont="1" applyFill="1" applyBorder="1" applyAlignment="1" applyProtection="1">
      <alignment horizontal="right"/>
    </xf>
    <xf numFmtId="0" fontId="29" fillId="0" borderId="36" xfId="0" applyFont="1" applyBorder="1" applyAlignment="1" applyProtection="1">
      <alignment horizontal="left"/>
    </xf>
    <xf numFmtId="0" fontId="29" fillId="0" borderId="36" xfId="0" applyFont="1" applyBorder="1" applyProtection="1">
      <alignment vertical="center"/>
    </xf>
    <xf numFmtId="0" fontId="29" fillId="0" borderId="36" xfId="0" applyFont="1" applyBorder="1" applyAlignment="1" applyProtection="1">
      <alignment horizontal="right"/>
    </xf>
    <xf numFmtId="0" fontId="28" fillId="0" borderId="36" xfId="0" applyFont="1" applyFill="1" applyBorder="1" applyProtection="1">
      <alignment vertical="center"/>
    </xf>
    <xf numFmtId="0" fontId="29" fillId="0" borderId="36" xfId="0" applyFont="1" applyFill="1" applyBorder="1" applyProtection="1">
      <alignment vertical="center"/>
    </xf>
    <xf numFmtId="0" fontId="29" fillId="0" borderId="0" xfId="0" applyFont="1" applyAlignment="1">
      <alignment horizontal="right"/>
    </xf>
    <xf numFmtId="14" fontId="0" fillId="0" borderId="0" xfId="0" applyNumberFormat="1" applyAlignment="1">
      <alignment horizontal="right"/>
    </xf>
    <xf numFmtId="0" fontId="28" fillId="3" borderId="0" xfId="0" applyFont="1" applyFill="1" applyBorder="1" applyProtection="1">
      <alignment vertical="center"/>
    </xf>
    <xf numFmtId="195" fontId="26" fillId="0" borderId="54" xfId="0" applyNumberFormat="1" applyFont="1" applyBorder="1" applyAlignment="1" applyProtection="1">
      <alignment horizontal="center" vertical="center"/>
    </xf>
    <xf numFmtId="195" fontId="29" fillId="0" borderId="64" xfId="0" applyNumberFormat="1" applyFont="1" applyBorder="1" applyAlignment="1" applyProtection="1">
      <alignment horizontal="center" vertical="center"/>
    </xf>
    <xf numFmtId="0" fontId="28" fillId="3" borderId="4" xfId="0" applyFont="1" applyFill="1" applyBorder="1" applyProtection="1">
      <alignment vertical="center"/>
    </xf>
    <xf numFmtId="0" fontId="28" fillId="3" borderId="30" xfId="0" applyFont="1" applyFill="1" applyBorder="1" applyProtection="1">
      <alignment vertical="center"/>
    </xf>
    <xf numFmtId="195" fontId="26" fillId="0" borderId="66" xfId="0" applyNumberFormat="1" applyFont="1" applyBorder="1" applyAlignment="1" applyProtection="1">
      <alignment horizontal="center" vertical="center"/>
    </xf>
    <xf numFmtId="195" fontId="26" fillId="0" borderId="55" xfId="0" applyNumberFormat="1" applyFont="1" applyBorder="1" applyAlignment="1" applyProtection="1">
      <alignment horizontal="center" vertical="center"/>
    </xf>
    <xf numFmtId="0" fontId="26" fillId="0" borderId="51" xfId="0" applyFont="1" applyBorder="1" applyAlignment="1" applyProtection="1">
      <alignment horizontal="centerContinuous" vertical="center"/>
    </xf>
    <xf numFmtId="198" fontId="28" fillId="0" borderId="0" xfId="0" applyNumberFormat="1" applyFont="1" applyBorder="1" applyAlignment="1" applyProtection="1">
      <alignment horizontal="right" vertical="center"/>
    </xf>
    <xf numFmtId="198" fontId="28" fillId="0" borderId="0" xfId="0" applyNumberFormat="1" applyFont="1" applyBorder="1" applyProtection="1">
      <alignment vertical="center"/>
    </xf>
    <xf numFmtId="0" fontId="29" fillId="8" borderId="0" xfId="0" applyFont="1" applyFill="1" applyAlignment="1" applyProtection="1">
      <alignment horizontal="right" vertical="center"/>
    </xf>
    <xf numFmtId="196" fontId="29" fillId="0" borderId="52" xfId="0" applyNumberFormat="1" applyFont="1" applyBorder="1" applyAlignment="1" applyProtection="1">
      <alignment horizontal="center" vertical="center"/>
    </xf>
    <xf numFmtId="0" fontId="0" fillId="0" borderId="53" xfId="0" applyBorder="1" applyAlignment="1">
      <alignment horizontal="center" vertical="center"/>
    </xf>
    <xf numFmtId="196" fontId="29" fillId="0" borderId="0" xfId="0" applyNumberFormat="1" applyFont="1" applyBorder="1" applyAlignment="1" applyProtection="1">
      <alignment horizontal="center" vertical="center"/>
    </xf>
    <xf numFmtId="1" fontId="28" fillId="0" borderId="36" xfId="0" applyNumberFormat="1" applyFont="1" applyFill="1" applyBorder="1" applyAlignment="1" applyProtection="1">
      <alignment horizontal="right" vertical="center"/>
    </xf>
    <xf numFmtId="1" fontId="28" fillId="0" borderId="36" xfId="0" applyNumberFormat="1" applyFont="1" applyFill="1" applyBorder="1" applyAlignment="1" applyProtection="1">
      <alignment horizontal="left" vertical="center"/>
    </xf>
    <xf numFmtId="0" fontId="39" fillId="0" borderId="64" xfId="0" applyFont="1" applyFill="1" applyBorder="1" applyProtection="1">
      <alignment vertical="center"/>
    </xf>
    <xf numFmtId="0" fontId="0" fillId="0" borderId="5" xfId="0" applyBorder="1">
      <alignment vertical="center"/>
    </xf>
    <xf numFmtId="0" fontId="0" fillId="0" borderId="7" xfId="0" applyBorder="1">
      <alignment vertical="center"/>
    </xf>
    <xf numFmtId="165" fontId="28" fillId="0" borderId="2" xfId="0" applyNumberFormat="1" applyFont="1" applyFill="1" applyBorder="1" applyAlignment="1" applyProtection="1"/>
    <xf numFmtId="0" fontId="29" fillId="0" borderId="36" xfId="0" applyFont="1" applyFill="1" applyBorder="1" applyAlignment="1" applyProtection="1">
      <alignment horizontal="right" vertical="center"/>
    </xf>
    <xf numFmtId="0" fontId="28" fillId="0" borderId="10" xfId="0" applyFont="1" applyFill="1" applyBorder="1" applyAlignment="1" applyProtection="1">
      <alignment horizontal="right" vertical="center"/>
    </xf>
    <xf numFmtId="0" fontId="33" fillId="0" borderId="0" xfId="0" applyFont="1" applyFill="1" applyBorder="1" applyAlignment="1" applyProtection="1">
      <alignment horizontal="right" vertical="center"/>
    </xf>
    <xf numFmtId="1" fontId="28" fillId="0" borderId="36" xfId="0" applyNumberFormat="1" applyFont="1" applyFill="1" applyBorder="1" applyProtection="1">
      <alignment vertical="center"/>
    </xf>
    <xf numFmtId="0" fontId="38" fillId="0" borderId="33" xfId="0" applyFont="1" applyFill="1" applyBorder="1" applyAlignment="1" applyProtection="1">
      <alignment vertical="center" wrapText="1"/>
    </xf>
    <xf numFmtId="0" fontId="38" fillId="8" borderId="0" xfId="0" applyFont="1" applyFill="1" applyBorder="1" applyAlignment="1" applyProtection="1"/>
    <xf numFmtId="0" fontId="29" fillId="0" borderId="0" xfId="0" applyFont="1" applyBorder="1" applyAlignment="1"/>
    <xf numFmtId="0" fontId="36" fillId="2" borderId="11" xfId="0" applyFont="1" applyFill="1" applyBorder="1" applyAlignment="1" applyProtection="1">
      <alignment horizontal="right"/>
      <protection locked="0"/>
    </xf>
    <xf numFmtId="0" fontId="118" fillId="0" borderId="0" xfId="0" applyFont="1" applyProtection="1">
      <alignment vertical="center"/>
      <protection locked="0"/>
    </xf>
    <xf numFmtId="2" fontId="28" fillId="2" borderId="11" xfId="0" applyNumberFormat="1" applyFont="1" applyFill="1" applyBorder="1" applyAlignment="1" applyProtection="1">
      <alignment horizontal="right"/>
      <protection locked="0"/>
    </xf>
    <xf numFmtId="0" fontId="29" fillId="0" borderId="4" xfId="0" applyFont="1" applyFill="1" applyBorder="1" applyAlignment="1" applyProtection="1">
      <alignment horizontal="left"/>
    </xf>
    <xf numFmtId="0" fontId="27" fillId="0" borderId="0" xfId="0" applyFont="1" applyFill="1" applyBorder="1" applyAlignment="1" applyProtection="1">
      <alignment horizontal="right"/>
    </xf>
    <xf numFmtId="2" fontId="28" fillId="0" borderId="11" xfId="0" applyNumberFormat="1" applyFont="1" applyFill="1" applyBorder="1" applyAlignment="1" applyProtection="1">
      <alignment horizontal="right" vertical="center"/>
    </xf>
    <xf numFmtId="0" fontId="26" fillId="0" borderId="0" xfId="0" applyFont="1" applyAlignment="1">
      <alignment horizontal="right"/>
    </xf>
    <xf numFmtId="0" fontId="0" fillId="0" borderId="0" xfId="0" applyBorder="1" applyAlignment="1" applyProtection="1">
      <alignment horizontal="left" wrapText="1"/>
    </xf>
    <xf numFmtId="3" fontId="28" fillId="0" borderId="30" xfId="0" applyNumberFormat="1" applyFont="1" applyBorder="1" applyProtection="1">
      <alignment vertical="center"/>
    </xf>
    <xf numFmtId="3" fontId="28" fillId="0" borderId="4" xfId="0" applyNumberFormat="1" applyFont="1" applyBorder="1" applyProtection="1">
      <alignment vertical="center"/>
    </xf>
    <xf numFmtId="1" fontId="28" fillId="0" borderId="4" xfId="0" applyNumberFormat="1" applyFont="1" applyFill="1" applyBorder="1" applyAlignment="1" applyProtection="1">
      <alignment horizontal="right"/>
    </xf>
    <xf numFmtId="3" fontId="28" fillId="0" borderId="11" xfId="0" applyNumberFormat="1" applyFont="1" applyBorder="1" applyAlignment="1" applyProtection="1">
      <alignment horizontal="right"/>
    </xf>
    <xf numFmtId="3" fontId="28" fillId="0" borderId="55" xfId="0" applyNumberFormat="1" applyFont="1" applyBorder="1" applyProtection="1">
      <alignment vertical="center"/>
    </xf>
    <xf numFmtId="0" fontId="61" fillId="0" borderId="0" xfId="0" applyFont="1" applyBorder="1" applyProtection="1">
      <alignment vertical="center"/>
    </xf>
    <xf numFmtId="0" fontId="61" fillId="0" borderId="30" xfId="0" applyFont="1" applyBorder="1" applyProtection="1">
      <alignment vertical="center"/>
    </xf>
    <xf numFmtId="0" fontId="28" fillId="0" borderId="33" xfId="0" applyFont="1" applyBorder="1" applyProtection="1">
      <alignment vertical="center"/>
    </xf>
    <xf numFmtId="3" fontId="28" fillId="0" borderId="30" xfId="0" applyNumberFormat="1" applyFont="1" applyBorder="1" applyAlignment="1" applyProtection="1"/>
    <xf numFmtId="1" fontId="28" fillId="0" borderId="30" xfId="0" applyNumberFormat="1" applyFont="1" applyFill="1" applyBorder="1" applyAlignment="1" applyProtection="1">
      <alignment horizontal="right"/>
    </xf>
    <xf numFmtId="3" fontId="28" fillId="0" borderId="33" xfId="0" applyNumberFormat="1" applyFont="1" applyBorder="1" applyAlignment="1" applyProtection="1">
      <alignment horizontal="center"/>
    </xf>
    <xf numFmtId="0" fontId="0" fillId="0" borderId="33" xfId="0" applyBorder="1" applyProtection="1">
      <alignment vertical="center"/>
    </xf>
    <xf numFmtId="3" fontId="28" fillId="0" borderId="45" xfId="0" applyNumberFormat="1" applyFont="1" applyBorder="1" applyAlignment="1" applyProtection="1">
      <alignment horizontal="right"/>
    </xf>
    <xf numFmtId="3" fontId="28" fillId="0" borderId="30" xfId="0" applyNumberFormat="1" applyFont="1" applyBorder="1" applyAlignment="1" applyProtection="1">
      <alignment horizontal="right"/>
    </xf>
    <xf numFmtId="3" fontId="39" fillId="0" borderId="30" xfId="0" applyNumberFormat="1" applyFont="1" applyBorder="1" applyAlignment="1" applyProtection="1">
      <alignment horizontal="right"/>
    </xf>
    <xf numFmtId="3" fontId="29" fillId="0" borderId="4" xfId="0" applyNumberFormat="1" applyFont="1" applyBorder="1" applyAlignment="1" applyProtection="1">
      <alignment horizontal="right"/>
    </xf>
    <xf numFmtId="3" fontId="28" fillId="0" borderId="45" xfId="0" applyNumberFormat="1" applyFont="1" applyBorder="1" applyAlignment="1" applyProtection="1">
      <alignment horizontal="right" vertical="center"/>
    </xf>
    <xf numFmtId="3" fontId="28" fillId="0" borderId="85" xfId="0" applyNumberFormat="1" applyFont="1" applyBorder="1" applyAlignment="1" applyProtection="1">
      <alignment horizontal="right"/>
    </xf>
    <xf numFmtId="0" fontId="39" fillId="0" borderId="0" xfId="0" applyFont="1" applyBorder="1" applyProtection="1">
      <alignment vertical="center"/>
      <protection locked="0"/>
    </xf>
    <xf numFmtId="2" fontId="28" fillId="0" borderId="30" xfId="0" applyNumberFormat="1" applyFont="1" applyFill="1" applyBorder="1" applyAlignment="1" applyProtection="1">
      <alignment horizontal="center"/>
    </xf>
    <xf numFmtId="0" fontId="32" fillId="0" borderId="30" xfId="0" applyFont="1" applyBorder="1" applyProtection="1">
      <alignment vertical="center"/>
    </xf>
    <xf numFmtId="0" fontId="39" fillId="0" borderId="61" xfId="0" applyFont="1" applyFill="1" applyBorder="1" applyAlignment="1" applyProtection="1">
      <alignment horizontal="center" vertical="center"/>
    </xf>
    <xf numFmtId="0" fontId="39" fillId="0" borderId="156" xfId="0" applyFont="1" applyFill="1" applyBorder="1" applyProtection="1">
      <alignment vertical="center"/>
    </xf>
    <xf numFmtId="0" fontId="39" fillId="0" borderId="167" xfId="0" applyFont="1" applyFill="1" applyBorder="1" applyProtection="1">
      <alignment vertical="center"/>
    </xf>
    <xf numFmtId="202" fontId="36" fillId="2" borderId="12" xfId="0" applyNumberFormat="1" applyFont="1" applyFill="1" applyBorder="1" applyAlignment="1" applyProtection="1">
      <alignment horizontal="left"/>
      <protection locked="0"/>
    </xf>
    <xf numFmtId="196" fontId="27" fillId="0" borderId="51" xfId="0" applyNumberFormat="1" applyFont="1" applyBorder="1" applyAlignment="1" applyProtection="1">
      <alignment vertical="center" shrinkToFit="1"/>
    </xf>
    <xf numFmtId="170" fontId="39" fillId="0" borderId="0" xfId="0" applyNumberFormat="1" applyFont="1" applyFill="1" applyBorder="1" applyAlignment="1" applyProtection="1">
      <alignment horizontal="center" vertical="center"/>
    </xf>
    <xf numFmtId="3" fontId="39" fillId="0" borderId="0" xfId="0" applyNumberFormat="1" applyFont="1">
      <alignment vertical="center"/>
    </xf>
    <xf numFmtId="203" fontId="36" fillId="2" borderId="11" xfId="0" applyNumberFormat="1" applyFont="1" applyFill="1" applyBorder="1" applyAlignment="1" applyProtection="1">
      <alignment horizontal="left"/>
      <protection locked="0"/>
    </xf>
    <xf numFmtId="0" fontId="42" fillId="0" borderId="0" xfId="0" applyFont="1">
      <alignment vertical="center"/>
    </xf>
    <xf numFmtId="0" fontId="81" fillId="0" borderId="10" xfId="0" applyFont="1" applyFill="1" applyBorder="1" applyAlignment="1" applyProtection="1">
      <alignment horizontal="left" vertical="top"/>
    </xf>
    <xf numFmtId="0" fontId="121" fillId="0" borderId="11" xfId="0" applyFont="1" applyFill="1" applyBorder="1" applyAlignment="1" applyProtection="1">
      <alignment horizontal="center" vertical="center" wrapText="1"/>
    </xf>
    <xf numFmtId="0" fontId="121" fillId="0" borderId="10" xfId="0" applyFont="1" applyFill="1" applyBorder="1" applyAlignment="1" applyProtection="1">
      <alignment horizontal="center" vertical="center"/>
    </xf>
    <xf numFmtId="14" fontId="28" fillId="0" borderId="0" xfId="0" applyNumberFormat="1" applyFont="1" applyFill="1" applyBorder="1" applyAlignment="1" applyProtection="1">
      <alignment horizontal="centerContinuous"/>
    </xf>
    <xf numFmtId="2" fontId="28" fillId="0" borderId="11" xfId="0" applyNumberFormat="1" applyFont="1" applyFill="1" applyBorder="1" applyAlignment="1" applyProtection="1">
      <alignment horizontal="right"/>
    </xf>
    <xf numFmtId="184" fontId="28" fillId="2" borderId="93" xfId="0" applyNumberFormat="1" applyFont="1" applyFill="1" applyBorder="1" applyAlignment="1" applyProtection="1">
      <alignment horizontal="right"/>
      <protection locked="0"/>
    </xf>
    <xf numFmtId="2" fontId="26" fillId="0" borderId="0" xfId="0" applyNumberFormat="1" applyFont="1" applyBorder="1" applyAlignment="1" applyProtection="1">
      <alignment horizontal="left"/>
    </xf>
    <xf numFmtId="9" fontId="28" fillId="0" borderId="0" xfId="0" applyNumberFormat="1" applyFont="1" applyFill="1" applyBorder="1" applyAlignment="1" applyProtection="1">
      <alignment horizontal="right"/>
    </xf>
    <xf numFmtId="195" fontId="28" fillId="0" borderId="82" xfId="0" applyNumberFormat="1" applyFont="1" applyFill="1" applyBorder="1" applyProtection="1">
      <alignment vertical="center"/>
    </xf>
    <xf numFmtId="197" fontId="28" fillId="0" borderId="54" xfId="0" applyNumberFormat="1" applyFont="1" applyFill="1" applyBorder="1" applyProtection="1">
      <alignment vertical="center"/>
    </xf>
    <xf numFmtId="195" fontId="29" fillId="0" borderId="7" xfId="0" applyNumberFormat="1" applyFont="1" applyFill="1" applyBorder="1" applyProtection="1">
      <alignment vertical="center"/>
    </xf>
    <xf numFmtId="0" fontId="29" fillId="0" borderId="30" xfId="0" applyFont="1" applyFill="1" applyBorder="1" applyProtection="1">
      <alignment vertical="center"/>
    </xf>
    <xf numFmtId="0" fontId="29" fillId="0" borderId="30" xfId="0" applyFont="1" applyFill="1" applyBorder="1" applyAlignment="1" applyProtection="1">
      <alignment horizontal="center" vertical="center"/>
    </xf>
    <xf numFmtId="1" fontId="29" fillId="0" borderId="30" xfId="0" applyNumberFormat="1" applyFont="1" applyFill="1" applyBorder="1" applyAlignment="1" applyProtection="1">
      <alignment horizontal="center"/>
    </xf>
    <xf numFmtId="172" fontId="29" fillId="0" borderId="30" xfId="0" applyNumberFormat="1" applyFont="1" applyFill="1" applyBorder="1" applyAlignment="1" applyProtection="1">
      <alignment horizontal="center" vertical="center"/>
    </xf>
    <xf numFmtId="197" fontId="29" fillId="0" borderId="30" xfId="0" applyNumberFormat="1" applyFont="1" applyFill="1" applyBorder="1" applyProtection="1">
      <alignment vertical="center"/>
    </xf>
    <xf numFmtId="197" fontId="28" fillId="0" borderId="71" xfId="0" applyNumberFormat="1" applyFont="1" applyBorder="1" applyAlignment="1" applyProtection="1">
      <alignment horizontal="right" vertical="center"/>
    </xf>
    <xf numFmtId="172" fontId="29" fillId="0" borderId="0" xfId="0" applyNumberFormat="1" applyFont="1" applyFill="1" applyBorder="1" applyProtection="1">
      <alignment vertical="center"/>
    </xf>
    <xf numFmtId="199" fontId="28" fillId="0" borderId="66" xfId="0" applyNumberFormat="1" applyFont="1" applyBorder="1" applyProtection="1">
      <alignment vertical="center"/>
    </xf>
    <xf numFmtId="172" fontId="29" fillId="0" borderId="30" xfId="0" applyNumberFormat="1" applyFont="1" applyFill="1" applyBorder="1" applyProtection="1">
      <alignment vertical="center"/>
    </xf>
    <xf numFmtId="198" fontId="28" fillId="0" borderId="4" xfId="0" applyNumberFormat="1" applyFont="1" applyBorder="1" applyAlignment="1" applyProtection="1">
      <alignment horizontal="right" vertical="center"/>
    </xf>
    <xf numFmtId="198" fontId="28" fillId="0" borderId="71" xfId="0" applyNumberFormat="1" applyFont="1" applyBorder="1" applyAlignment="1" applyProtection="1">
      <alignment horizontal="right" vertical="center"/>
    </xf>
    <xf numFmtId="0" fontId="26" fillId="0" borderId="52" xfId="0" applyFont="1" applyBorder="1" applyAlignment="1" applyProtection="1">
      <alignment horizontal="centerContinuous" vertical="center"/>
    </xf>
    <xf numFmtId="0" fontId="26" fillId="0" borderId="33" xfId="0" applyFont="1" applyBorder="1" applyAlignment="1" applyProtection="1">
      <alignment horizontal="centerContinuous" vertical="center"/>
    </xf>
    <xf numFmtId="0" fontId="26" fillId="0" borderId="53" xfId="0" applyFont="1" applyBorder="1" applyAlignment="1" applyProtection="1">
      <alignment horizontal="centerContinuous" vertical="center"/>
    </xf>
    <xf numFmtId="195" fontId="26" fillId="0" borderId="5" xfId="0" applyNumberFormat="1" applyFont="1" applyBorder="1" applyAlignment="1" applyProtection="1">
      <alignment horizontal="centerContinuous" vertical="center"/>
    </xf>
    <xf numFmtId="195" fontId="26" fillId="0" borderId="71" xfId="0" applyNumberFormat="1" applyFont="1" applyBorder="1" applyAlignment="1" applyProtection="1">
      <alignment horizontal="centerContinuous" vertical="center"/>
    </xf>
    <xf numFmtId="0" fontId="0" fillId="0" borderId="33" xfId="0" applyBorder="1" applyAlignment="1">
      <alignment horizontal="centerContinuous"/>
    </xf>
    <xf numFmtId="195" fontId="26" fillId="0" borderId="7" xfId="0" applyNumberFormat="1" applyFont="1" applyBorder="1" applyAlignment="1" applyProtection="1">
      <alignment horizontal="centerContinuous" vertical="center"/>
    </xf>
    <xf numFmtId="195" fontId="26" fillId="0" borderId="64" xfId="0" applyNumberFormat="1" applyFont="1" applyBorder="1" applyAlignment="1" applyProtection="1">
      <alignment horizontal="centerContinuous" vertical="center"/>
    </xf>
    <xf numFmtId="0" fontId="28" fillId="3" borderId="19" xfId="0" applyFont="1" applyFill="1" applyBorder="1" applyProtection="1">
      <alignment vertical="center"/>
    </xf>
    <xf numFmtId="0" fontId="28" fillId="3" borderId="55" xfId="0" applyFont="1" applyFill="1" applyBorder="1" applyProtection="1">
      <alignment vertical="center"/>
    </xf>
    <xf numFmtId="198" fontId="28" fillId="2" borderId="47" xfId="0" applyNumberFormat="1" applyFont="1" applyFill="1" applyBorder="1" applyProtection="1">
      <alignment vertical="center"/>
      <protection locked="0"/>
    </xf>
    <xf numFmtId="197" fontId="28" fillId="8" borderId="47" xfId="0" applyNumberFormat="1" applyFont="1" applyFill="1" applyBorder="1" applyProtection="1">
      <alignment vertical="center"/>
    </xf>
    <xf numFmtId="1" fontId="28" fillId="0" borderId="0" xfId="0" quotePrefix="1" applyNumberFormat="1" applyFont="1" applyProtection="1">
      <alignment vertical="center"/>
    </xf>
    <xf numFmtId="198" fontId="28" fillId="0" borderId="0" xfId="0" quotePrefix="1" applyNumberFormat="1" applyFont="1" applyBorder="1" applyProtection="1">
      <alignment vertical="center"/>
    </xf>
    <xf numFmtId="0" fontId="42" fillId="3" borderId="0" xfId="0" applyFont="1" applyFill="1" applyBorder="1" applyProtection="1">
      <alignment vertical="center"/>
    </xf>
    <xf numFmtId="2" fontId="39" fillId="0" borderId="2" xfId="0" applyNumberFormat="1" applyFont="1" applyFill="1" applyBorder="1" applyAlignment="1" applyProtection="1">
      <alignment horizontal="center" vertical="center" wrapText="1"/>
    </xf>
    <xf numFmtId="0" fontId="28" fillId="0" borderId="93" xfId="0" applyFont="1" applyFill="1" applyBorder="1" applyAlignment="1" applyProtection="1">
      <alignment horizontal="right"/>
    </xf>
    <xf numFmtId="3" fontId="28" fillId="2" borderId="93" xfId="0" applyNumberFormat="1" applyFont="1" applyFill="1" applyBorder="1" applyProtection="1">
      <alignment vertical="center"/>
      <protection locked="0"/>
    </xf>
    <xf numFmtId="2" fontId="28" fillId="0" borderId="0" xfId="0" applyNumberFormat="1" applyFont="1" applyFill="1" applyBorder="1" applyAlignment="1" applyProtection="1">
      <alignment horizontal="right" vertical="center"/>
    </xf>
    <xf numFmtId="0" fontId="39" fillId="0" borderId="30" xfId="0" applyFont="1" applyBorder="1" applyAlignment="1" applyProtection="1">
      <alignment horizontal="right"/>
    </xf>
    <xf numFmtId="2" fontId="40" fillId="0" borderId="2" xfId="0" applyNumberFormat="1" applyFont="1" applyFill="1" applyBorder="1" applyAlignment="1" applyProtection="1">
      <alignment horizontal="center"/>
    </xf>
    <xf numFmtId="2" fontId="47" fillId="0" borderId="7" xfId="0" applyNumberFormat="1" applyFont="1" applyFill="1" applyBorder="1" applyAlignment="1" applyProtection="1"/>
    <xf numFmtId="2" fontId="40" fillId="0" borderId="30" xfId="0" applyNumberFormat="1" applyFont="1" applyFill="1" applyBorder="1" applyAlignment="1" applyProtection="1">
      <alignment horizontal="center"/>
    </xf>
    <xf numFmtId="2" fontId="39" fillId="0" borderId="7" xfId="0" applyNumberFormat="1" applyFont="1" applyFill="1" applyBorder="1" applyAlignment="1" applyProtection="1"/>
    <xf numFmtId="2" fontId="40" fillId="0" borderId="2" xfId="0" applyNumberFormat="1" applyFont="1" applyFill="1" applyBorder="1" applyAlignment="1" applyProtection="1"/>
    <xf numFmtId="2" fontId="40" fillId="0" borderId="11" xfId="0" applyNumberFormat="1" applyFont="1" applyFill="1" applyBorder="1" applyAlignment="1" applyProtection="1">
      <alignment horizontal="center"/>
    </xf>
    <xf numFmtId="2" fontId="40" fillId="0" borderId="11" xfId="0" applyNumberFormat="1" applyFont="1" applyFill="1" applyBorder="1" applyAlignment="1" applyProtection="1"/>
    <xf numFmtId="2" fontId="40" fillId="0" borderId="19" xfId="0" applyNumberFormat="1" applyFont="1" applyFill="1" applyBorder="1" applyAlignment="1" applyProtection="1"/>
    <xf numFmtId="2" fontId="40" fillId="0" borderId="0" xfId="0" applyNumberFormat="1" applyFont="1" applyFill="1" applyBorder="1" applyAlignment="1" applyProtection="1"/>
    <xf numFmtId="2" fontId="40" fillId="0" borderId="19" xfId="0" applyNumberFormat="1" applyFont="1" applyFill="1" applyBorder="1" applyAlignment="1" applyProtection="1">
      <alignment horizontal="center"/>
    </xf>
    <xf numFmtId="2" fontId="47" fillId="0" borderId="44" xfId="0" applyNumberFormat="1" applyFont="1" applyFill="1" applyBorder="1" applyAlignment="1" applyProtection="1"/>
    <xf numFmtId="2" fontId="47" fillId="0" borderId="45" xfId="0" applyNumberFormat="1" applyFont="1" applyFill="1" applyBorder="1" applyAlignment="1" applyProtection="1"/>
    <xf numFmtId="2" fontId="47" fillId="0" borderId="44" xfId="0" applyNumberFormat="1" applyFont="1" applyFill="1" applyBorder="1" applyAlignment="1" applyProtection="1">
      <alignment horizontal="center"/>
    </xf>
    <xf numFmtId="2" fontId="40" fillId="0" borderId="44" xfId="0" applyNumberFormat="1" applyFont="1" applyFill="1" applyBorder="1" applyAlignment="1" applyProtection="1">
      <alignment horizontal="center"/>
    </xf>
    <xf numFmtId="2" fontId="40" fillId="0" borderId="7" xfId="0" applyNumberFormat="1" applyFont="1" applyFill="1" applyBorder="1" applyAlignment="1" applyProtection="1"/>
    <xf numFmtId="2" fontId="40" fillId="0" borderId="30" xfId="0" applyNumberFormat="1" applyFont="1" applyFill="1" applyBorder="1" applyAlignment="1" applyProtection="1"/>
    <xf numFmtId="2" fontId="40" fillId="0" borderId="7" xfId="0" applyNumberFormat="1" applyFont="1" applyFill="1" applyBorder="1" applyAlignment="1" applyProtection="1">
      <alignment horizontal="center"/>
    </xf>
    <xf numFmtId="2" fontId="40" fillId="0" borderId="7" xfId="0" quotePrefix="1" applyNumberFormat="1" applyFont="1" applyFill="1" applyBorder="1" applyAlignment="1" applyProtection="1">
      <alignment horizontal="center"/>
    </xf>
    <xf numFmtId="0" fontId="38" fillId="0" borderId="0" xfId="0" applyFont="1">
      <alignment vertical="center"/>
    </xf>
    <xf numFmtId="0" fontId="0" fillId="0" borderId="0" xfId="0" applyAlignment="1" applyProtection="1"/>
    <xf numFmtId="0" fontId="122" fillId="0" borderId="45" xfId="0" applyFont="1" applyFill="1" applyBorder="1" applyAlignment="1" applyProtection="1">
      <alignment horizontal="center" vertical="center"/>
    </xf>
    <xf numFmtId="0" fontId="122" fillId="0" borderId="11" xfId="0" applyFont="1" applyFill="1" applyBorder="1" applyAlignment="1" applyProtection="1">
      <alignment horizontal="center" vertical="center"/>
    </xf>
    <xf numFmtId="1" fontId="39" fillId="0" borderId="36" xfId="0" applyNumberFormat="1" applyFont="1" applyFill="1" applyBorder="1" applyAlignment="1" applyProtection="1">
      <alignment horizontal="center" vertical="center"/>
    </xf>
    <xf numFmtId="187" fontId="40" fillId="0" borderId="65" xfId="0" quotePrefix="1" applyNumberFormat="1" applyFont="1" applyBorder="1" applyAlignment="1">
      <alignment horizontal="center"/>
    </xf>
    <xf numFmtId="2" fontId="39" fillId="0" borderId="119" xfId="0" applyNumberFormat="1" applyFont="1" applyFill="1" applyBorder="1" applyProtection="1">
      <alignment vertical="center"/>
    </xf>
    <xf numFmtId="2" fontId="39" fillId="2" borderId="88" xfId="0" applyNumberFormat="1" applyFont="1" applyFill="1" applyBorder="1" applyProtection="1">
      <alignment vertical="center"/>
      <protection locked="0"/>
    </xf>
    <xf numFmtId="2" fontId="39" fillId="2" borderId="88" xfId="0" applyNumberFormat="1" applyFont="1" applyFill="1" applyBorder="1" applyProtection="1">
      <alignment vertical="center"/>
    </xf>
    <xf numFmtId="2" fontId="39" fillId="0" borderId="88" xfId="0" applyNumberFormat="1" applyFont="1" applyFill="1" applyBorder="1" applyProtection="1">
      <alignment vertical="center"/>
    </xf>
    <xf numFmtId="2" fontId="39" fillId="2" borderId="82" xfId="0" applyNumberFormat="1" applyFont="1" applyFill="1" applyBorder="1" applyAlignment="1" applyProtection="1">
      <alignment horizontal="center" vertical="center"/>
      <protection locked="0"/>
    </xf>
    <xf numFmtId="172" fontId="39" fillId="2" borderId="82" xfId="0" applyNumberFormat="1" applyFont="1" applyFill="1" applyBorder="1" applyAlignment="1" applyProtection="1">
      <alignment horizontal="center" vertical="center"/>
      <protection locked="0"/>
    </xf>
    <xf numFmtId="2" fontId="39" fillId="0" borderId="82" xfId="0" applyNumberFormat="1" applyFont="1" applyFill="1" applyBorder="1" applyAlignment="1" applyProtection="1">
      <alignment horizontal="center" vertical="center"/>
    </xf>
    <xf numFmtId="1" fontId="39" fillId="2" borderId="82" xfId="0" applyNumberFormat="1" applyFont="1" applyFill="1" applyBorder="1" applyAlignment="1" applyProtection="1">
      <alignment horizontal="center" vertical="center"/>
      <protection locked="0"/>
    </xf>
    <xf numFmtId="1" fontId="39" fillId="2" borderId="130" xfId="0" applyNumberFormat="1" applyFont="1" applyFill="1" applyBorder="1" applyAlignment="1" applyProtection="1">
      <alignment horizontal="center" vertical="center"/>
      <protection locked="0"/>
    </xf>
    <xf numFmtId="2" fontId="39" fillId="0" borderId="130" xfId="0" applyNumberFormat="1" applyFont="1" applyFill="1" applyBorder="1" applyAlignment="1" applyProtection="1">
      <alignment horizontal="center" vertical="center"/>
    </xf>
    <xf numFmtId="2" fontId="39" fillId="0" borderId="47" xfId="0" applyNumberFormat="1" applyFont="1" applyFill="1" applyBorder="1" applyAlignment="1" applyProtection="1">
      <alignment horizontal="center" vertical="center"/>
    </xf>
    <xf numFmtId="0" fontId="28" fillId="0" borderId="0" xfId="0" quotePrefix="1" applyFont="1" applyFill="1" applyBorder="1" applyAlignment="1" applyProtection="1"/>
    <xf numFmtId="0" fontId="64" fillId="0" borderId="0" xfId="0" applyFont="1" applyBorder="1" applyAlignment="1" applyProtection="1"/>
    <xf numFmtId="0" fontId="0" fillId="0" borderId="0" xfId="0" applyBorder="1" applyAlignment="1" applyProtection="1"/>
    <xf numFmtId="0" fontId="28" fillId="0" borderId="10" xfId="0" applyFont="1" applyBorder="1" applyAlignment="1" applyProtection="1"/>
    <xf numFmtId="0" fontId="28" fillId="0" borderId="0" xfId="0" applyFont="1" applyAlignment="1" applyProtection="1"/>
    <xf numFmtId="0" fontId="0" fillId="0" borderId="0" xfId="0" applyFill="1" applyAlignment="1" applyProtection="1"/>
    <xf numFmtId="0" fontId="31" fillId="0" borderId="0" xfId="0" applyFont="1" applyBorder="1" applyAlignment="1" applyProtection="1"/>
    <xf numFmtId="0" fontId="32" fillId="0" borderId="5" xfId="0" applyFont="1" applyBorder="1" applyAlignment="1" applyProtection="1"/>
    <xf numFmtId="0" fontId="32" fillId="0" borderId="4" xfId="0" applyFont="1" applyBorder="1" applyAlignment="1" applyProtection="1"/>
    <xf numFmtId="0" fontId="32" fillId="0" borderId="0" xfId="0" applyFont="1" applyBorder="1" applyAlignment="1" applyProtection="1"/>
    <xf numFmtId="0" fontId="29" fillId="0" borderId="0" xfId="0" applyFont="1" applyBorder="1" applyAlignment="1" applyProtection="1"/>
    <xf numFmtId="0" fontId="29" fillId="0" borderId="19" xfId="0" applyFont="1" applyBorder="1" applyAlignment="1" applyProtection="1"/>
    <xf numFmtId="0" fontId="39" fillId="0" borderId="0" xfId="0" applyFont="1" applyBorder="1" applyAlignment="1" applyProtection="1"/>
    <xf numFmtId="0" fontId="28" fillId="0" borderId="0" xfId="0" applyFont="1" applyBorder="1" applyAlignment="1" applyProtection="1">
      <alignment wrapText="1"/>
    </xf>
    <xf numFmtId="2" fontId="28" fillId="0" borderId="0" xfId="0" applyNumberFormat="1" applyFont="1" applyBorder="1" applyAlignment="1" applyProtection="1"/>
    <xf numFmtId="3" fontId="28" fillId="0" borderId="0" xfId="0" applyNumberFormat="1" applyFont="1" applyBorder="1" applyAlignment="1" applyProtection="1"/>
    <xf numFmtId="0" fontId="35" fillId="0" borderId="0" xfId="0" applyFont="1" applyBorder="1" applyAlignment="1" applyProtection="1"/>
    <xf numFmtId="0" fontId="39" fillId="0" borderId="0" xfId="0" applyFont="1" applyAlignment="1" applyProtection="1"/>
    <xf numFmtId="0" fontId="28" fillId="0" borderId="19" xfId="0" applyFont="1" applyBorder="1" applyAlignment="1" applyProtection="1"/>
    <xf numFmtId="3" fontId="29" fillId="0" borderId="51" xfId="0" applyNumberFormat="1" applyFont="1" applyBorder="1" applyAlignment="1" applyProtection="1"/>
    <xf numFmtId="0" fontId="39" fillId="0" borderId="7" xfId="0" applyFont="1" applyBorder="1" applyAlignment="1" applyProtection="1"/>
    <xf numFmtId="0" fontId="39" fillId="0" borderId="30" xfId="0" applyFont="1" applyBorder="1" applyAlignment="1" applyProtection="1"/>
    <xf numFmtId="0" fontId="0" fillId="0" borderId="33" xfId="0" applyBorder="1" applyAlignment="1" applyProtection="1"/>
    <xf numFmtId="3" fontId="28" fillId="0" borderId="64" xfId="0" applyNumberFormat="1" applyFont="1" applyBorder="1" applyAlignment="1" applyProtection="1"/>
    <xf numFmtId="0" fontId="39" fillId="0" borderId="19" xfId="0" applyFont="1" applyBorder="1" applyAlignment="1" applyProtection="1"/>
    <xf numFmtId="0" fontId="39" fillId="0" borderId="0" xfId="0" quotePrefix="1" applyFont="1" applyBorder="1" applyAlignment="1" applyProtection="1"/>
    <xf numFmtId="0" fontId="28" fillId="0" borderId="30" xfId="0" applyFont="1" applyBorder="1" applyAlignment="1" applyProtection="1"/>
    <xf numFmtId="0" fontId="31" fillId="0" borderId="5" xfId="0" applyFont="1" applyBorder="1" applyAlignment="1" applyProtection="1"/>
    <xf numFmtId="0" fontId="31" fillId="0" borderId="19" xfId="0" applyFont="1" applyBorder="1" applyAlignment="1" applyProtection="1"/>
    <xf numFmtId="2" fontId="26" fillId="0" borderId="0" xfId="0" quotePrefix="1" applyNumberFormat="1" applyFont="1" applyFill="1" applyBorder="1" applyAlignment="1" applyProtection="1">
      <alignment horizontal="right"/>
    </xf>
    <xf numFmtId="1" fontId="46" fillId="0" borderId="2" xfId="0" applyNumberFormat="1" applyFont="1" applyFill="1" applyBorder="1" applyProtection="1">
      <alignment vertical="center"/>
    </xf>
    <xf numFmtId="172" fontId="39" fillId="0" borderId="11" xfId="0" applyNumberFormat="1" applyFont="1" applyFill="1" applyBorder="1" applyAlignment="1" applyProtection="1">
      <alignment horizontal="center" vertical="center"/>
      <protection locked="0"/>
    </xf>
    <xf numFmtId="1" fontId="39" fillId="0" borderId="11" xfId="0" applyNumberFormat="1" applyFont="1" applyFill="1" applyBorder="1" applyAlignment="1" applyProtection="1">
      <alignment horizontal="center" vertical="center"/>
      <protection locked="0"/>
    </xf>
    <xf numFmtId="2" fontId="39" fillId="0" borderId="80" xfId="0" applyNumberFormat="1" applyFont="1" applyFill="1" applyBorder="1" applyAlignment="1" applyProtection="1">
      <alignment horizontal="center" vertical="center"/>
    </xf>
    <xf numFmtId="49" fontId="39" fillId="0" borderId="26" xfId="0" applyNumberFormat="1" applyFont="1" applyFill="1" applyBorder="1" applyProtection="1">
      <alignment vertical="center"/>
    </xf>
    <xf numFmtId="196" fontId="27" fillId="0" borderId="0" xfId="0" applyNumberFormat="1" applyFont="1" applyBorder="1" applyAlignment="1" applyProtection="1">
      <alignment horizontal="center" vertical="center"/>
    </xf>
    <xf numFmtId="0" fontId="123" fillId="0" borderId="0" xfId="0" applyFont="1">
      <alignment vertical="center"/>
    </xf>
    <xf numFmtId="205" fontId="28" fillId="0" borderId="11" xfId="0" applyNumberFormat="1" applyFont="1" applyBorder="1" applyProtection="1">
      <alignment vertical="center"/>
    </xf>
    <xf numFmtId="195" fontId="29" fillId="0" borderId="33" xfId="0" applyNumberFormat="1" applyFont="1" applyBorder="1" applyAlignment="1" applyProtection="1">
      <alignment horizontal="left" vertical="center"/>
    </xf>
    <xf numFmtId="172" fontId="100" fillId="0" borderId="0" xfId="0" applyNumberFormat="1" applyFont="1" applyFill="1" applyBorder="1" applyAlignment="1" applyProtection="1">
      <alignment horizontal="right" vertical="center"/>
    </xf>
    <xf numFmtId="0" fontId="100" fillId="0" borderId="0" xfId="0" applyFont="1" applyAlignment="1" applyProtection="1">
      <alignment horizontal="right" vertical="center"/>
    </xf>
    <xf numFmtId="0" fontId="100" fillId="0" borderId="0" xfId="0" applyFont="1" applyAlignment="1">
      <alignment horizontal="right"/>
    </xf>
    <xf numFmtId="0" fontId="26" fillId="0" borderId="0" xfId="0" applyFont="1">
      <alignment vertical="center"/>
    </xf>
    <xf numFmtId="2" fontId="28" fillId="0" borderId="0" xfId="0" quotePrefix="1" applyNumberFormat="1" applyFont="1" applyFill="1" applyBorder="1" applyAlignment="1" applyProtection="1"/>
    <xf numFmtId="2" fontId="85" fillId="0" borderId="0" xfId="0" applyNumberFormat="1" applyFont="1" applyFill="1" applyBorder="1" applyAlignment="1" applyProtection="1">
      <alignment horizontal="center"/>
    </xf>
    <xf numFmtId="2" fontId="92" fillId="0" borderId="0" xfId="0" applyNumberFormat="1" applyFont="1" applyBorder="1" applyAlignment="1">
      <alignment horizontal="center"/>
    </xf>
    <xf numFmtId="199" fontId="39" fillId="0" borderId="7" xfId="0" quotePrefix="1" applyNumberFormat="1" applyFont="1" applyBorder="1" applyAlignment="1" applyProtection="1">
      <alignment horizontal="centerContinuous" vertical="center"/>
    </xf>
    <xf numFmtId="0" fontId="39" fillId="0" borderId="64" xfId="0" applyFont="1" applyBorder="1" applyAlignment="1" applyProtection="1">
      <alignment horizontal="centerContinuous" vertical="center"/>
    </xf>
    <xf numFmtId="1" fontId="26" fillId="0" borderId="0" xfId="0" applyNumberFormat="1" applyFont="1" applyBorder="1" applyAlignment="1" applyProtection="1">
      <alignment horizontal="right" vertical="center"/>
    </xf>
    <xf numFmtId="2" fontId="126" fillId="0" borderId="47" xfId="0" applyNumberFormat="1" applyFont="1" applyFill="1" applyBorder="1" applyAlignment="1" applyProtection="1">
      <alignment horizontal="center" vertical="center"/>
    </xf>
    <xf numFmtId="2" fontId="126" fillId="0" borderId="2" xfId="0" applyNumberFormat="1" applyFont="1" applyFill="1" applyBorder="1" applyAlignment="1" applyProtection="1">
      <alignment horizontal="center" vertical="center"/>
    </xf>
    <xf numFmtId="2" fontId="126" fillId="0" borderId="46" xfId="0" applyNumberFormat="1" applyFont="1" applyFill="1" applyBorder="1" applyAlignment="1" applyProtection="1">
      <alignment horizontal="center" vertical="center"/>
    </xf>
    <xf numFmtId="2" fontId="126" fillId="2" borderId="2" xfId="0" applyNumberFormat="1" applyFont="1" applyFill="1" applyBorder="1" applyAlignment="1" applyProtection="1">
      <alignment horizontal="center" vertical="center"/>
      <protection locked="0"/>
    </xf>
    <xf numFmtId="0" fontId="124" fillId="0" borderId="0" xfId="0" applyFont="1">
      <alignment vertical="center"/>
    </xf>
    <xf numFmtId="2" fontId="100" fillId="0" borderId="19" xfId="0" applyNumberFormat="1" applyFont="1" applyFill="1" applyBorder="1" applyAlignment="1" applyProtection="1"/>
    <xf numFmtId="2" fontId="100" fillId="0" borderId="0" xfId="0" applyNumberFormat="1" applyFont="1" applyFill="1" applyBorder="1" applyAlignment="1" applyProtection="1"/>
    <xf numFmtId="2" fontId="100" fillId="0" borderId="0" xfId="0" applyNumberFormat="1" applyFont="1">
      <alignment vertical="center"/>
    </xf>
    <xf numFmtId="2" fontId="100" fillId="0" borderId="0" xfId="0" applyNumberFormat="1" applyFont="1" applyFill="1" applyBorder="1" applyAlignment="1" applyProtection="1">
      <protection locked="0"/>
    </xf>
    <xf numFmtId="2" fontId="125" fillId="0" borderId="51" xfId="0" applyNumberFormat="1" applyFont="1" applyFill="1" applyBorder="1" applyAlignment="1" applyProtection="1">
      <alignment horizontal="center" vertical="center"/>
    </xf>
    <xf numFmtId="2" fontId="126" fillId="0" borderId="0" xfId="0" applyNumberFormat="1" applyFont="1" applyFill="1" applyBorder="1" applyProtection="1">
      <alignment vertical="center"/>
    </xf>
    <xf numFmtId="2" fontId="126" fillId="0" borderId="44" xfId="0" applyNumberFormat="1" applyFont="1" applyFill="1" applyBorder="1" applyAlignment="1" applyProtection="1">
      <alignment horizontal="center" vertical="center"/>
    </xf>
    <xf numFmtId="2" fontId="126" fillId="2" borderId="7" xfId="0" applyNumberFormat="1" applyFont="1" applyFill="1" applyBorder="1" applyAlignment="1" applyProtection="1">
      <alignment horizontal="center" vertical="center"/>
      <protection locked="0"/>
    </xf>
    <xf numFmtId="2" fontId="126" fillId="0" borderId="49" xfId="0" applyNumberFormat="1" applyFont="1" applyFill="1" applyBorder="1" applyAlignment="1" applyProtection="1">
      <alignment horizontal="center" vertical="center"/>
    </xf>
    <xf numFmtId="0" fontId="124" fillId="0" borderId="0" xfId="0" applyFont="1" applyFill="1" applyBorder="1" applyAlignment="1" applyProtection="1"/>
    <xf numFmtId="0" fontId="127" fillId="0" borderId="0" xfId="0" applyFont="1" applyAlignment="1">
      <alignment horizontal="center"/>
    </xf>
    <xf numFmtId="0" fontId="124" fillId="0" borderId="0" xfId="0" applyFont="1" applyFill="1" applyBorder="1" applyAlignment="1" applyProtection="1">
      <protection locked="0"/>
    </xf>
    <xf numFmtId="0" fontId="66" fillId="0" borderId="4" xfId="0" applyFont="1" applyBorder="1" applyAlignment="1">
      <alignment horizontal="centerContinuous"/>
    </xf>
    <xf numFmtId="1" fontId="39" fillId="3" borderId="64" xfId="0" applyNumberFormat="1" applyFont="1" applyFill="1" applyBorder="1" applyAlignment="1" applyProtection="1">
      <alignment horizontal="center"/>
    </xf>
    <xf numFmtId="0" fontId="66" fillId="0" borderId="83" xfId="0" applyFont="1" applyBorder="1" applyAlignment="1">
      <alignment horizontal="centerContinuous"/>
    </xf>
    <xf numFmtId="0" fontId="66" fillId="0" borderId="71" xfId="0" applyFont="1" applyBorder="1" applyAlignment="1">
      <alignment horizontal="centerContinuous"/>
    </xf>
    <xf numFmtId="0" fontId="66" fillId="0" borderId="55" xfId="0" applyFont="1" applyBorder="1" applyAlignment="1">
      <alignment horizontal="centerContinuous"/>
    </xf>
    <xf numFmtId="0" fontId="66" fillId="0" borderId="64" xfId="0" applyFont="1" applyBorder="1" applyAlignment="1">
      <alignment horizontal="centerContinuous"/>
    </xf>
    <xf numFmtId="0" fontId="40" fillId="2" borderId="7" xfId="0" applyFont="1" applyFill="1" applyBorder="1" applyAlignment="1" applyProtection="1">
      <protection locked="0"/>
    </xf>
    <xf numFmtId="0" fontId="40" fillId="2" borderId="64" xfId="0" applyFont="1" applyFill="1" applyBorder="1" applyAlignment="1"/>
    <xf numFmtId="1" fontId="39" fillId="3" borderId="83" xfId="0" applyNumberFormat="1" applyFont="1" applyFill="1" applyBorder="1" applyAlignment="1" applyProtection="1">
      <alignment horizontal="center"/>
    </xf>
    <xf numFmtId="1" fontId="39" fillId="3" borderId="20" xfId="0" applyNumberFormat="1" applyFont="1" applyFill="1" applyBorder="1" applyAlignment="1" applyProtection="1">
      <alignment horizontal="center"/>
    </xf>
    <xf numFmtId="1" fontId="39" fillId="3" borderId="48" xfId="0" applyNumberFormat="1" applyFont="1" applyFill="1" applyBorder="1" applyAlignment="1" applyProtection="1">
      <alignment horizontal="center"/>
    </xf>
    <xf numFmtId="1" fontId="40" fillId="2" borderId="30" xfId="0" applyNumberFormat="1" applyFont="1" applyFill="1" applyBorder="1" applyAlignment="1" applyProtection="1">
      <protection locked="0"/>
    </xf>
    <xf numFmtId="1" fontId="39" fillId="3" borderId="145" xfId="0" applyNumberFormat="1" applyFont="1" applyFill="1" applyBorder="1" applyAlignment="1" applyProtection="1">
      <alignment horizontal="center"/>
    </xf>
    <xf numFmtId="1" fontId="39" fillId="3" borderId="74" xfId="0" applyNumberFormat="1" applyFont="1" applyFill="1" applyBorder="1" applyAlignment="1" applyProtection="1">
      <alignment horizontal="center"/>
    </xf>
    <xf numFmtId="1" fontId="39" fillId="3" borderId="95" xfId="0" applyNumberFormat="1" applyFont="1" applyFill="1" applyBorder="1" applyAlignment="1" applyProtection="1">
      <alignment horizontal="center"/>
    </xf>
    <xf numFmtId="1" fontId="39" fillId="3" borderId="53" xfId="0" applyNumberFormat="1" applyFont="1" applyFill="1" applyBorder="1" applyAlignment="1" applyProtection="1">
      <alignment horizontal="center"/>
    </xf>
    <xf numFmtId="0" fontId="28" fillId="0" borderId="55" xfId="0" applyFont="1" applyFill="1" applyBorder="1" applyAlignment="1" applyProtection="1">
      <alignment horizontal="centerContinuous" vertical="center"/>
    </xf>
    <xf numFmtId="0" fontId="28" fillId="0" borderId="23" xfId="0" applyFont="1" applyFill="1" applyBorder="1" applyAlignment="1" applyProtection="1">
      <alignment horizontal="center" vertical="center"/>
    </xf>
    <xf numFmtId="0" fontId="28" fillId="3" borderId="7" xfId="0" applyFont="1" applyFill="1" applyBorder="1" applyAlignment="1" applyProtection="1">
      <alignment horizontal="center"/>
    </xf>
    <xf numFmtId="0" fontId="40" fillId="0" borderId="49" xfId="0" applyFont="1" applyFill="1" applyBorder="1" applyAlignment="1" applyProtection="1">
      <alignment horizontal="center"/>
    </xf>
    <xf numFmtId="2" fontId="128" fillId="0" borderId="0" xfId="0" applyNumberFormat="1" applyFont="1">
      <alignment vertical="center"/>
    </xf>
    <xf numFmtId="2" fontId="39" fillId="0" borderId="121" xfId="0" applyNumberFormat="1" applyFont="1" applyFill="1" applyBorder="1" applyAlignment="1" applyProtection="1">
      <alignment horizontal="center"/>
    </xf>
    <xf numFmtId="2" fontId="39" fillId="0" borderId="44" xfId="0" applyNumberFormat="1" applyFont="1" applyFill="1" applyBorder="1" applyAlignment="1" applyProtection="1">
      <alignment horizontal="center"/>
    </xf>
    <xf numFmtId="173" fontId="39" fillId="0" borderId="44" xfId="0" applyNumberFormat="1" applyFont="1" applyFill="1" applyBorder="1" applyAlignment="1" applyProtection="1">
      <alignment horizontal="center"/>
    </xf>
    <xf numFmtId="1" fontId="39" fillId="0" borderId="44" xfId="0" applyNumberFormat="1" applyFont="1" applyFill="1" applyBorder="1" applyAlignment="1" applyProtection="1">
      <alignment horizontal="center"/>
    </xf>
    <xf numFmtId="173" fontId="39" fillId="0" borderId="47" xfId="0" applyNumberFormat="1" applyFont="1" applyFill="1" applyBorder="1" applyAlignment="1" applyProtection="1">
      <alignment horizontal="center"/>
    </xf>
    <xf numFmtId="2" fontId="39" fillId="2" borderId="84" xfId="0" applyNumberFormat="1" applyFont="1" applyFill="1" applyBorder="1" applyAlignment="1" applyProtection="1">
      <alignment horizontal="center"/>
      <protection locked="0"/>
    </xf>
    <xf numFmtId="1" fontId="39" fillId="3" borderId="84" xfId="0" applyNumberFormat="1" applyFont="1" applyFill="1" applyBorder="1" applyAlignment="1" applyProtection="1">
      <alignment horizontal="center"/>
    </xf>
    <xf numFmtId="1" fontId="39" fillId="3" borderId="88" xfId="0" applyNumberFormat="1" applyFont="1" applyFill="1" applyBorder="1" applyAlignment="1" applyProtection="1">
      <alignment horizontal="center"/>
    </xf>
    <xf numFmtId="180" fontId="39" fillId="3" borderId="146" xfId="0" applyNumberFormat="1" applyFont="1" applyFill="1" applyBorder="1" applyAlignment="1" applyProtection="1"/>
    <xf numFmtId="2" fontId="39" fillId="0" borderId="97" xfId="0" applyNumberFormat="1" applyFont="1" applyFill="1" applyBorder="1" applyAlignment="1" applyProtection="1">
      <alignment horizontal="center"/>
    </xf>
    <xf numFmtId="173" fontId="39" fillId="0" borderId="97" xfId="0" applyNumberFormat="1" applyFont="1" applyFill="1" applyBorder="1" applyAlignment="1" applyProtection="1">
      <alignment horizontal="center"/>
    </xf>
    <xf numFmtId="1" fontId="39" fillId="0" borderId="97" xfId="0" applyNumberFormat="1" applyFont="1" applyFill="1" applyBorder="1" applyAlignment="1" applyProtection="1">
      <alignment horizontal="center"/>
    </xf>
    <xf numFmtId="173" fontId="39" fillId="0" borderId="127" xfId="0" applyNumberFormat="1" applyFont="1" applyFill="1" applyBorder="1" applyAlignment="1" applyProtection="1">
      <alignment horizontal="center"/>
    </xf>
    <xf numFmtId="2" fontId="39" fillId="0" borderId="84" xfId="0" applyNumberFormat="1" applyFont="1" applyFill="1" applyBorder="1" applyAlignment="1" applyProtection="1">
      <alignment horizontal="center"/>
    </xf>
    <xf numFmtId="173" fontId="39" fillId="0" borderId="84" xfId="0" applyNumberFormat="1" applyFont="1" applyFill="1" applyBorder="1" applyAlignment="1" applyProtection="1">
      <alignment horizontal="center"/>
    </xf>
    <xf numFmtId="1" fontId="39" fillId="0" borderId="84" xfId="0" applyNumberFormat="1" applyFont="1" applyFill="1" applyBorder="1" applyAlignment="1" applyProtection="1">
      <alignment horizontal="center"/>
    </xf>
    <xf numFmtId="173" fontId="39" fillId="0" borderId="129" xfId="0" applyNumberFormat="1" applyFont="1" applyFill="1" applyBorder="1" applyAlignment="1" applyProtection="1">
      <alignment horizontal="center"/>
    </xf>
    <xf numFmtId="0" fontId="134" fillId="0" borderId="0" xfId="0" applyFont="1">
      <alignment vertical="center"/>
    </xf>
    <xf numFmtId="0" fontId="40" fillId="5" borderId="176" xfId="0" applyFont="1" applyFill="1" applyBorder="1" applyAlignment="1" applyProtection="1"/>
    <xf numFmtId="0" fontId="39" fillId="0" borderId="30" xfId="0" applyFont="1" applyBorder="1" applyAlignment="1" applyProtection="1">
      <alignment horizontal="centerContinuous"/>
    </xf>
    <xf numFmtId="0" fontId="39" fillId="0" borderId="30" xfId="0" applyFont="1" applyBorder="1" applyAlignment="1" applyProtection="1">
      <alignment horizontal="center"/>
    </xf>
    <xf numFmtId="187" fontId="40" fillId="0" borderId="51" xfId="0" quotePrefix="1" applyNumberFormat="1" applyFont="1" applyBorder="1" applyAlignment="1">
      <alignment horizontal="center"/>
    </xf>
    <xf numFmtId="187" fontId="40" fillId="0" borderId="62" xfId="0" applyNumberFormat="1" applyFont="1" applyBorder="1" applyAlignment="1">
      <alignment horizontal="center"/>
    </xf>
    <xf numFmtId="1" fontId="39" fillId="0" borderId="1" xfId="0" applyNumberFormat="1" applyFont="1" applyFill="1" applyBorder="1" applyAlignment="1" applyProtection="1">
      <alignment horizontal="center"/>
    </xf>
    <xf numFmtId="1" fontId="39" fillId="0" borderId="94" xfId="0" applyNumberFormat="1" applyFont="1" applyFill="1" applyBorder="1" applyAlignment="1" applyProtection="1">
      <alignment horizontal="center"/>
    </xf>
    <xf numFmtId="0" fontId="39" fillId="0" borderId="60" xfId="0" applyFont="1" applyBorder="1" applyProtection="1">
      <alignment vertical="center"/>
    </xf>
    <xf numFmtId="0" fontId="39" fillId="0" borderId="156" xfId="0" applyFont="1" applyBorder="1" applyProtection="1">
      <alignment vertical="center"/>
    </xf>
    <xf numFmtId="0" fontId="39" fillId="0" borderId="156" xfId="0" applyFont="1" applyFill="1" applyBorder="1" applyAlignment="1" applyProtection="1">
      <alignment horizontal="center"/>
    </xf>
    <xf numFmtId="0" fontId="39" fillId="0" borderId="169" xfId="0" applyFont="1" applyFill="1" applyBorder="1" applyAlignment="1" applyProtection="1">
      <alignment horizontal="center"/>
    </xf>
    <xf numFmtId="0" fontId="39" fillId="0" borderId="169" xfId="0" applyFont="1" applyFill="1" applyBorder="1" applyAlignment="1" applyProtection="1">
      <alignment horizontal="center" vertical="center"/>
    </xf>
    <xf numFmtId="0" fontId="40" fillId="0" borderId="169" xfId="0" applyFont="1" applyBorder="1" applyProtection="1">
      <alignment vertical="center"/>
    </xf>
    <xf numFmtId="0" fontId="0" fillId="0" borderId="169" xfId="0" applyBorder="1" applyAlignment="1" applyProtection="1">
      <alignment horizontal="center"/>
    </xf>
    <xf numFmtId="0" fontId="39" fillId="0" borderId="171" xfId="0" applyFont="1" applyBorder="1" applyAlignment="1" applyProtection="1">
      <alignment horizontal="center"/>
    </xf>
    <xf numFmtId="0" fontId="40" fillId="0" borderId="52" xfId="0" applyFont="1" applyBorder="1" applyProtection="1">
      <alignment vertical="center"/>
    </xf>
    <xf numFmtId="0" fontId="40" fillId="0" borderId="33" xfId="0" applyFont="1" applyBorder="1" applyProtection="1">
      <alignment vertical="center"/>
    </xf>
    <xf numFmtId="0" fontId="40" fillId="5" borderId="48" xfId="0" applyFont="1" applyFill="1" applyBorder="1" applyAlignment="1" applyProtection="1">
      <alignment horizontal="center"/>
    </xf>
    <xf numFmtId="0" fontId="40" fillId="13" borderId="48" xfId="0" applyFont="1" applyFill="1" applyBorder="1" applyAlignment="1" applyProtection="1">
      <alignment horizontal="center"/>
    </xf>
    <xf numFmtId="2" fontId="40" fillId="0" borderId="30" xfId="0" quotePrefix="1" applyNumberFormat="1" applyFont="1" applyFill="1" applyBorder="1" applyAlignment="1" applyProtection="1">
      <alignment horizontal="center"/>
    </xf>
    <xf numFmtId="172" fontId="40" fillId="0" borderId="8" xfId="0" applyNumberFormat="1" applyFont="1" applyFill="1" applyBorder="1" applyAlignment="1" applyProtection="1">
      <alignment horizontal="center"/>
    </xf>
    <xf numFmtId="0" fontId="40" fillId="0" borderId="56" xfId="0" applyFont="1" applyBorder="1" applyProtection="1">
      <alignment vertical="center"/>
    </xf>
    <xf numFmtId="172" fontId="39" fillId="0" borderId="5" xfId="0" applyNumberFormat="1" applyFont="1" applyFill="1" applyBorder="1" applyAlignment="1" applyProtection="1">
      <alignment horizontal="centerContinuous"/>
    </xf>
    <xf numFmtId="0" fontId="0" fillId="0" borderId="4" xfId="0" applyBorder="1" applyAlignment="1">
      <alignment horizontal="centerContinuous"/>
    </xf>
    <xf numFmtId="0" fontId="39" fillId="0" borderId="177" xfId="0" applyFont="1" applyFill="1" applyBorder="1" applyAlignment="1" applyProtection="1">
      <alignment horizontal="center"/>
    </xf>
    <xf numFmtId="0" fontId="39" fillId="0" borderId="76" xfId="0" applyFont="1" applyBorder="1" applyAlignment="1" applyProtection="1">
      <alignment horizontal="center"/>
    </xf>
    <xf numFmtId="0" fontId="40" fillId="12" borderId="178" xfId="0" applyFont="1" applyFill="1" applyBorder="1" applyAlignment="1" applyProtection="1">
      <alignment horizontal="center"/>
      <protection locked="0"/>
    </xf>
    <xf numFmtId="0" fontId="40" fillId="11" borderId="173" xfId="0" applyFont="1" applyFill="1" applyBorder="1" applyAlignment="1" applyProtection="1">
      <alignment horizontal="center"/>
    </xf>
    <xf numFmtId="0" fontId="40" fillId="12" borderId="111" xfId="0" applyFont="1" applyFill="1" applyBorder="1" applyAlignment="1" applyProtection="1">
      <alignment horizontal="center"/>
      <protection locked="0"/>
    </xf>
    <xf numFmtId="0" fontId="40" fillId="0" borderId="178" xfId="0" applyFont="1" applyFill="1" applyBorder="1" applyAlignment="1" applyProtection="1">
      <alignment horizontal="center"/>
    </xf>
    <xf numFmtId="0" fontId="40" fillId="11" borderId="144" xfId="0" applyFont="1" applyFill="1" applyBorder="1" applyAlignment="1" applyProtection="1">
      <alignment horizontal="center"/>
    </xf>
    <xf numFmtId="0" fontId="39" fillId="0" borderId="62" xfId="0" applyFont="1" applyFill="1" applyBorder="1" applyAlignment="1" applyProtection="1">
      <alignment horizontal="center" vertical="center"/>
    </xf>
    <xf numFmtId="172" fontId="39" fillId="0" borderId="161" xfId="0" applyNumberFormat="1" applyFont="1" applyFill="1" applyBorder="1" applyAlignment="1" applyProtection="1">
      <alignment horizontal="center"/>
    </xf>
    <xf numFmtId="0" fontId="39" fillId="0" borderId="175" xfId="0" applyFont="1" applyFill="1" applyBorder="1" applyAlignment="1" applyProtection="1">
      <alignment horizontal="center"/>
    </xf>
    <xf numFmtId="0" fontId="40" fillId="2" borderId="30" xfId="0" applyFont="1" applyFill="1" applyBorder="1" applyAlignment="1" applyProtection="1">
      <alignment horizontal="center"/>
      <protection locked="0"/>
    </xf>
    <xf numFmtId="172" fontId="40" fillId="2" borderId="49" xfId="0" applyNumberFormat="1" applyFont="1" applyFill="1" applyBorder="1" applyAlignment="1" applyProtection="1">
      <alignment horizontal="center"/>
      <protection locked="0"/>
    </xf>
    <xf numFmtId="0" fontId="40" fillId="13" borderId="30" xfId="0" applyFont="1" applyFill="1" applyBorder="1" applyAlignment="1" applyProtection="1">
      <alignment horizontal="center"/>
    </xf>
    <xf numFmtId="172" fontId="39" fillId="0" borderId="171" xfId="0" applyNumberFormat="1" applyFont="1" applyFill="1" applyBorder="1" applyAlignment="1" applyProtection="1">
      <alignment horizontal="center"/>
    </xf>
    <xf numFmtId="0" fontId="39" fillId="0" borderId="179" xfId="0" applyFont="1" applyFill="1" applyBorder="1" applyAlignment="1" applyProtection="1">
      <alignment horizontal="center"/>
    </xf>
    <xf numFmtId="0" fontId="40" fillId="0" borderId="144" xfId="0" applyFont="1" applyFill="1" applyBorder="1" applyAlignment="1" applyProtection="1">
      <alignment horizontal="center"/>
    </xf>
    <xf numFmtId="0" fontId="40" fillId="13" borderId="8" xfId="0" applyFont="1" applyFill="1" applyBorder="1" applyAlignment="1" applyProtection="1">
      <alignment horizontal="center"/>
    </xf>
    <xf numFmtId="0" fontId="0" fillId="0" borderId="0" xfId="0" applyBorder="1" applyAlignment="1" applyProtection="1">
      <alignment horizontal="center" vertical="center"/>
    </xf>
    <xf numFmtId="0" fontId="134" fillId="0" borderId="0" xfId="0" quotePrefix="1" applyFont="1" applyFill="1" applyBorder="1" applyAlignment="1" applyProtection="1"/>
    <xf numFmtId="2" fontId="27" fillId="0" borderId="0" xfId="0" applyNumberFormat="1" applyFont="1">
      <alignment vertical="center"/>
    </xf>
    <xf numFmtId="0" fontId="137" fillId="0" borderId="0" xfId="0" applyFont="1" applyFill="1" applyBorder="1">
      <alignment vertical="center"/>
    </xf>
    <xf numFmtId="0" fontId="27" fillId="0" borderId="0" xfId="0" applyFont="1" applyAlignment="1">
      <alignment horizontal="right"/>
    </xf>
    <xf numFmtId="0" fontId="40" fillId="4" borderId="55" xfId="0" applyFont="1" applyFill="1" applyBorder="1" applyAlignment="1" applyProtection="1">
      <alignment horizontal="centerContinuous" vertical="center"/>
    </xf>
    <xf numFmtId="0" fontId="40" fillId="0" borderId="19" xfId="0" applyFont="1" applyFill="1" applyBorder="1" applyProtection="1">
      <alignment vertical="center"/>
    </xf>
    <xf numFmtId="0" fontId="40" fillId="0" borderId="55" xfId="0" applyFont="1" applyFill="1" applyBorder="1" applyProtection="1">
      <alignment vertical="center"/>
    </xf>
    <xf numFmtId="0" fontId="70" fillId="0" borderId="5" xfId="0" applyFont="1" applyFill="1" applyBorder="1" applyProtection="1">
      <alignment vertical="center"/>
    </xf>
    <xf numFmtId="0" fontId="51" fillId="0" borderId="4" xfId="0" applyFont="1" applyFill="1" applyBorder="1" applyAlignment="1" applyProtection="1">
      <alignment horizontal="left" vertical="center"/>
    </xf>
    <xf numFmtId="0" fontId="70" fillId="0" borderId="4" xfId="0" applyFont="1" applyFill="1" applyBorder="1" applyProtection="1">
      <alignment vertical="center"/>
    </xf>
    <xf numFmtId="0" fontId="38" fillId="0" borderId="51" xfId="0" applyFont="1" applyFill="1" applyBorder="1" applyAlignment="1" applyProtection="1">
      <alignment horizontal="center" vertical="center"/>
    </xf>
    <xf numFmtId="0" fontId="39" fillId="0" borderId="4" xfId="0" applyFont="1" applyFill="1" applyBorder="1" applyAlignment="1" applyProtection="1">
      <alignment horizontal="left" vertical="center"/>
    </xf>
    <xf numFmtId="0" fontId="51" fillId="0" borderId="30" xfId="0" applyFont="1" applyFill="1" applyBorder="1" applyProtection="1">
      <alignment vertical="center"/>
    </xf>
    <xf numFmtId="172" fontId="40" fillId="0" borderId="30" xfId="0" applyNumberFormat="1" applyFont="1" applyFill="1" applyBorder="1" applyAlignment="1" applyProtection="1">
      <alignment horizontal="left" vertical="center"/>
    </xf>
    <xf numFmtId="0" fontId="28" fillId="0" borderId="30" xfId="0" applyFont="1" applyFill="1" applyBorder="1" applyAlignment="1" applyProtection="1">
      <alignment horizontal="center" vertical="center"/>
    </xf>
    <xf numFmtId="172" fontId="39" fillId="0" borderId="30" xfId="0" applyNumberFormat="1" applyFont="1" applyFill="1" applyBorder="1" applyAlignment="1" applyProtection="1">
      <alignment horizontal="center" vertical="center"/>
    </xf>
    <xf numFmtId="3" fontId="39" fillId="0" borderId="30" xfId="0" applyNumberFormat="1" applyFont="1" applyBorder="1">
      <alignment vertical="center"/>
    </xf>
    <xf numFmtId="3" fontId="70" fillId="2" borderId="51" xfId="0" applyNumberFormat="1" applyFont="1" applyFill="1" applyBorder="1" applyProtection="1">
      <alignment vertical="center"/>
      <protection locked="0"/>
    </xf>
    <xf numFmtId="0" fontId="27" fillId="0" borderId="0" xfId="0" applyFont="1" applyBorder="1">
      <alignment vertical="center"/>
    </xf>
    <xf numFmtId="0" fontId="27" fillId="0" borderId="0" xfId="0" applyFont="1" applyBorder="1" applyAlignment="1">
      <alignment horizontal="right" vertical="center"/>
    </xf>
    <xf numFmtId="2" fontId="26" fillId="0" borderId="0" xfId="0" applyNumberFormat="1" applyFont="1" applyFill="1" applyBorder="1" applyAlignment="1">
      <alignment horizontal="right" vertical="center"/>
    </xf>
    <xf numFmtId="2" fontId="135" fillId="0" borderId="2" xfId="0" applyNumberFormat="1" applyFont="1" applyFill="1" applyBorder="1" applyAlignment="1" applyProtection="1">
      <alignment horizontal="center" vertical="center"/>
    </xf>
    <xf numFmtId="2" fontId="39" fillId="0" borderId="37" xfId="0" applyNumberFormat="1" applyFont="1" applyFill="1" applyBorder="1" applyAlignment="1" applyProtection="1">
      <alignment horizontal="center" vertical="center"/>
    </xf>
    <xf numFmtId="0" fontId="138" fillId="0" borderId="0" xfId="0" applyFont="1" applyFill="1" applyBorder="1" applyAlignment="1" applyProtection="1">
      <alignment horizontal="center"/>
    </xf>
    <xf numFmtId="0" fontId="139" fillId="0" borderId="0" xfId="0" applyFont="1" applyFill="1" applyBorder="1" applyAlignment="1" applyProtection="1">
      <alignment horizontal="left" vertical="center"/>
    </xf>
    <xf numFmtId="0" fontId="39" fillId="0" borderId="14" xfId="0" applyFont="1" applyFill="1" applyBorder="1" applyProtection="1">
      <alignment vertical="center"/>
    </xf>
    <xf numFmtId="0" fontId="39" fillId="0" borderId="18" xfId="0" applyFont="1" applyFill="1" applyBorder="1" applyAlignment="1" applyProtection="1">
      <alignment horizontal="left" vertical="center"/>
    </xf>
    <xf numFmtId="0" fontId="39" fillId="0" borderId="34" xfId="0" applyFont="1" applyFill="1" applyBorder="1" applyAlignment="1" applyProtection="1">
      <alignment horizontal="center" vertical="center"/>
    </xf>
    <xf numFmtId="0" fontId="39" fillId="0" borderId="23" xfId="0" applyFont="1" applyFill="1" applyBorder="1" applyAlignment="1" applyProtection="1">
      <alignment horizontal="center" vertical="center" wrapText="1"/>
    </xf>
    <xf numFmtId="0" fontId="39" fillId="0" borderId="28" xfId="0" applyFont="1" applyFill="1" applyBorder="1" applyProtection="1">
      <alignment vertical="center"/>
    </xf>
    <xf numFmtId="2" fontId="38" fillId="0" borderId="0" xfId="0" applyNumberFormat="1" applyFont="1">
      <alignment vertical="center"/>
    </xf>
    <xf numFmtId="0" fontId="39" fillId="0" borderId="0" xfId="0" applyFont="1" applyAlignment="1">
      <alignment horizontal="center" vertical="center"/>
    </xf>
    <xf numFmtId="0" fontId="39" fillId="0" borderId="0" xfId="0" applyFont="1" applyAlignment="1">
      <alignment horizontal="centerContinuous" vertical="center"/>
    </xf>
    <xf numFmtId="0" fontId="63" fillId="0" borderId="0" xfId="0" applyFont="1" applyProtection="1">
      <alignment vertical="center"/>
      <protection locked="0"/>
    </xf>
    <xf numFmtId="0" fontId="60" fillId="0" borderId="0" xfId="0" applyFont="1">
      <alignment vertical="center"/>
    </xf>
    <xf numFmtId="0" fontId="39" fillId="0" borderId="0" xfId="0" applyFont="1" applyAlignment="1">
      <alignment horizontal="right" vertical="center"/>
    </xf>
    <xf numFmtId="0" fontId="139" fillId="0" borderId="0" xfId="0" applyFont="1" applyFill="1" applyBorder="1" applyAlignment="1" applyProtection="1">
      <alignment horizontal="right" vertical="center"/>
    </xf>
    <xf numFmtId="0" fontId="62" fillId="0" borderId="0" xfId="0" applyFont="1" applyFill="1" applyBorder="1" applyProtection="1">
      <alignment vertical="center"/>
    </xf>
    <xf numFmtId="0" fontId="39" fillId="0" borderId="2" xfId="0" applyFont="1" applyFill="1" applyBorder="1" applyProtection="1">
      <alignment vertical="center"/>
    </xf>
    <xf numFmtId="0" fontId="39" fillId="0" borderId="3" xfId="0" applyFont="1" applyFill="1" applyBorder="1" applyProtection="1">
      <alignment vertical="center"/>
    </xf>
    <xf numFmtId="2" fontId="139" fillId="0" borderId="0" xfId="0" applyNumberFormat="1" applyFont="1">
      <alignment vertical="center"/>
    </xf>
    <xf numFmtId="188" fontId="39" fillId="0" borderId="0" xfId="0" applyNumberFormat="1" applyFont="1">
      <alignment vertical="center"/>
    </xf>
    <xf numFmtId="0" fontId="40" fillId="0" borderId="55" xfId="0" applyFont="1" applyFill="1" applyBorder="1" applyAlignment="1" applyProtection="1"/>
    <xf numFmtId="0" fontId="40" fillId="0" borderId="30" xfId="0" applyFont="1" applyBorder="1">
      <alignment vertical="center"/>
    </xf>
    <xf numFmtId="0" fontId="40" fillId="0" borderId="64" xfId="0" applyFont="1" applyBorder="1">
      <alignment vertical="center"/>
    </xf>
    <xf numFmtId="0" fontId="139" fillId="0" borderId="0" xfId="0" applyFont="1" applyFill="1" applyBorder="1" applyAlignment="1" applyProtection="1">
      <alignment horizontal="left" vertical="center"/>
      <protection locked="0"/>
    </xf>
    <xf numFmtId="0" fontId="75" fillId="8" borderId="0" xfId="0" applyFont="1" applyFill="1" applyBorder="1" applyProtection="1">
      <alignment vertical="center"/>
    </xf>
    <xf numFmtId="0" fontId="100" fillId="0" borderId="0" xfId="0" applyFont="1" applyBorder="1" applyAlignment="1" applyProtection="1">
      <alignment horizontal="right" vertical="center"/>
    </xf>
    <xf numFmtId="0" fontId="28" fillId="0" borderId="126" xfId="0" applyFont="1" applyFill="1" applyBorder="1" applyAlignment="1" applyProtection="1">
      <alignment horizontal="right" vertical="center"/>
    </xf>
    <xf numFmtId="0" fontId="28" fillId="0" borderId="88" xfId="0" applyFont="1" applyFill="1" applyBorder="1" applyAlignment="1" applyProtection="1">
      <alignment horizontal="right" vertical="center"/>
    </xf>
    <xf numFmtId="172" fontId="0" fillId="0" borderId="0" xfId="0" applyNumberFormat="1">
      <alignment vertical="center"/>
    </xf>
    <xf numFmtId="2" fontId="134" fillId="0" borderId="0" xfId="0" applyNumberFormat="1" applyFont="1">
      <alignment vertical="center"/>
    </xf>
    <xf numFmtId="0" fontId="134" fillId="0" borderId="0" xfId="0" applyFont="1" applyFill="1" applyBorder="1" applyAlignment="1" applyProtection="1">
      <protection locked="0"/>
    </xf>
    <xf numFmtId="2" fontId="134" fillId="0" borderId="0" xfId="0" applyNumberFormat="1" applyFont="1" applyFill="1" applyBorder="1" applyAlignment="1" applyProtection="1"/>
    <xf numFmtId="194" fontId="70" fillId="13" borderId="51" xfId="0" applyNumberFormat="1" applyFont="1" applyFill="1" applyBorder="1" applyProtection="1">
      <alignment vertical="center"/>
    </xf>
    <xf numFmtId="198" fontId="28" fillId="0" borderId="2" xfId="0" applyNumberFormat="1" applyFont="1" applyBorder="1" applyProtection="1">
      <alignment vertical="center"/>
    </xf>
    <xf numFmtId="198" fontId="28" fillId="0" borderId="80" xfId="0" applyNumberFormat="1" applyFont="1" applyBorder="1" applyProtection="1">
      <alignment vertical="center"/>
    </xf>
    <xf numFmtId="195" fontId="29" fillId="0" borderId="4" xfId="0" applyNumberFormat="1" applyFont="1" applyBorder="1" applyAlignment="1" applyProtection="1">
      <alignment horizontal="center" vertical="center"/>
    </xf>
    <xf numFmtId="198" fontId="28" fillId="0" borderId="7" xfId="0" applyNumberFormat="1" applyFont="1" applyBorder="1" applyProtection="1">
      <alignment vertical="center"/>
    </xf>
    <xf numFmtId="198" fontId="28" fillId="8" borderId="128" xfId="0" applyNumberFormat="1" applyFont="1" applyFill="1" applyBorder="1" applyProtection="1">
      <alignment vertical="center"/>
    </xf>
    <xf numFmtId="198" fontId="28" fillId="8" borderId="91" xfId="0" applyNumberFormat="1" applyFont="1" applyFill="1" applyBorder="1" applyProtection="1">
      <alignment vertical="center"/>
    </xf>
    <xf numFmtId="199" fontId="28" fillId="0" borderId="19" xfId="0" applyNumberFormat="1" applyFont="1" applyBorder="1" applyProtection="1">
      <alignment vertical="center"/>
    </xf>
    <xf numFmtId="197" fontId="28" fillId="8" borderId="127" xfId="0" applyNumberFormat="1" applyFont="1" applyFill="1" applyBorder="1" applyProtection="1">
      <alignment vertical="center"/>
    </xf>
    <xf numFmtId="197" fontId="28" fillId="8" borderId="129" xfId="0" applyNumberFormat="1" applyFont="1" applyFill="1" applyBorder="1" applyProtection="1">
      <alignment vertical="center"/>
    </xf>
    <xf numFmtId="0" fontId="40" fillId="4" borderId="5" xfId="0" applyFont="1" applyFill="1" applyBorder="1" applyAlignment="1" applyProtection="1">
      <alignment horizontal="centerContinuous" vertical="center"/>
    </xf>
    <xf numFmtId="0" fontId="40" fillId="0" borderId="118" xfId="0" applyFont="1" applyFill="1" applyBorder="1" applyAlignment="1" applyProtection="1">
      <alignment horizontal="center" vertical="center"/>
    </xf>
    <xf numFmtId="0" fontId="40" fillId="0" borderId="177" xfId="0" applyFont="1" applyFill="1" applyBorder="1" applyAlignment="1" applyProtection="1">
      <alignment horizontal="center" vertical="center"/>
    </xf>
    <xf numFmtId="172" fontId="40" fillId="0" borderId="173" xfId="0" applyNumberFormat="1" applyFont="1" applyFill="1" applyBorder="1" applyAlignment="1" applyProtection="1">
      <alignment horizontal="center"/>
    </xf>
    <xf numFmtId="172" fontId="40" fillId="0" borderId="144" xfId="0" applyNumberFormat="1" applyFont="1" applyFill="1" applyBorder="1" applyAlignment="1" applyProtection="1">
      <alignment horizontal="center"/>
    </xf>
    <xf numFmtId="0" fontId="40" fillId="0" borderId="117" xfId="0" applyFont="1" applyFill="1" applyBorder="1" applyProtection="1">
      <alignment vertical="center"/>
    </xf>
    <xf numFmtId="0" fontId="40" fillId="0" borderId="177" xfId="0" applyFont="1" applyFill="1" applyBorder="1" applyProtection="1">
      <alignment vertical="center"/>
    </xf>
    <xf numFmtId="0" fontId="28" fillId="3" borderId="144" xfId="0" applyFont="1" applyFill="1" applyBorder="1" applyAlignment="1" applyProtection="1"/>
    <xf numFmtId="188" fontId="39" fillId="0" borderId="0" xfId="0" applyNumberFormat="1" applyFont="1" applyFill="1" applyBorder="1" applyProtection="1">
      <alignment vertical="center"/>
    </xf>
    <xf numFmtId="206" fontId="39" fillId="0" borderId="0" xfId="0" applyNumberFormat="1" applyFont="1" applyFill="1" applyBorder="1" applyProtection="1">
      <alignment vertical="center"/>
    </xf>
    <xf numFmtId="207" fontId="39" fillId="0" borderId="0" xfId="0" applyNumberFormat="1" applyFont="1" applyFill="1" applyBorder="1" applyProtection="1">
      <alignment vertical="center"/>
    </xf>
    <xf numFmtId="172" fontId="63" fillId="0" borderId="0" xfId="0" applyNumberFormat="1" applyFont="1">
      <alignment vertical="center"/>
    </xf>
    <xf numFmtId="0" fontId="140" fillId="0" borderId="0" xfId="0" applyFont="1">
      <alignment vertical="center"/>
    </xf>
    <xf numFmtId="0" fontId="27" fillId="0" borderId="0" xfId="0" quotePrefix="1" applyFont="1" applyFill="1" applyBorder="1" applyAlignment="1" applyProtection="1">
      <alignment horizontal="center"/>
    </xf>
    <xf numFmtId="1" fontId="28" fillId="0" borderId="42" xfId="0" applyNumberFormat="1" applyFont="1" applyFill="1" applyBorder="1" applyAlignment="1" applyProtection="1">
      <alignment horizontal="center"/>
    </xf>
    <xf numFmtId="0" fontId="28" fillId="0" borderId="14" xfId="0" applyFont="1" applyFill="1" applyBorder="1" applyAlignment="1" applyProtection="1">
      <alignment horizontal="center"/>
    </xf>
    <xf numFmtId="1" fontId="28" fillId="0" borderId="14" xfId="0" applyNumberFormat="1" applyFont="1" applyFill="1" applyBorder="1" applyAlignment="1" applyProtection="1">
      <alignment horizontal="center"/>
    </xf>
    <xf numFmtId="184" fontId="28" fillId="0" borderId="0" xfId="0" applyNumberFormat="1" applyFont="1" applyFill="1" applyBorder="1" applyAlignment="1" applyProtection="1"/>
    <xf numFmtId="184" fontId="27" fillId="0" borderId="0" xfId="0" applyNumberFormat="1" applyFont="1" applyFill="1" applyBorder="1" applyAlignment="1" applyProtection="1"/>
    <xf numFmtId="2" fontId="100" fillId="0" borderId="0" xfId="0" applyNumberFormat="1" applyFont="1" applyProtection="1">
      <alignment vertical="center"/>
      <protection locked="0"/>
    </xf>
    <xf numFmtId="2" fontId="39" fillId="10" borderId="92" xfId="0" applyNumberFormat="1" applyFont="1" applyFill="1" applyBorder="1" applyAlignment="1" applyProtection="1">
      <alignment horizontal="left" vertical="center"/>
    </xf>
    <xf numFmtId="2" fontId="39" fillId="10" borderId="89" xfId="0" applyNumberFormat="1" applyFont="1" applyFill="1" applyBorder="1" applyAlignment="1" applyProtection="1">
      <alignment horizontal="left" vertical="center"/>
    </xf>
    <xf numFmtId="2" fontId="39" fillId="10" borderId="89" xfId="0" applyNumberFormat="1" applyFont="1" applyFill="1" applyBorder="1" applyProtection="1">
      <alignment vertical="center"/>
    </xf>
    <xf numFmtId="2" fontId="39" fillId="10" borderId="3" xfId="0" applyNumberFormat="1" applyFont="1" applyFill="1" applyBorder="1" applyProtection="1">
      <alignment vertical="center"/>
    </xf>
    <xf numFmtId="2" fontId="39" fillId="10" borderId="48" xfId="0" applyNumberFormat="1" applyFont="1" applyFill="1" applyBorder="1" applyProtection="1">
      <alignment vertical="center"/>
    </xf>
    <xf numFmtId="2" fontId="39" fillId="10" borderId="92" xfId="0" applyNumberFormat="1" applyFont="1" applyFill="1" applyBorder="1" applyProtection="1">
      <alignment vertical="center"/>
    </xf>
    <xf numFmtId="2" fontId="40" fillId="2" borderId="48" xfId="0" applyNumberFormat="1" applyFont="1" applyFill="1" applyBorder="1" applyAlignment="1" applyProtection="1">
      <alignment horizontal="center"/>
      <protection locked="0"/>
    </xf>
    <xf numFmtId="2" fontId="40" fillId="2" borderId="8" xfId="0" applyNumberFormat="1" applyFont="1" applyFill="1" applyBorder="1" applyAlignment="1" applyProtection="1">
      <alignment horizontal="center"/>
      <protection locked="0"/>
    </xf>
    <xf numFmtId="2" fontId="38" fillId="0" borderId="32" xfId="0" applyNumberFormat="1" applyFont="1" applyFill="1" applyBorder="1" applyProtection="1">
      <alignment vertical="center"/>
    </xf>
    <xf numFmtId="2" fontId="39" fillId="0" borderId="32" xfId="0" applyNumberFormat="1" applyFont="1" applyFill="1" applyBorder="1" applyProtection="1">
      <alignment vertical="center"/>
    </xf>
    <xf numFmtId="172" fontId="39" fillId="0" borderId="32" xfId="0" applyNumberFormat="1" applyFont="1" applyFill="1" applyBorder="1" applyAlignment="1" applyProtection="1">
      <alignment horizontal="center" vertical="center"/>
    </xf>
    <xf numFmtId="172" fontId="39" fillId="0" borderId="32" xfId="0" applyNumberFormat="1" applyFont="1" applyFill="1" applyBorder="1" applyProtection="1">
      <alignment vertical="center"/>
    </xf>
    <xf numFmtId="1" fontId="39" fillId="0" borderId="32" xfId="0" applyNumberFormat="1" applyFont="1" applyFill="1" applyBorder="1" applyProtection="1">
      <alignment vertical="center"/>
    </xf>
    <xf numFmtId="2" fontId="39" fillId="0" borderId="32" xfId="0" applyNumberFormat="1" applyFont="1" applyFill="1" applyBorder="1" applyAlignment="1" applyProtection="1">
      <alignment horizontal="center" vertical="center"/>
    </xf>
    <xf numFmtId="0" fontId="39" fillId="0" borderId="32" xfId="0" applyFont="1" applyBorder="1">
      <alignment vertical="center"/>
    </xf>
    <xf numFmtId="2" fontId="28" fillId="0" borderId="36" xfId="0" applyNumberFormat="1" applyFont="1" applyFill="1" applyBorder="1" applyProtection="1">
      <alignment vertical="center"/>
    </xf>
    <xf numFmtId="208" fontId="39" fillId="0" borderId="0" xfId="2" applyFont="1" applyFill="1" applyBorder="1" applyAlignment="1" applyProtection="1">
      <alignment vertical="center"/>
    </xf>
    <xf numFmtId="208" fontId="39" fillId="0" borderId="30" xfId="2" applyFont="1" applyFill="1" applyBorder="1" applyAlignment="1" applyProtection="1">
      <alignment horizontal="right" vertical="center"/>
    </xf>
    <xf numFmtId="208" fontId="38" fillId="0" borderId="0" xfId="2" applyFont="1" applyFill="1" applyBorder="1" applyAlignment="1" applyProtection="1">
      <alignment vertical="center"/>
    </xf>
    <xf numFmtId="208" fontId="0" fillId="0" borderId="0" xfId="2" applyFont="1" applyBorder="1" applyAlignment="1">
      <alignment vertical="center"/>
    </xf>
    <xf numFmtId="208" fontId="39" fillId="0" borderId="0" xfId="2" applyFont="1" applyFill="1" applyBorder="1" applyAlignment="1" applyProtection="1">
      <alignment horizontal="right" vertical="center"/>
    </xf>
    <xf numFmtId="208" fontId="0" fillId="0" borderId="0" xfId="2" applyFont="1" applyBorder="1" applyAlignment="1">
      <alignment horizontal="right" vertical="center"/>
    </xf>
    <xf numFmtId="208" fontId="39" fillId="0" borderId="33" xfId="2" applyFont="1" applyFill="1" applyBorder="1" applyAlignment="1" applyProtection="1">
      <alignment horizontal="right" vertical="center"/>
    </xf>
    <xf numFmtId="208" fontId="28" fillId="0" borderId="0" xfId="2" applyFont="1" applyFill="1" applyBorder="1" applyAlignment="1" applyProtection="1">
      <alignment vertical="center"/>
    </xf>
    <xf numFmtId="208" fontId="28" fillId="0" borderId="0" xfId="2" applyFont="1" applyFill="1" applyBorder="1" applyAlignment="1" applyProtection="1">
      <alignment horizontal="right" vertical="center"/>
    </xf>
    <xf numFmtId="208" fontId="28" fillId="0" borderId="4" xfId="2" applyFont="1" applyFill="1" applyBorder="1" applyAlignment="1" applyProtection="1">
      <alignment vertical="center"/>
    </xf>
    <xf numFmtId="208" fontId="28" fillId="0" borderId="30" xfId="2" applyFont="1" applyFill="1" applyBorder="1" applyAlignment="1" applyProtection="1">
      <alignment vertical="center"/>
    </xf>
    <xf numFmtId="208" fontId="39" fillId="0" borderId="64" xfId="2" applyFont="1" applyFill="1" applyBorder="1" applyAlignment="1" applyProtection="1">
      <alignment horizontal="right" vertical="center"/>
    </xf>
    <xf numFmtId="2" fontId="39" fillId="3" borderId="19" xfId="0" applyNumberFormat="1" applyFont="1" applyFill="1" applyBorder="1" applyAlignment="1" applyProtection="1">
      <alignment horizontal="center"/>
    </xf>
    <xf numFmtId="2" fontId="39" fillId="2" borderId="52" xfId="0" applyNumberFormat="1" applyFont="1" applyFill="1" applyBorder="1" applyAlignment="1" applyProtection="1">
      <alignment horizontal="center"/>
      <protection locked="0"/>
    </xf>
    <xf numFmtId="2" fontId="39" fillId="5" borderId="19" xfId="0" applyNumberFormat="1" applyFont="1" applyFill="1" applyBorder="1" applyAlignment="1" applyProtection="1">
      <alignment horizontal="center"/>
    </xf>
    <xf numFmtId="2" fontId="39" fillId="5" borderId="7" xfId="0" applyNumberFormat="1" applyFont="1" applyFill="1" applyBorder="1" applyAlignment="1" applyProtection="1">
      <alignment horizontal="center"/>
    </xf>
    <xf numFmtId="196" fontId="28" fillId="0" borderId="46" xfId="0" applyNumberFormat="1" applyFont="1" applyBorder="1" applyProtection="1">
      <alignment vertical="center"/>
    </xf>
    <xf numFmtId="196" fontId="28" fillId="0" borderId="46" xfId="0" applyNumberFormat="1" applyFont="1" applyFill="1" applyBorder="1" applyProtection="1">
      <alignment vertical="center"/>
    </xf>
    <xf numFmtId="196" fontId="28" fillId="0" borderId="54" xfId="0" applyNumberFormat="1" applyFont="1" applyBorder="1" applyProtection="1">
      <alignment vertical="center"/>
    </xf>
    <xf numFmtId="196" fontId="28" fillId="0" borderId="54" xfId="0" applyNumberFormat="1" applyFont="1" applyFill="1" applyBorder="1" applyProtection="1">
      <alignment vertical="center"/>
    </xf>
    <xf numFmtId="196" fontId="28" fillId="0" borderId="49" xfId="0" applyNumberFormat="1" applyFont="1" applyBorder="1" applyProtection="1">
      <alignment vertical="center"/>
    </xf>
    <xf numFmtId="196" fontId="28" fillId="0" borderId="49" xfId="0" applyNumberFormat="1" applyFont="1" applyFill="1" applyBorder="1" applyProtection="1">
      <alignment vertical="center"/>
    </xf>
    <xf numFmtId="172" fontId="134" fillId="0" borderId="0" xfId="0" applyNumberFormat="1" applyFont="1" applyFill="1" applyBorder="1" applyAlignment="1" applyProtection="1">
      <alignment horizontal="right" vertical="center" wrapText="1"/>
    </xf>
    <xf numFmtId="208" fontId="39" fillId="0" borderId="30" xfId="2" applyFont="1" applyFill="1" applyBorder="1" applyAlignment="1" applyProtection="1">
      <alignment vertical="center"/>
    </xf>
    <xf numFmtId="208" fontId="39" fillId="0" borderId="4" xfId="2" applyFont="1" applyFill="1" applyBorder="1" applyAlignment="1" applyProtection="1">
      <alignment vertical="center"/>
    </xf>
    <xf numFmtId="0" fontId="135" fillId="0" borderId="0" xfId="0" applyFont="1">
      <alignment vertical="center"/>
    </xf>
    <xf numFmtId="0" fontId="39" fillId="0" borderId="181" xfId="0" applyFont="1" applyFill="1" applyBorder="1" applyProtection="1">
      <alignment vertical="center"/>
    </xf>
    <xf numFmtId="0" fontId="61" fillId="0" borderId="0" xfId="0" applyFont="1" applyBorder="1" applyAlignment="1" applyProtection="1">
      <alignment horizontal="centerContinuous" vertical="center"/>
    </xf>
    <xf numFmtId="0" fontId="61" fillId="0" borderId="0" xfId="0" applyFont="1" applyAlignment="1" applyProtection="1">
      <alignment horizontal="centerContinuous" vertical="center"/>
    </xf>
    <xf numFmtId="0" fontId="28" fillId="0" borderId="0" xfId="0" applyFont="1" applyAlignment="1" applyProtection="1">
      <alignment horizontal="centerContinuous" vertical="center"/>
    </xf>
    <xf numFmtId="0" fontId="28" fillId="0" borderId="52" xfId="0" applyFont="1" applyBorder="1" applyAlignment="1" applyProtection="1">
      <alignment horizontal="centerContinuous" vertical="center"/>
    </xf>
    <xf numFmtId="0" fontId="39" fillId="0" borderId="33" xfId="0" applyFont="1" applyBorder="1" applyAlignment="1" applyProtection="1">
      <alignment horizontal="centerContinuous" vertical="center"/>
    </xf>
    <xf numFmtId="0" fontId="0" fillId="0" borderId="33" xfId="0" applyBorder="1" applyAlignment="1" applyProtection="1">
      <alignment horizontal="centerContinuous" vertical="center"/>
    </xf>
    <xf numFmtId="0" fontId="0" fillId="0" borderId="53" xfId="0" applyBorder="1" applyAlignment="1" applyProtection="1">
      <alignment horizontal="centerContinuous" vertical="center"/>
    </xf>
    <xf numFmtId="0" fontId="28" fillId="0" borderId="51" xfId="0" applyFont="1" applyBorder="1" applyProtection="1">
      <alignment vertical="center"/>
    </xf>
    <xf numFmtId="204" fontId="28" fillId="0" borderId="51" xfId="0" applyNumberFormat="1" applyFont="1" applyBorder="1" applyProtection="1">
      <alignment vertical="center"/>
    </xf>
    <xf numFmtId="188" fontId="28" fillId="2" borderId="51" xfId="0" applyNumberFormat="1" applyFont="1" applyFill="1" applyBorder="1" applyProtection="1">
      <alignment vertical="center"/>
      <protection locked="0"/>
    </xf>
    <xf numFmtId="3" fontId="28" fillId="0" borderId="66" xfId="0" applyNumberFormat="1" applyFont="1" applyBorder="1" applyProtection="1">
      <alignment vertical="center"/>
    </xf>
    <xf numFmtId="3" fontId="28" fillId="0" borderId="54" xfId="0" applyNumberFormat="1" applyFont="1" applyBorder="1" applyProtection="1">
      <alignment vertical="center"/>
    </xf>
    <xf numFmtId="3" fontId="39" fillId="0" borderId="54" xfId="0" applyNumberFormat="1" applyFont="1" applyBorder="1" applyProtection="1">
      <alignment vertical="center"/>
    </xf>
    <xf numFmtId="3" fontId="28" fillId="0" borderId="49" xfId="0" applyNumberFormat="1" applyFont="1" applyBorder="1" applyProtection="1">
      <alignment vertical="center"/>
    </xf>
    <xf numFmtId="0" fontId="0" fillId="0" borderId="66" xfId="0" applyBorder="1" applyProtection="1">
      <alignment vertical="center"/>
    </xf>
    <xf numFmtId="0" fontId="0" fillId="0" borderId="54" xfId="0" applyBorder="1" applyProtection="1">
      <alignment vertical="center"/>
    </xf>
    <xf numFmtId="0" fontId="0" fillId="0" borderId="49" xfId="0" applyBorder="1" applyProtection="1">
      <alignment vertical="center"/>
    </xf>
    <xf numFmtId="208" fontId="29" fillId="0" borderId="0" xfId="2" applyFont="1" applyFill="1" applyBorder="1" applyAlignment="1" applyProtection="1">
      <alignment vertical="center"/>
    </xf>
    <xf numFmtId="194" fontId="70" fillId="2" borderId="4" xfId="0" applyNumberFormat="1" applyFont="1" applyFill="1" applyBorder="1" applyAlignment="1" applyProtection="1">
      <alignment vertical="center" shrinkToFit="1"/>
      <protection locked="0"/>
    </xf>
    <xf numFmtId="194" fontId="70" fillId="8" borderId="51" xfId="0" applyNumberFormat="1" applyFont="1" applyFill="1" applyBorder="1" applyAlignment="1" applyProtection="1">
      <alignment vertical="center" shrinkToFit="1"/>
    </xf>
    <xf numFmtId="0" fontId="0" fillId="0" borderId="0" xfId="0" applyFill="1" applyBorder="1" applyAlignment="1" applyProtection="1">
      <alignment horizontal="centerContinuous" vertical="center"/>
    </xf>
    <xf numFmtId="208" fontId="39" fillId="0" borderId="37" xfId="2" applyFont="1" applyFill="1" applyBorder="1" applyAlignment="1" applyProtection="1">
      <alignment horizontal="center" vertical="center"/>
    </xf>
    <xf numFmtId="208" fontId="39" fillId="0" borderId="2" xfId="2" applyFont="1" applyFill="1" applyBorder="1" applyAlignment="1" applyProtection="1">
      <alignment horizontal="center" vertical="center"/>
    </xf>
    <xf numFmtId="208" fontId="39" fillId="3" borderId="26" xfId="2" applyFont="1" applyFill="1" applyBorder="1" applyAlignment="1" applyProtection="1">
      <alignment horizontal="center" vertical="center"/>
    </xf>
    <xf numFmtId="208" fontId="39" fillId="3" borderId="2" xfId="2" applyFont="1" applyFill="1" applyBorder="1" applyAlignment="1" applyProtection="1">
      <alignment horizontal="center" vertical="center"/>
    </xf>
    <xf numFmtId="208" fontId="39" fillId="3" borderId="77" xfId="2" applyFont="1" applyFill="1" applyBorder="1" applyAlignment="1" applyProtection="1">
      <alignment horizontal="center" vertical="center"/>
    </xf>
    <xf numFmtId="208" fontId="39" fillId="9" borderId="131" xfId="2" applyFont="1" applyFill="1" applyBorder="1" applyAlignment="1" applyProtection="1">
      <alignment horizontal="center" vertical="center"/>
    </xf>
    <xf numFmtId="208" fontId="39" fillId="0" borderId="26" xfId="2" applyFont="1" applyFill="1" applyBorder="1" applyAlignment="1" applyProtection="1">
      <alignment horizontal="center" vertical="center"/>
    </xf>
    <xf numFmtId="208" fontId="39" fillId="3" borderId="22" xfId="2" applyFont="1" applyFill="1" applyBorder="1" applyAlignment="1" applyProtection="1">
      <alignment horizontal="center" vertical="center"/>
    </xf>
    <xf numFmtId="208" fontId="39" fillId="0" borderId="102" xfId="2" applyFont="1" applyFill="1" applyBorder="1" applyAlignment="1" applyProtection="1">
      <alignment horizontal="center" vertical="center"/>
    </xf>
    <xf numFmtId="210" fontId="39" fillId="9" borderId="132" xfId="7" applyFont="1" applyFill="1" applyBorder="1" applyAlignment="1" applyProtection="1">
      <alignment horizontal="center" vertical="center"/>
    </xf>
    <xf numFmtId="210" fontId="39" fillId="0" borderId="98" xfId="7" applyFont="1" applyFill="1" applyBorder="1" applyAlignment="1" applyProtection="1">
      <alignment horizontal="center" vertical="center"/>
    </xf>
    <xf numFmtId="210" fontId="39" fillId="3" borderId="98" xfId="7" applyFont="1" applyFill="1" applyBorder="1" applyAlignment="1" applyProtection="1">
      <alignment horizontal="center" vertical="center"/>
    </xf>
    <xf numFmtId="210" fontId="39" fillId="3" borderId="75" xfId="7" applyFont="1" applyFill="1" applyBorder="1" applyAlignment="1" applyProtection="1">
      <alignment horizontal="center" vertical="center"/>
    </xf>
    <xf numFmtId="210" fontId="39" fillId="9" borderId="103" xfId="7" applyFont="1" applyFill="1" applyBorder="1" applyAlignment="1" applyProtection="1">
      <alignment horizontal="center" vertical="center"/>
    </xf>
    <xf numFmtId="210" fontId="39" fillId="0" borderId="28" xfId="7" applyFont="1" applyFill="1" applyBorder="1" applyAlignment="1" applyProtection="1">
      <alignment horizontal="center" vertical="center"/>
    </xf>
    <xf numFmtId="210" fontId="39" fillId="3" borderId="28" xfId="7" applyFont="1" applyFill="1" applyBorder="1" applyAlignment="1" applyProtection="1">
      <alignment horizontal="center" vertical="center"/>
    </xf>
    <xf numFmtId="210" fontId="39" fillId="3" borderId="25" xfId="7" applyFont="1" applyFill="1" applyBorder="1" applyAlignment="1" applyProtection="1">
      <alignment horizontal="center" vertical="center"/>
    </xf>
    <xf numFmtId="210" fontId="39" fillId="0" borderId="103" xfId="7" applyFont="1" applyFill="1" applyBorder="1" applyAlignment="1" applyProtection="1">
      <alignment horizontal="center" vertical="center"/>
    </xf>
    <xf numFmtId="210" fontId="39" fillId="3" borderId="10" xfId="7" applyFont="1" applyFill="1" applyBorder="1" applyAlignment="1" applyProtection="1">
      <alignment horizontal="center" vertical="center"/>
    </xf>
    <xf numFmtId="210" fontId="39" fillId="0" borderId="102" xfId="7" applyFont="1" applyFill="1" applyBorder="1" applyAlignment="1" applyProtection="1">
      <alignment horizontal="center" vertical="center"/>
    </xf>
    <xf numFmtId="210" fontId="39" fillId="0" borderId="3" xfId="7" applyFont="1" applyFill="1" applyBorder="1" applyAlignment="1" applyProtection="1">
      <alignment horizontal="center" vertical="center"/>
    </xf>
    <xf numFmtId="210" fontId="39" fillId="3" borderId="3" xfId="7" applyFont="1" applyFill="1" applyBorder="1" applyAlignment="1" applyProtection="1">
      <alignment horizontal="center" vertical="center"/>
    </xf>
    <xf numFmtId="211" fontId="39" fillId="0" borderId="103" xfId="8" applyFont="1" applyFill="1" applyBorder="1" applyAlignment="1" applyProtection="1">
      <alignment horizontal="center" vertical="center"/>
    </xf>
    <xf numFmtId="211" fontId="39" fillId="0" borderId="28" xfId="8" applyFont="1" applyFill="1" applyBorder="1" applyAlignment="1" applyProtection="1">
      <alignment horizontal="center" vertical="center"/>
    </xf>
    <xf numFmtId="211" fontId="39" fillId="3" borderId="28" xfId="8" applyFont="1" applyFill="1" applyBorder="1" applyAlignment="1" applyProtection="1">
      <alignment horizontal="center" vertical="center"/>
    </xf>
    <xf numFmtId="211" fontId="39" fillId="3" borderId="25" xfId="8" applyFont="1" applyFill="1" applyBorder="1" applyAlignment="1" applyProtection="1">
      <alignment horizontal="center" vertical="center"/>
    </xf>
    <xf numFmtId="208" fontId="0" fillId="0" borderId="30" xfId="2" applyFont="1" applyBorder="1" applyAlignment="1">
      <alignment vertical="center"/>
    </xf>
    <xf numFmtId="0" fontId="0" fillId="0" borderId="0" xfId="0" applyAlignment="1">
      <alignment horizontal="right" vertical="center"/>
    </xf>
    <xf numFmtId="212" fontId="38" fillId="0" borderId="0" xfId="9" applyFont="1" applyBorder="1">
      <alignment vertical="center"/>
    </xf>
    <xf numFmtId="164" fontId="0" fillId="0" borderId="0" xfId="0" applyNumberFormat="1">
      <alignment vertical="center"/>
    </xf>
    <xf numFmtId="0" fontId="26" fillId="0" borderId="0" xfId="0" applyFont="1" applyFill="1" applyBorder="1" applyAlignment="1" applyProtection="1">
      <alignment horizontal="left"/>
    </xf>
    <xf numFmtId="212" fontId="0" fillId="0" borderId="0" xfId="9" applyFont="1" applyBorder="1" applyAlignment="1">
      <alignment vertical="center"/>
    </xf>
    <xf numFmtId="198" fontId="28" fillId="0" borderId="0" xfId="0" applyNumberFormat="1" applyFont="1" applyBorder="1" applyAlignment="1" applyProtection="1">
      <alignment horizontal="left" vertical="center"/>
    </xf>
    <xf numFmtId="0" fontId="147" fillId="0" borderId="93" xfId="0" applyFont="1" applyFill="1" applyBorder="1" applyAlignment="1" applyProtection="1">
      <alignment horizontal="right" vertical="top" wrapText="1"/>
      <protection locked="0"/>
    </xf>
    <xf numFmtId="213" fontId="68" fillId="0" borderId="93" xfId="10" applyFont="1" applyFill="1" applyBorder="1" applyAlignment="1" applyProtection="1">
      <alignment vertical="top" wrapText="1"/>
      <protection locked="0"/>
    </xf>
    <xf numFmtId="213" fontId="68" fillId="0" borderId="93" xfId="10" applyFont="1" applyFill="1" applyBorder="1" applyAlignment="1" applyProtection="1">
      <alignment horizontal="right" vertical="top" wrapText="1"/>
      <protection locked="0"/>
    </xf>
    <xf numFmtId="213" fontId="40" fillId="0" borderId="93" xfId="10" applyFont="1" applyFill="1" applyBorder="1" applyAlignment="1" applyProtection="1">
      <alignment vertical="top" wrapText="1"/>
      <protection locked="0"/>
    </xf>
    <xf numFmtId="213" fontId="40" fillId="0" borderId="93" xfId="10" applyFont="1" applyFill="1" applyBorder="1" applyAlignment="1" applyProtection="1">
      <alignment horizontal="right" vertical="top" wrapText="1"/>
      <protection locked="0"/>
    </xf>
    <xf numFmtId="213" fontId="0" fillId="0" borderId="0" xfId="10" applyFont="1" applyBorder="1">
      <alignment vertical="center"/>
    </xf>
    <xf numFmtId="208" fontId="39" fillId="0" borderId="64" xfId="2" applyFont="1" applyFill="1" applyBorder="1" applyAlignment="1" applyProtection="1">
      <alignment vertical="center"/>
    </xf>
    <xf numFmtId="208" fontId="40" fillId="0" borderId="0" xfId="2" applyFont="1" applyFill="1" applyBorder="1" applyAlignment="1" applyProtection="1">
      <alignment vertical="center"/>
    </xf>
    <xf numFmtId="208" fontId="39" fillId="0" borderId="0" xfId="2" applyFont="1" applyFill="1" applyBorder="1" applyAlignment="1" applyProtection="1">
      <alignment horizontal="left" vertical="center"/>
    </xf>
    <xf numFmtId="213" fontId="136" fillId="0" borderId="93" xfId="10" applyFont="1" applyFill="1" applyBorder="1" applyAlignment="1" applyProtection="1">
      <alignment vertical="top" wrapText="1"/>
      <protection locked="0"/>
    </xf>
    <xf numFmtId="172" fontId="135" fillId="0" borderId="2" xfId="0" applyNumberFormat="1" applyFont="1" applyFill="1" applyBorder="1" applyAlignment="1" applyProtection="1">
      <alignment horizontal="center" vertical="center"/>
    </xf>
    <xf numFmtId="172" fontId="135" fillId="0" borderId="3" xfId="0" applyNumberFormat="1" applyFont="1" applyFill="1" applyBorder="1" applyAlignment="1" applyProtection="1">
      <alignment horizontal="center" vertical="center"/>
    </xf>
    <xf numFmtId="214" fontId="39" fillId="0" borderId="117" xfId="0" applyNumberFormat="1" applyFont="1" applyFill="1" applyBorder="1" applyAlignment="1" applyProtection="1">
      <alignment horizontal="center" vertical="center"/>
    </xf>
    <xf numFmtId="214" fontId="39" fillId="0" borderId="150" xfId="0" applyNumberFormat="1" applyFont="1" applyFill="1" applyBorder="1" applyAlignment="1" applyProtection="1">
      <alignment horizontal="center" vertical="center"/>
    </xf>
    <xf numFmtId="214" fontId="39" fillId="0" borderId="6" xfId="0" applyNumberFormat="1" applyFont="1" applyFill="1" applyBorder="1" applyAlignment="1" applyProtection="1">
      <alignment horizontal="center" vertical="center"/>
    </xf>
    <xf numFmtId="214" fontId="39" fillId="0" borderId="119" xfId="0" applyNumberFormat="1" applyFont="1" applyFill="1" applyBorder="1" applyAlignment="1" applyProtection="1">
      <alignment horizontal="center" vertical="center"/>
    </xf>
    <xf numFmtId="214" fontId="39" fillId="0" borderId="151" xfId="0" applyNumberFormat="1" applyFont="1" applyFill="1" applyBorder="1" applyAlignment="1" applyProtection="1">
      <alignment horizontal="center" vertical="center"/>
    </xf>
    <xf numFmtId="214" fontId="39" fillId="0" borderId="148" xfId="0" applyNumberFormat="1" applyFont="1" applyFill="1" applyBorder="1" applyAlignment="1" applyProtection="1">
      <alignment horizontal="center" vertical="center"/>
    </xf>
    <xf numFmtId="214" fontId="39" fillId="0" borderId="120" xfId="0" applyNumberFormat="1" applyFont="1" applyFill="1" applyBorder="1" applyAlignment="1" applyProtection="1">
      <alignment horizontal="center" vertical="center"/>
    </xf>
    <xf numFmtId="214" fontId="39" fillId="0" borderId="104" xfId="0" applyNumberFormat="1" applyFont="1" applyFill="1" applyBorder="1" applyAlignment="1" applyProtection="1">
      <alignment horizontal="center" vertical="center"/>
    </xf>
    <xf numFmtId="214" fontId="39" fillId="0" borderId="87" xfId="0" applyNumberFormat="1" applyFont="1" applyFill="1" applyBorder="1" applyAlignment="1" applyProtection="1">
      <alignment horizontal="center" vertical="center"/>
    </xf>
    <xf numFmtId="214" fontId="39" fillId="0" borderId="71" xfId="0" applyNumberFormat="1" applyFont="1" applyFill="1" applyBorder="1" applyAlignment="1" applyProtection="1">
      <alignment horizontal="center" vertical="center"/>
    </xf>
    <xf numFmtId="214" fontId="39" fillId="0" borderId="146" xfId="0" applyNumberFormat="1" applyFont="1" applyFill="1" applyBorder="1" applyAlignment="1" applyProtection="1">
      <alignment horizontal="center" vertical="center"/>
    </xf>
    <xf numFmtId="0" fontId="150" fillId="0" borderId="10" xfId="0" applyFont="1" applyFill="1" applyBorder="1" applyAlignment="1" applyProtection="1">
      <alignment horizontal="right"/>
    </xf>
    <xf numFmtId="0" fontId="150" fillId="0" borderId="0" xfId="0" applyFont="1" applyFill="1" applyBorder="1" applyAlignment="1" applyProtection="1">
      <alignment horizontal="right"/>
    </xf>
    <xf numFmtId="2" fontId="40" fillId="0" borderId="48" xfId="0" applyNumberFormat="1" applyFont="1" applyFill="1" applyBorder="1" applyAlignment="1" applyProtection="1">
      <alignment horizontal="center" shrinkToFit="1"/>
    </xf>
    <xf numFmtId="2" fontId="40" fillId="2" borderId="7" xfId="0" applyNumberFormat="1" applyFont="1" applyFill="1" applyBorder="1" applyAlignment="1" applyProtection="1">
      <alignment horizontal="center" shrinkToFit="1"/>
      <protection locked="0"/>
    </xf>
    <xf numFmtId="0" fontId="27" fillId="0" borderId="81" xfId="0" applyFont="1" applyBorder="1" applyAlignment="1" applyProtection="1">
      <alignment horizontal="center" vertical="center"/>
    </xf>
    <xf numFmtId="208" fontId="39" fillId="0" borderId="7" xfId="2" applyFont="1" applyFill="1" applyBorder="1" applyAlignment="1" applyProtection="1">
      <alignment vertical="center"/>
    </xf>
    <xf numFmtId="208" fontId="39" fillId="0" borderId="3" xfId="2" applyFont="1" applyFill="1" applyBorder="1" applyAlignment="1" applyProtection="1">
      <alignment horizontal="center" vertical="center"/>
    </xf>
    <xf numFmtId="0" fontId="151" fillId="0" borderId="0" xfId="0" applyFont="1" applyProtection="1">
      <alignment vertical="center"/>
    </xf>
    <xf numFmtId="0" fontId="151" fillId="0" borderId="0" xfId="0" quotePrefix="1" applyFont="1" applyProtection="1">
      <alignment vertical="center"/>
    </xf>
    <xf numFmtId="208" fontId="28" fillId="0" borderId="21" xfId="2" applyFont="1" applyBorder="1" applyAlignment="1" applyProtection="1">
      <alignment horizontal="right" vertical="center"/>
    </xf>
    <xf numFmtId="208" fontId="0" fillId="0" borderId="0" xfId="2" applyFont="1" applyBorder="1" applyAlignment="1">
      <alignment horizontal="right"/>
    </xf>
    <xf numFmtId="208" fontId="0" fillId="0" borderId="0" xfId="2" applyFont="1" applyBorder="1">
      <alignment vertical="center"/>
    </xf>
    <xf numFmtId="2" fontId="39" fillId="0" borderId="30" xfId="0" applyNumberFormat="1" applyFont="1" applyFill="1" applyBorder="1" applyAlignment="1" applyProtection="1">
      <alignment horizontal="center" vertical="center"/>
    </xf>
    <xf numFmtId="208" fontId="0" fillId="0" borderId="181" xfId="2" applyFont="1" applyBorder="1" applyAlignment="1">
      <alignment vertical="center"/>
    </xf>
    <xf numFmtId="172" fontId="151" fillId="0" borderId="0" xfId="0" quotePrefix="1" applyNumberFormat="1" applyFont="1" applyProtection="1">
      <alignment vertical="center"/>
    </xf>
    <xf numFmtId="0" fontId="0" fillId="0" borderId="181" xfId="0" applyBorder="1">
      <alignment vertical="center"/>
    </xf>
    <xf numFmtId="212" fontId="0" fillId="0" borderId="0" xfId="9" applyFont="1" applyBorder="1">
      <alignment vertical="center"/>
    </xf>
    <xf numFmtId="213" fontId="29" fillId="0" borderId="0" xfId="10" applyFont="1" applyBorder="1">
      <alignment vertical="center"/>
    </xf>
    <xf numFmtId="0" fontId="139" fillId="0" borderId="0" xfId="0" applyFont="1" applyFill="1" applyBorder="1" applyAlignment="1" applyProtection="1">
      <alignment horizontal="right" vertical="center"/>
      <protection locked="0"/>
    </xf>
    <xf numFmtId="1" fontId="40" fillId="4" borderId="33" xfId="0" applyNumberFormat="1" applyFont="1" applyFill="1" applyBorder="1" applyAlignment="1" applyProtection="1">
      <alignment horizontal="centerContinuous"/>
    </xf>
    <xf numFmtId="1" fontId="40" fillId="4" borderId="32" xfId="0" applyNumberFormat="1" applyFont="1" applyFill="1" applyBorder="1" applyAlignment="1" applyProtection="1">
      <alignment horizontal="centerContinuous"/>
    </xf>
    <xf numFmtId="0" fontId="40" fillId="0" borderId="19" xfId="0" applyFont="1" applyBorder="1" applyAlignment="1">
      <alignment horizontal="right" vertical="center"/>
    </xf>
    <xf numFmtId="0" fontId="40" fillId="0" borderId="19" xfId="0" applyFont="1" applyFill="1" applyBorder="1" applyAlignment="1" applyProtection="1">
      <alignment horizontal="right"/>
    </xf>
    <xf numFmtId="0" fontId="40" fillId="0" borderId="7" xfId="0" applyFont="1" applyFill="1" applyBorder="1" applyAlignment="1" applyProtection="1">
      <alignment horizontal="right"/>
    </xf>
    <xf numFmtId="1" fontId="28" fillId="0" borderId="181" xfId="0" applyNumberFormat="1" applyFont="1" applyBorder="1" applyProtection="1">
      <alignment vertical="center"/>
    </xf>
    <xf numFmtId="2" fontId="0" fillId="0" borderId="2" xfId="0" applyNumberFormat="1" applyFill="1" applyBorder="1" applyProtection="1">
      <alignment vertical="center"/>
    </xf>
    <xf numFmtId="2" fontId="0" fillId="0" borderId="19" xfId="0" applyNumberFormat="1" applyFill="1" applyBorder="1" applyProtection="1">
      <alignment vertical="center"/>
    </xf>
    <xf numFmtId="2" fontId="0" fillId="0" borderId="97" xfId="0" applyNumberFormat="1" applyFill="1" applyBorder="1" applyProtection="1">
      <alignment vertical="center"/>
    </xf>
    <xf numFmtId="2" fontId="0" fillId="0" borderId="120" xfId="0" applyNumberFormat="1" applyFill="1" applyBorder="1" applyProtection="1">
      <alignment vertical="center"/>
    </xf>
    <xf numFmtId="0" fontId="0" fillId="0" borderId="18" xfId="0" applyFill="1" applyBorder="1" applyAlignment="1" applyProtection="1">
      <alignment horizontal="left"/>
    </xf>
    <xf numFmtId="2" fontId="39" fillId="0" borderId="15" xfId="0" applyNumberFormat="1" applyFont="1" applyFill="1" applyBorder="1" applyAlignment="1" applyProtection="1">
      <alignment horizontal="center" vertical="center"/>
    </xf>
    <xf numFmtId="0" fontId="0" fillId="0" borderId="15" xfId="0" applyFill="1" applyBorder="1" applyAlignment="1" applyProtection="1">
      <alignment horizontal="center"/>
    </xf>
    <xf numFmtId="0" fontId="0" fillId="0" borderId="19" xfId="0" applyFill="1" applyBorder="1" applyAlignment="1" applyProtection="1">
      <alignment horizontal="center"/>
    </xf>
    <xf numFmtId="0" fontId="0" fillId="0" borderId="23" xfId="0" applyFill="1" applyBorder="1" applyAlignment="1" applyProtection="1">
      <alignment horizontal="center"/>
    </xf>
    <xf numFmtId="2" fontId="39" fillId="0" borderId="15" xfId="0" applyNumberFormat="1" applyFont="1" applyFill="1" applyBorder="1" applyAlignment="1" applyProtection="1">
      <alignment horizontal="center"/>
    </xf>
    <xf numFmtId="0" fontId="39" fillId="0" borderId="19" xfId="0" applyFont="1" applyFill="1" applyBorder="1" applyAlignment="1" applyProtection="1">
      <alignment horizontal="center" shrinkToFit="1"/>
    </xf>
    <xf numFmtId="0" fontId="39" fillId="0" borderId="23" xfId="0" applyFont="1" applyFill="1" applyBorder="1" applyAlignment="1" applyProtection="1">
      <alignment horizontal="center" shrinkToFit="1"/>
    </xf>
    <xf numFmtId="14" fontId="26" fillId="0" borderId="0" xfId="0" applyNumberFormat="1" applyFont="1" applyFill="1" applyBorder="1" applyAlignment="1" applyProtection="1">
      <alignment horizontal="right"/>
    </xf>
    <xf numFmtId="0" fontId="0" fillId="0" borderId="26" xfId="0" applyFill="1" applyBorder="1" applyProtection="1">
      <alignment vertical="center"/>
    </xf>
    <xf numFmtId="0" fontId="0" fillId="0" borderId="11" xfId="0" applyFill="1" applyBorder="1" applyAlignment="1" applyProtection="1">
      <alignment horizontal="right" vertical="center"/>
    </xf>
    <xf numFmtId="0" fontId="154" fillId="0" borderId="0" xfId="0" applyFont="1" applyFill="1" applyBorder="1">
      <alignment vertical="center"/>
    </xf>
    <xf numFmtId="0" fontId="154" fillId="0" borderId="0" xfId="0" applyFont="1">
      <alignment vertical="center"/>
    </xf>
    <xf numFmtId="0" fontId="154" fillId="0" borderId="0" xfId="0" applyFont="1" applyFill="1" applyBorder="1" applyProtection="1">
      <alignment vertical="center"/>
      <protection hidden="1"/>
    </xf>
    <xf numFmtId="0" fontId="154" fillId="0" borderId="0" xfId="0" applyFont="1" applyFill="1">
      <alignment vertical="center"/>
    </xf>
    <xf numFmtId="0" fontId="154" fillId="0" borderId="0" xfId="0" applyFont="1" applyFill="1" applyBorder="1" applyAlignment="1">
      <alignment vertical="center" wrapText="1"/>
    </xf>
    <xf numFmtId="0" fontId="154" fillId="0" borderId="0" xfId="0" applyFont="1" applyFill="1" applyBorder="1" applyProtection="1">
      <alignment vertical="center"/>
    </xf>
    <xf numFmtId="195" fontId="154" fillId="0" borderId="0" xfId="0" applyNumberFormat="1" applyFont="1" applyFill="1" applyBorder="1" applyAlignment="1" applyProtection="1">
      <alignment horizontal="left" vertical="center"/>
      <protection hidden="1"/>
    </xf>
    <xf numFmtId="0" fontId="154" fillId="0" borderId="0" xfId="0" applyFont="1" applyFill="1" applyBorder="1" applyAlignment="1">
      <alignment wrapText="1"/>
    </xf>
    <xf numFmtId="0" fontId="154" fillId="0" borderId="0" xfId="0" quotePrefix="1" applyFont="1" applyFill="1" applyBorder="1">
      <alignment vertical="center"/>
    </xf>
    <xf numFmtId="1" fontId="154" fillId="0" borderId="0" xfId="0" applyNumberFormat="1" applyFont="1" applyFill="1" applyBorder="1" applyAlignment="1" applyProtection="1">
      <alignment horizontal="left" vertical="center"/>
    </xf>
    <xf numFmtId="0" fontId="154" fillId="0" borderId="0" xfId="0" applyFont="1" applyAlignment="1">
      <alignment horizontal="right"/>
    </xf>
    <xf numFmtId="0" fontId="154" fillId="0" borderId="0" xfId="0" applyFont="1" applyAlignment="1">
      <alignment vertical="center" wrapText="1"/>
    </xf>
    <xf numFmtId="0" fontId="154" fillId="0" borderId="0" xfId="0" applyFont="1" applyProtection="1">
      <alignment vertical="center"/>
      <protection locked="0"/>
    </xf>
    <xf numFmtId="0" fontId="154" fillId="0" borderId="0" xfId="0" applyFont="1" applyFill="1" applyBorder="1" applyProtection="1">
      <alignment vertical="center"/>
      <protection locked="0"/>
    </xf>
    <xf numFmtId="0" fontId="154" fillId="0" borderId="0" xfId="0" applyFont="1" applyFill="1" applyBorder="1" applyAlignment="1" applyProtection="1">
      <alignment vertical="center" wrapText="1"/>
      <protection locked="0"/>
    </xf>
    <xf numFmtId="0" fontId="154" fillId="0" borderId="0" xfId="0" quotePrefix="1" applyFont="1" applyFill="1" applyBorder="1" applyAlignment="1">
      <alignment vertical="center" wrapText="1"/>
    </xf>
    <xf numFmtId="0" fontId="154" fillId="0" borderId="0" xfId="0" applyFont="1" applyFill="1" applyAlignment="1">
      <alignment wrapText="1"/>
    </xf>
    <xf numFmtId="0" fontId="154" fillId="0" borderId="0" xfId="0" applyFont="1" applyFill="1" applyAlignment="1">
      <alignment vertical="center" wrapText="1"/>
    </xf>
    <xf numFmtId="0" fontId="154" fillId="0" borderId="0" xfId="0" quotePrefix="1" applyFont="1" applyFill="1">
      <alignment vertical="center"/>
    </xf>
    <xf numFmtId="0" fontId="154" fillId="0" borderId="0" xfId="0" applyFont="1" applyFill="1" applyBorder="1" applyAlignment="1">
      <alignment horizontal="left"/>
    </xf>
    <xf numFmtId="165" fontId="154" fillId="0" borderId="0" xfId="0" applyNumberFormat="1" applyFont="1" applyFill="1" applyBorder="1" applyAlignment="1" applyProtection="1">
      <alignment horizontal="left" wrapText="1"/>
    </xf>
    <xf numFmtId="166" fontId="154" fillId="0" borderId="0" xfId="0" applyNumberFormat="1" applyFont="1" applyFill="1" applyBorder="1">
      <alignment vertical="center"/>
    </xf>
    <xf numFmtId="0" fontId="154" fillId="0" borderId="0" xfId="0" applyFont="1" applyFill="1" applyBorder="1" applyAlignment="1"/>
    <xf numFmtId="172" fontId="47" fillId="0" borderId="52" xfId="0" applyNumberFormat="1" applyFont="1" applyFill="1" applyBorder="1" applyAlignment="1" applyProtection="1">
      <alignment horizontal="centerContinuous" vertical="center"/>
    </xf>
    <xf numFmtId="0" fontId="47" fillId="0" borderId="52" xfId="0" applyFont="1" applyFill="1" applyBorder="1" applyAlignment="1" applyProtection="1"/>
    <xf numFmtId="0" fontId="47" fillId="0" borderId="33" xfId="0" applyFont="1" applyFill="1" applyBorder="1" applyAlignment="1" applyProtection="1"/>
    <xf numFmtId="0" fontId="47" fillId="0" borderId="53" xfId="0" applyFont="1" applyFill="1" applyBorder="1" applyAlignment="1" applyProtection="1"/>
    <xf numFmtId="2" fontId="28" fillId="0" borderId="0" xfId="0" quotePrefix="1" applyNumberFormat="1" applyFont="1" applyFill="1" applyBorder="1" applyAlignment="1" applyProtection="1">
      <alignment horizontal="center" vertical="center"/>
    </xf>
    <xf numFmtId="2" fontId="28" fillId="0" borderId="0" xfId="0" applyNumberFormat="1" applyFont="1" applyBorder="1" applyAlignment="1" applyProtection="1">
      <alignment horizontal="center" vertical="center"/>
    </xf>
    <xf numFmtId="2" fontId="28" fillId="2" borderId="11" xfId="0" applyNumberFormat="1" applyFont="1" applyFill="1" applyBorder="1" applyAlignment="1" applyProtection="1">
      <alignment horizontal="right" vertical="center"/>
      <protection locked="0"/>
    </xf>
    <xf numFmtId="0" fontId="28" fillId="0" borderId="0" xfId="0" applyFont="1" applyBorder="1" applyAlignment="1" applyProtection="1">
      <alignment horizontal="right" vertical="center"/>
    </xf>
    <xf numFmtId="0" fontId="39" fillId="0" borderId="0" xfId="0" applyFont="1" applyBorder="1" applyAlignment="1" applyProtection="1">
      <alignment horizontal="center" vertical="center"/>
    </xf>
    <xf numFmtId="0" fontId="108" fillId="0" borderId="0" xfId="0" applyFont="1" applyBorder="1" applyProtection="1">
      <alignment vertical="center"/>
    </xf>
    <xf numFmtId="0" fontId="42" fillId="0" borderId="0" xfId="0" applyFont="1" applyFill="1" applyBorder="1" applyAlignment="1" applyProtection="1">
      <alignment horizontal="right" vertical="center"/>
    </xf>
    <xf numFmtId="2" fontId="28" fillId="2" borderId="11" xfId="0" applyNumberFormat="1" applyFont="1" applyFill="1" applyBorder="1" applyAlignment="1" applyProtection="1">
      <alignment horizontal="left" vertical="center"/>
      <protection locked="0"/>
    </xf>
    <xf numFmtId="0" fontId="28" fillId="15" borderId="0" xfId="0" applyFont="1" applyFill="1" applyBorder="1" applyProtection="1">
      <alignment vertical="center"/>
    </xf>
    <xf numFmtId="0" fontId="39" fillId="15" borderId="0" xfId="0" applyFont="1" applyFill="1" applyBorder="1" applyProtection="1">
      <alignment vertical="center"/>
    </xf>
    <xf numFmtId="0" fontId="0" fillId="15" borderId="0" xfId="0" applyFill="1" applyProtection="1">
      <alignment vertical="center"/>
    </xf>
    <xf numFmtId="0" fontId="28" fillId="16" borderId="0" xfId="0" applyFont="1" applyFill="1" applyBorder="1" applyProtection="1">
      <alignment vertical="center"/>
    </xf>
    <xf numFmtId="0" fontId="39" fillId="16" borderId="0" xfId="0" applyFont="1" applyFill="1" applyBorder="1" applyProtection="1">
      <alignment vertical="center"/>
    </xf>
    <xf numFmtId="0" fontId="35" fillId="16" borderId="0" xfId="0" applyFont="1" applyFill="1" applyBorder="1" applyProtection="1">
      <alignment vertical="center"/>
    </xf>
    <xf numFmtId="0" fontId="28" fillId="16" borderId="0" xfId="0" applyFont="1" applyFill="1" applyBorder="1" applyAlignment="1" applyProtection="1">
      <alignment horizontal="right"/>
    </xf>
    <xf numFmtId="3" fontId="28" fillId="16" borderId="0" xfId="0" applyNumberFormat="1" applyFont="1" applyFill="1" applyBorder="1" applyProtection="1">
      <alignment vertical="center"/>
    </xf>
    <xf numFmtId="0" fontId="0" fillId="16" borderId="0" xfId="0" applyFill="1" applyProtection="1">
      <alignment vertical="center"/>
    </xf>
    <xf numFmtId="0" fontId="32" fillId="0" borderId="0" xfId="0" applyFont="1" applyBorder="1">
      <alignment vertical="center"/>
    </xf>
    <xf numFmtId="0" fontId="155" fillId="0" borderId="0" xfId="0" applyFont="1" applyFill="1" applyBorder="1">
      <alignment vertical="center"/>
    </xf>
    <xf numFmtId="0" fontId="157" fillId="0" borderId="0" xfId="0" applyFont="1" applyBorder="1" applyProtection="1">
      <alignment vertical="center"/>
    </xf>
    <xf numFmtId="0" fontId="157" fillId="0" borderId="0" xfId="0" applyFont="1" applyFill="1" applyBorder="1" applyProtection="1">
      <alignment vertical="center"/>
    </xf>
    <xf numFmtId="0" fontId="152" fillId="0" borderId="0" xfId="0" applyFont="1" applyBorder="1" applyProtection="1">
      <alignment vertical="center"/>
    </xf>
    <xf numFmtId="0" fontId="152" fillId="0" borderId="0" xfId="0" applyFont="1" applyProtection="1">
      <alignment vertical="center"/>
    </xf>
    <xf numFmtId="0" fontId="32" fillId="0" borderId="0" xfId="0" applyFont="1" applyBorder="1" applyAlignment="1">
      <alignment horizontal="left" vertical="center" indent="1"/>
    </xf>
    <xf numFmtId="0" fontId="0" fillId="0" borderId="0" xfId="0" applyBorder="1" applyAlignment="1">
      <alignment horizontal="right" vertical="center"/>
    </xf>
    <xf numFmtId="0" fontId="0" fillId="0" borderId="0" xfId="0" applyBorder="1" applyAlignment="1">
      <alignment horizontal="left" indent="1"/>
    </xf>
    <xf numFmtId="2" fontId="0" fillId="0" borderId="0" xfId="0" applyNumberFormat="1" applyBorder="1" applyAlignment="1" applyProtection="1">
      <alignment horizontal="center" vertical="center"/>
    </xf>
    <xf numFmtId="2" fontId="0" fillId="0" borderId="0" xfId="0" applyNumberFormat="1" applyBorder="1" applyAlignment="1" applyProtection="1">
      <alignment horizontal="right" vertical="center"/>
    </xf>
    <xf numFmtId="0" fontId="153" fillId="0" borderId="0" xfId="0" applyFont="1" applyFill="1" applyProtection="1">
      <alignment vertical="center"/>
    </xf>
    <xf numFmtId="0" fontId="27" fillId="16" borderId="0" xfId="0" applyFont="1" applyFill="1" applyProtection="1">
      <alignment vertical="center"/>
    </xf>
    <xf numFmtId="0" fontId="39" fillId="16" borderId="0" xfId="0" applyFont="1" applyFill="1" applyProtection="1">
      <alignment vertical="center"/>
    </xf>
    <xf numFmtId="0" fontId="0" fillId="16" borderId="0" xfId="0" applyFill="1">
      <alignment vertical="center"/>
    </xf>
    <xf numFmtId="0" fontId="153" fillId="16" borderId="0" xfId="0" applyFont="1" applyFill="1" applyProtection="1">
      <alignment vertical="center"/>
    </xf>
    <xf numFmtId="0" fontId="153" fillId="16" borderId="0" xfId="0" quotePrefix="1" applyFont="1" applyFill="1" applyProtection="1">
      <alignment vertical="center"/>
    </xf>
    <xf numFmtId="0" fontId="153" fillId="16" borderId="0" xfId="0" quotePrefix="1" applyFont="1" applyFill="1" applyAlignment="1" applyProtection="1"/>
    <xf numFmtId="0" fontId="153" fillId="16" borderId="0" xfId="0" applyFont="1" applyFill="1" applyAlignment="1" applyProtection="1"/>
    <xf numFmtId="0" fontId="153" fillId="16" borderId="0" xfId="0" quotePrefix="1" applyFont="1" applyFill="1" applyBorder="1" applyAlignment="1" applyProtection="1"/>
    <xf numFmtId="0" fontId="153" fillId="16" borderId="0" xfId="0" applyFont="1" applyFill="1" applyBorder="1" applyAlignment="1" applyProtection="1"/>
    <xf numFmtId="0" fontId="26" fillId="0" borderId="0" xfId="0" applyFont="1" applyBorder="1" applyAlignment="1" applyProtection="1">
      <alignment horizontal="right" vertical="center"/>
    </xf>
    <xf numFmtId="172" fontId="66" fillId="0" borderId="51" xfId="0" applyNumberFormat="1" applyFont="1" applyFill="1" applyBorder="1" applyAlignment="1" applyProtection="1">
      <alignment horizontal="center" vertical="center"/>
    </xf>
    <xf numFmtId="0" fontId="28" fillId="16" borderId="0" xfId="0" applyFont="1" applyFill="1" applyBorder="1" applyProtection="1">
      <alignment vertical="center"/>
      <protection locked="0"/>
    </xf>
    <xf numFmtId="0" fontId="144" fillId="16" borderId="0" xfId="0" applyFont="1" applyFill="1" applyBorder="1" applyProtection="1">
      <alignment vertical="center"/>
      <protection locked="0"/>
    </xf>
    <xf numFmtId="216" fontId="40" fillId="0" borderId="51" xfId="0" applyNumberFormat="1" applyFont="1" applyFill="1" applyBorder="1" applyAlignment="1" applyProtection="1">
      <alignment horizontal="centerContinuous"/>
    </xf>
    <xf numFmtId="215" fontId="40" fillId="0" borderId="52" xfId="0" applyNumberFormat="1" applyFont="1" applyFill="1" applyBorder="1" applyAlignment="1" applyProtection="1">
      <alignment horizontal="center" vertical="center"/>
    </xf>
    <xf numFmtId="2" fontId="39" fillId="0" borderId="129" xfId="0" applyNumberFormat="1" applyFont="1" applyFill="1" applyBorder="1" applyAlignment="1" applyProtection="1">
      <alignment horizontal="center"/>
    </xf>
    <xf numFmtId="1" fontId="39" fillId="0" borderId="129" xfId="0" applyNumberFormat="1" applyFont="1" applyFill="1" applyBorder="1" applyAlignment="1" applyProtection="1">
      <alignment horizontal="center"/>
    </xf>
    <xf numFmtId="174" fontId="39" fillId="0" borderId="129" xfId="0" applyNumberFormat="1" applyFont="1" applyFill="1" applyBorder="1" applyAlignment="1" applyProtection="1">
      <alignment horizontal="center"/>
    </xf>
    <xf numFmtId="173" fontId="39" fillId="0" borderId="51" xfId="0" applyNumberFormat="1" applyFont="1" applyFill="1" applyBorder="1" applyAlignment="1" applyProtection="1">
      <alignment horizontal="center"/>
    </xf>
    <xf numFmtId="2" fontId="39" fillId="0" borderId="46" xfId="0" applyNumberFormat="1" applyFont="1" applyFill="1" applyBorder="1" applyAlignment="1" applyProtection="1">
      <alignment horizontal="center"/>
    </xf>
    <xf numFmtId="173" fontId="39" fillId="0" borderId="46" xfId="0" applyNumberFormat="1" applyFont="1" applyFill="1" applyBorder="1" applyAlignment="1" applyProtection="1">
      <alignment horizontal="center"/>
    </xf>
    <xf numFmtId="1" fontId="39" fillId="0" borderId="46" xfId="0" applyNumberFormat="1" applyFont="1" applyFill="1" applyBorder="1" applyAlignment="1" applyProtection="1">
      <alignment horizontal="center"/>
    </xf>
    <xf numFmtId="174" fontId="39" fillId="0" borderId="46" xfId="0" applyNumberFormat="1" applyFont="1" applyFill="1" applyBorder="1" applyAlignment="1" applyProtection="1">
      <alignment horizontal="center"/>
    </xf>
    <xf numFmtId="1" fontId="39" fillId="3" borderId="52" xfId="0" applyNumberFormat="1" applyFont="1" applyFill="1" applyBorder="1" applyAlignment="1" applyProtection="1">
      <alignment horizontal="center"/>
    </xf>
    <xf numFmtId="180" fontId="39" fillId="3" borderId="53" xfId="0" applyNumberFormat="1" applyFont="1" applyFill="1" applyBorder="1" applyAlignment="1" applyProtection="1"/>
    <xf numFmtId="0" fontId="32" fillId="0" borderId="7" xfId="0" applyFont="1" applyBorder="1" applyProtection="1">
      <alignment vertical="center"/>
    </xf>
    <xf numFmtId="0" fontId="0" fillId="0" borderId="30" xfId="0" applyBorder="1" applyAlignment="1"/>
    <xf numFmtId="0" fontId="28" fillId="0" borderId="30" xfId="0" applyFont="1" applyBorder="1" applyAlignment="1" applyProtection="1">
      <alignment horizontal="center" vertical="center"/>
    </xf>
    <xf numFmtId="0" fontId="0" fillId="0" borderId="181" xfId="0" applyBorder="1" applyAlignment="1"/>
    <xf numFmtId="0" fontId="28" fillId="0" borderId="181" xfId="0" applyFont="1" applyBorder="1" applyAlignment="1" applyProtection="1">
      <alignment horizontal="center" vertical="center"/>
    </xf>
    <xf numFmtId="0" fontId="28" fillId="0" borderId="181" xfId="0" applyFont="1" applyBorder="1" applyProtection="1">
      <alignment vertical="center"/>
    </xf>
    <xf numFmtId="0" fontId="28" fillId="0" borderId="71" xfId="0" applyFont="1" applyFill="1" applyBorder="1" applyProtection="1">
      <alignment vertical="center"/>
    </xf>
    <xf numFmtId="208" fontId="39" fillId="0" borderId="7" xfId="2" applyFont="1" applyFill="1" applyBorder="1" applyAlignment="1" applyProtection="1">
      <alignment horizontal="center"/>
    </xf>
    <xf numFmtId="212" fontId="39" fillId="0" borderId="7" xfId="9" applyFont="1" applyFill="1" applyBorder="1" applyAlignment="1" applyProtection="1">
      <alignment horizontal="center"/>
    </xf>
    <xf numFmtId="0" fontId="28" fillId="18" borderId="0" xfId="0" applyFont="1" applyFill="1" applyBorder="1" applyProtection="1">
      <alignment vertical="center"/>
    </xf>
    <xf numFmtId="0" fontId="28" fillId="18" borderId="0" xfId="0" applyFont="1" applyFill="1" applyBorder="1" applyProtection="1">
      <alignment vertical="center"/>
      <protection locked="0"/>
    </xf>
    <xf numFmtId="0" fontId="0" fillId="18" borderId="0" xfId="0" applyFill="1">
      <alignment vertical="center"/>
    </xf>
    <xf numFmtId="0" fontId="28" fillId="18" borderId="182" xfId="0" applyFont="1" applyFill="1" applyBorder="1" applyProtection="1">
      <alignment vertical="center"/>
    </xf>
    <xf numFmtId="0" fontId="28" fillId="18" borderId="126" xfId="0" applyFont="1" applyFill="1" applyBorder="1" applyProtection="1">
      <alignment vertical="center"/>
      <protection locked="0"/>
    </xf>
    <xf numFmtId="0" fontId="28" fillId="18" borderId="126" xfId="0" applyFont="1" applyFill="1" applyBorder="1" applyProtection="1">
      <alignment vertical="center"/>
    </xf>
    <xf numFmtId="0" fontId="0" fillId="18" borderId="126" xfId="0" applyFill="1" applyBorder="1">
      <alignment vertical="center"/>
    </xf>
    <xf numFmtId="217" fontId="0" fillId="18" borderId="126" xfId="14" applyFont="1" applyFill="1" applyBorder="1" applyAlignment="1">
      <alignment vertical="center"/>
    </xf>
    <xf numFmtId="2" fontId="28" fillId="18" borderId="182" xfId="0" applyNumberFormat="1" applyFont="1" applyFill="1" applyBorder="1" applyProtection="1">
      <alignment vertical="center"/>
    </xf>
    <xf numFmtId="0" fontId="35" fillId="18" borderId="126" xfId="0" applyFont="1" applyFill="1" applyBorder="1" applyProtection="1">
      <alignment vertical="center"/>
      <protection locked="0"/>
    </xf>
    <xf numFmtId="2" fontId="28" fillId="18" borderId="126" xfId="0" applyNumberFormat="1" applyFont="1" applyFill="1" applyBorder="1" applyProtection="1">
      <alignment vertical="center"/>
    </xf>
    <xf numFmtId="1" fontId="28" fillId="18" borderId="182" xfId="0" applyNumberFormat="1" applyFont="1" applyFill="1" applyBorder="1" applyAlignment="1" applyProtection="1">
      <alignment horizontal="center" vertical="center"/>
    </xf>
    <xf numFmtId="1" fontId="28" fillId="18" borderId="126" xfId="0" applyNumberFormat="1" applyFont="1" applyFill="1" applyBorder="1" applyAlignment="1" applyProtection="1">
      <alignment horizontal="center" vertical="center"/>
    </xf>
    <xf numFmtId="2" fontId="28" fillId="18" borderId="182" xfId="0" applyNumberFormat="1" applyFont="1" applyFill="1" applyBorder="1" applyAlignment="1" applyProtection="1">
      <alignment horizontal="center" vertical="center"/>
    </xf>
    <xf numFmtId="2" fontId="28" fillId="18" borderId="126" xfId="0" applyNumberFormat="1" applyFont="1" applyFill="1" applyBorder="1" applyAlignment="1" applyProtection="1">
      <alignment horizontal="center" vertical="center"/>
    </xf>
    <xf numFmtId="0" fontId="28" fillId="18" borderId="182" xfId="0" applyFont="1" applyFill="1" applyBorder="1" applyAlignment="1" applyProtection="1">
      <alignment horizontal="center" vertical="center"/>
    </xf>
    <xf numFmtId="0" fontId="28" fillId="18" borderId="126" xfId="0" applyFont="1" applyFill="1" applyBorder="1" applyAlignment="1" applyProtection="1">
      <alignment horizontal="center" vertical="center"/>
    </xf>
    <xf numFmtId="0" fontId="26" fillId="18" borderId="0" xfId="0" applyFont="1" applyFill="1" applyBorder="1" applyAlignment="1" applyProtection="1">
      <alignment horizontal="center" vertical="center"/>
    </xf>
    <xf numFmtId="2" fontId="28" fillId="19" borderId="126" xfId="0" applyNumberFormat="1" applyFont="1" applyFill="1" applyBorder="1" applyAlignment="1" applyProtection="1">
      <alignment horizontal="center" vertical="center"/>
    </xf>
    <xf numFmtId="2" fontId="27" fillId="19" borderId="126" xfId="0" applyNumberFormat="1" applyFont="1" applyFill="1" applyBorder="1" applyAlignment="1" applyProtection="1">
      <alignment horizontal="left" vertical="center"/>
    </xf>
    <xf numFmtId="0" fontId="28" fillId="19" borderId="126" xfId="0" applyFont="1" applyFill="1" applyBorder="1" applyProtection="1">
      <alignment vertical="center"/>
      <protection locked="0"/>
    </xf>
    <xf numFmtId="212" fontId="0" fillId="0" borderId="7" xfId="9" applyFont="1" applyFill="1" applyBorder="1" applyAlignment="1" applyProtection="1">
      <alignment horizontal="center"/>
    </xf>
    <xf numFmtId="208" fontId="39" fillId="0" borderId="48" xfId="2" applyFont="1" applyFill="1" applyBorder="1" applyAlignment="1" applyProtection="1">
      <alignment horizontal="center"/>
    </xf>
    <xf numFmtId="208" fontId="39" fillId="0" borderId="68" xfId="2" applyFont="1" applyFill="1" applyBorder="1" applyAlignment="1" applyProtection="1">
      <alignment horizontal="center"/>
    </xf>
    <xf numFmtId="208" fontId="39" fillId="5" borderId="19" xfId="2" applyFont="1" applyFill="1" applyBorder="1" applyAlignment="1" applyProtection="1">
      <alignment horizontal="center"/>
    </xf>
    <xf numFmtId="208" fontId="39" fillId="5" borderId="20" xfId="2" applyFont="1" applyFill="1" applyBorder="1" applyAlignment="1" applyProtection="1">
      <alignment horizontal="center"/>
    </xf>
    <xf numFmtId="208" fontId="39" fillId="5" borderId="34" xfId="2" applyFont="1" applyFill="1" applyBorder="1" applyAlignment="1" applyProtection="1">
      <alignment horizontal="center"/>
    </xf>
    <xf numFmtId="208" fontId="39" fillId="5" borderId="7" xfId="2" applyFont="1" applyFill="1" applyBorder="1" applyAlignment="1" applyProtection="1">
      <alignment horizontal="center"/>
    </xf>
    <xf numFmtId="208" fontId="39" fillId="5" borderId="48" xfId="2" applyFont="1" applyFill="1" applyBorder="1" applyAlignment="1" applyProtection="1">
      <alignment horizontal="center"/>
    </xf>
    <xf numFmtId="208" fontId="39" fillId="5" borderId="68" xfId="2" applyFont="1" applyFill="1" applyBorder="1" applyAlignment="1" applyProtection="1">
      <alignment horizontal="center"/>
    </xf>
    <xf numFmtId="208" fontId="39" fillId="0" borderId="23" xfId="2" applyFont="1" applyFill="1" applyBorder="1" applyAlignment="1" applyProtection="1">
      <alignment horizontal="center"/>
    </xf>
    <xf numFmtId="208" fontId="39" fillId="0" borderId="24" xfId="2" applyFont="1" applyFill="1" applyBorder="1" applyAlignment="1" applyProtection="1">
      <alignment horizontal="center"/>
    </xf>
    <xf numFmtId="208" fontId="39" fillId="0" borderId="25" xfId="2" applyFont="1" applyFill="1" applyBorder="1" applyAlignment="1" applyProtection="1">
      <alignment horizontal="center"/>
    </xf>
    <xf numFmtId="208" fontId="39" fillId="0" borderId="0" xfId="2" applyFont="1" applyFill="1" applyBorder="1" applyAlignment="1" applyProtection="1"/>
    <xf numFmtId="208" fontId="39" fillId="0" borderId="31" xfId="2" applyFont="1" applyFill="1" applyBorder="1" applyAlignment="1" applyProtection="1">
      <alignment horizontal="center"/>
    </xf>
    <xf numFmtId="208" fontId="39" fillId="0" borderId="69" xfId="2" applyFont="1" applyFill="1" applyBorder="1" applyAlignment="1" applyProtection="1">
      <alignment horizontal="center"/>
    </xf>
    <xf numFmtId="208" fontId="39" fillId="0" borderId="70" xfId="2" applyFont="1" applyFill="1" applyBorder="1" applyAlignment="1" applyProtection="1">
      <alignment horizontal="center"/>
    </xf>
    <xf numFmtId="208" fontId="39" fillId="0" borderId="48" xfId="2" applyFont="1" applyFill="1" applyBorder="1" applyAlignment="1" applyProtection="1">
      <alignment horizontal="centerContinuous"/>
    </xf>
    <xf numFmtId="208" fontId="39" fillId="0" borderId="14" xfId="2" applyFont="1" applyFill="1" applyBorder="1" applyAlignment="1" applyProtection="1"/>
    <xf numFmtId="208" fontId="28" fillId="0" borderId="0" xfId="2" applyFont="1" applyFill="1" applyBorder="1" applyAlignment="1" applyProtection="1">
      <alignment horizontal="center"/>
    </xf>
    <xf numFmtId="208" fontId="39" fillId="0" borderId="13" xfId="2" applyFont="1" applyFill="1" applyBorder="1" applyAlignment="1" applyProtection="1">
      <alignment horizontal="centerContinuous"/>
    </xf>
    <xf numFmtId="208" fontId="39" fillId="0" borderId="16" xfId="2" applyFont="1" applyFill="1" applyBorder="1" applyAlignment="1" applyProtection="1">
      <alignment horizontal="centerContinuous"/>
    </xf>
    <xf numFmtId="208" fontId="39" fillId="0" borderId="67" xfId="2" applyFont="1" applyFill="1" applyBorder="1" applyAlignment="1" applyProtection="1">
      <alignment horizontal="centerContinuous"/>
    </xf>
    <xf numFmtId="208" fontId="39" fillId="0" borderId="29" xfId="2" applyFont="1" applyFill="1" applyBorder="1" applyAlignment="1" applyProtection="1">
      <alignment horizontal="center"/>
    </xf>
    <xf numFmtId="208" fontId="39" fillId="0" borderId="22" xfId="2" applyFont="1" applyFill="1" applyBorder="1" applyAlignment="1" applyProtection="1">
      <alignment horizontal="center"/>
    </xf>
    <xf numFmtId="208" fontId="39" fillId="0" borderId="0" xfId="2" applyFont="1" applyFill="1" applyBorder="1" applyAlignment="1" applyProtection="1">
      <alignment horizontal="center"/>
    </xf>
    <xf numFmtId="208" fontId="28" fillId="0" borderId="0" xfId="2" applyFont="1" applyFill="1" applyBorder="1" applyAlignment="1" applyProtection="1"/>
    <xf numFmtId="208" fontId="39" fillId="0" borderId="31" xfId="2" applyFont="1" applyFill="1" applyBorder="1" applyAlignment="1" applyProtection="1">
      <alignment horizontal="centerContinuous" vertical="center"/>
    </xf>
    <xf numFmtId="208" fontId="39" fillId="0" borderId="69" xfId="2" applyFont="1" applyFill="1" applyBorder="1" applyAlignment="1" applyProtection="1">
      <alignment horizontal="centerContinuous" vertical="center"/>
    </xf>
    <xf numFmtId="208" fontId="39" fillId="0" borderId="70" xfId="2" applyFont="1" applyFill="1" applyBorder="1" applyAlignment="1" applyProtection="1">
      <alignment horizontal="centerContinuous" vertical="center"/>
    </xf>
    <xf numFmtId="208" fontId="26" fillId="0" borderId="0" xfId="2" applyFont="1" applyFill="1" applyBorder="1" applyAlignment="1" applyProtection="1">
      <alignment horizontal="right" vertical="center"/>
    </xf>
    <xf numFmtId="208" fontId="39" fillId="0" borderId="0" xfId="2" applyFont="1" applyFill="1" applyBorder="1" applyAlignment="1" applyProtection="1">
      <alignment horizontal="centerContinuous" vertical="center"/>
    </xf>
    <xf numFmtId="208" fontId="39" fillId="0" borderId="14" xfId="2" applyFont="1" applyFill="1" applyBorder="1" applyAlignment="1" applyProtection="1">
      <alignment horizontal="centerContinuous" vertical="center"/>
    </xf>
    <xf numFmtId="208" fontId="39" fillId="0" borderId="17" xfId="2" applyFont="1" applyFill="1" applyBorder="1" applyAlignment="1" applyProtection="1">
      <alignment horizontal="centerContinuous" vertical="center"/>
    </xf>
    <xf numFmtId="208" fontId="40" fillId="0" borderId="0" xfId="2" applyFont="1" applyFill="1" applyBorder="1" applyAlignment="1" applyProtection="1"/>
    <xf numFmtId="208" fontId="0" fillId="0" borderId="0" xfId="2" applyFont="1" applyBorder="1" applyProtection="1">
      <alignment vertical="center"/>
    </xf>
    <xf numFmtId="208" fontId="39" fillId="0" borderId="18" xfId="2" applyFont="1" applyBorder="1" applyAlignment="1" applyProtection="1">
      <alignment horizontal="center"/>
    </xf>
    <xf numFmtId="208" fontId="39" fillId="0" borderId="72" xfId="2" applyFont="1" applyBorder="1" applyAlignment="1" applyProtection="1">
      <alignment horizontal="center"/>
    </xf>
    <xf numFmtId="208" fontId="39" fillId="0" borderId="21" xfId="2" applyFont="1" applyBorder="1" applyAlignment="1" applyProtection="1">
      <alignment horizontal="center"/>
    </xf>
    <xf numFmtId="208" fontId="39" fillId="0" borderId="115" xfId="2" applyFont="1" applyBorder="1" applyAlignment="1" applyProtection="1">
      <alignment horizontal="center"/>
    </xf>
    <xf numFmtId="208" fontId="39" fillId="0" borderId="111" xfId="2" applyFont="1" applyBorder="1" applyAlignment="1" applyProtection="1">
      <alignment horizontal="center"/>
    </xf>
    <xf numFmtId="208" fontId="39" fillId="0" borderId="180" xfId="2" applyFont="1" applyBorder="1" applyAlignment="1" applyProtection="1">
      <alignment horizontal="center"/>
    </xf>
    <xf numFmtId="208" fontId="39" fillId="0" borderId="22" xfId="2" applyFont="1" applyBorder="1" applyAlignment="1" applyProtection="1">
      <alignment horizontal="center"/>
    </xf>
    <xf numFmtId="208" fontId="39" fillId="0" borderId="75" xfId="2" applyFont="1" applyBorder="1" applyAlignment="1" applyProtection="1">
      <alignment horizontal="center"/>
    </xf>
    <xf numFmtId="208" fontId="39" fillId="0" borderId="27" xfId="2" applyFont="1" applyBorder="1" applyAlignment="1" applyProtection="1">
      <alignment horizontal="center"/>
    </xf>
    <xf numFmtId="208" fontId="0" fillId="0" borderId="0" xfId="2" applyFont="1" applyBorder="1" applyAlignment="1" applyProtection="1">
      <alignment horizontal="center"/>
    </xf>
    <xf numFmtId="208" fontId="0" fillId="0" borderId="31" xfId="2" applyFont="1" applyBorder="1" applyAlignment="1" applyProtection="1">
      <alignment horizontal="center"/>
    </xf>
    <xf numFmtId="208" fontId="0" fillId="0" borderId="168" xfId="2" applyFont="1" applyBorder="1" applyAlignment="1" applyProtection="1">
      <alignment horizontal="center"/>
    </xf>
    <xf numFmtId="208" fontId="0" fillId="0" borderId="109" xfId="2" applyFont="1" applyBorder="1" applyAlignment="1" applyProtection="1">
      <alignment horizontal="center"/>
    </xf>
    <xf numFmtId="0" fontId="28" fillId="20" borderId="126" xfId="0" applyFont="1" applyFill="1" applyBorder="1" applyProtection="1">
      <alignment vertical="center"/>
      <protection locked="0"/>
    </xf>
    <xf numFmtId="212" fontId="39" fillId="0" borderId="23" xfId="9" applyFont="1" applyFill="1" applyBorder="1" applyAlignment="1" applyProtection="1">
      <alignment horizontal="center"/>
    </xf>
    <xf numFmtId="208" fontId="39" fillId="0" borderId="65" xfId="2" applyFont="1" applyFill="1" applyBorder="1" applyAlignment="1" applyProtection="1">
      <alignment horizontal="center"/>
    </xf>
    <xf numFmtId="217" fontId="39" fillId="0" borderId="7" xfId="14" applyFont="1" applyFill="1" applyBorder="1" applyAlignment="1" applyProtection="1">
      <alignment horizontal="center"/>
    </xf>
    <xf numFmtId="212" fontId="39" fillId="0" borderId="65" xfId="9" applyFont="1" applyFill="1" applyBorder="1" applyAlignment="1" applyProtection="1">
      <alignment horizontal="center"/>
    </xf>
    <xf numFmtId="208" fontId="39" fillId="0" borderId="63" xfId="2" applyFont="1" applyBorder="1" applyAlignment="1">
      <alignment horizontal="center"/>
    </xf>
    <xf numFmtId="208" fontId="39" fillId="2" borderId="7" xfId="2" applyFont="1" applyFill="1" applyBorder="1" applyAlignment="1" applyProtection="1">
      <alignment horizontal="center"/>
      <protection locked="0"/>
    </xf>
    <xf numFmtId="208" fontId="39" fillId="2" borderId="7" xfId="2" applyFont="1" applyFill="1" applyBorder="1" applyAlignment="1" applyProtection="1">
      <alignment horizontal="center" vertical="center"/>
      <protection locked="0"/>
    </xf>
    <xf numFmtId="212" fontId="39" fillId="5" borderId="19" xfId="9" applyFont="1" applyFill="1" applyBorder="1" applyAlignment="1" applyProtection="1">
      <alignment horizontal="center"/>
    </xf>
    <xf numFmtId="212" fontId="39" fillId="5" borderId="7" xfId="9" applyFont="1" applyFill="1" applyBorder="1" applyAlignment="1" applyProtection="1">
      <alignment horizontal="center"/>
    </xf>
    <xf numFmtId="212" fontId="39" fillId="0" borderId="0" xfId="9" applyFont="1" applyFill="1" applyBorder="1" applyAlignment="1" applyProtection="1"/>
    <xf numFmtId="0" fontId="25" fillId="0" borderId="0" xfId="0" applyFont="1" applyFill="1" applyBorder="1">
      <alignment vertical="center"/>
    </xf>
    <xf numFmtId="0" fontId="25" fillId="0" borderId="0" xfId="0" applyFont="1" applyFill="1" applyBorder="1" applyAlignment="1">
      <alignment vertical="center" wrapText="1"/>
    </xf>
    <xf numFmtId="0" fontId="159" fillId="0" borderId="0" xfId="0" applyFont="1">
      <alignment vertical="center"/>
    </xf>
    <xf numFmtId="0" fontId="25" fillId="0" borderId="0" xfId="0" applyFont="1" applyFill="1" applyBorder="1" applyAlignment="1">
      <alignment wrapText="1"/>
    </xf>
    <xf numFmtId="172" fontId="59" fillId="4" borderId="50" xfId="0" applyNumberFormat="1" applyFont="1" applyFill="1" applyBorder="1" applyAlignment="1" applyProtection="1">
      <alignment horizontal="center"/>
    </xf>
    <xf numFmtId="172" fontId="59" fillId="4" borderId="98" xfId="0" applyNumberFormat="1" applyFont="1" applyFill="1" applyBorder="1" applyAlignment="1" applyProtection="1">
      <alignment horizontal="center"/>
    </xf>
    <xf numFmtId="0" fontId="40" fillId="13" borderId="11" xfId="0" applyFont="1" applyFill="1" applyBorder="1" applyAlignment="1" applyProtection="1"/>
    <xf numFmtId="0" fontId="40" fillId="13" borderId="2" xfId="0" applyFont="1" applyFill="1" applyBorder="1" applyAlignment="1" applyProtection="1"/>
    <xf numFmtId="208" fontId="38" fillId="0" borderId="4" xfId="2" applyFont="1" applyFill="1" applyBorder="1" applyAlignment="1" applyProtection="1">
      <alignment horizontal="right"/>
    </xf>
    <xf numFmtId="208" fontId="38" fillId="0" borderId="0" xfId="2" applyFont="1" applyFill="1" applyBorder="1" applyAlignment="1" applyProtection="1">
      <alignment horizontal="right"/>
    </xf>
    <xf numFmtId="0" fontId="24" fillId="0" borderId="0" xfId="0" applyFont="1" applyFill="1" applyBorder="1">
      <alignment vertical="center"/>
    </xf>
    <xf numFmtId="0" fontId="24" fillId="0" borderId="0" xfId="0" applyFont="1" applyFill="1" applyBorder="1" applyAlignment="1">
      <alignment vertical="center" wrapText="1"/>
    </xf>
    <xf numFmtId="2" fontId="141" fillId="0" borderId="0" xfId="0" applyNumberFormat="1" applyFont="1">
      <alignment vertical="center"/>
    </xf>
    <xf numFmtId="0" fontId="141" fillId="0" borderId="0" xfId="0" applyFont="1" applyAlignment="1">
      <alignment horizontal="right" vertical="center"/>
    </xf>
    <xf numFmtId="212" fontId="30" fillId="0" borderId="0" xfId="9" applyFont="1" applyFill="1" applyBorder="1" applyAlignment="1" applyProtection="1">
      <alignment vertical="top"/>
    </xf>
    <xf numFmtId="212" fontId="39" fillId="0" borderId="15" xfId="9" applyFont="1" applyFill="1" applyBorder="1" applyAlignment="1" applyProtection="1">
      <alignment vertical="center" wrapText="1"/>
    </xf>
    <xf numFmtId="212" fontId="39" fillId="0" borderId="14" xfId="9" applyFont="1" applyFill="1" applyBorder="1" applyAlignment="1" applyProtection="1"/>
    <xf numFmtId="212" fontId="39" fillId="0" borderId="13" xfId="9" applyFont="1" applyFill="1" applyBorder="1" applyAlignment="1" applyProtection="1"/>
    <xf numFmtId="212" fontId="39" fillId="0" borderId="15" xfId="9" applyFont="1" applyFill="1" applyBorder="1" applyAlignment="1" applyProtection="1">
      <alignment horizontal="center" vertical="center" wrapText="1"/>
    </xf>
    <xf numFmtId="212" fontId="39" fillId="0" borderId="15" xfId="9" applyFont="1" applyFill="1" applyBorder="1" applyAlignment="1" applyProtection="1">
      <alignment horizontal="center" vertical="center"/>
    </xf>
    <xf numFmtId="212" fontId="39" fillId="0" borderId="15" xfId="9" applyFont="1" applyFill="1" applyBorder="1" applyAlignment="1" applyProtection="1">
      <alignment horizontal="center"/>
    </xf>
    <xf numFmtId="212" fontId="39" fillId="0" borderId="15" xfId="9" applyFont="1" applyFill="1" applyBorder="1" applyAlignment="1" applyProtection="1">
      <alignment horizontal="centerContinuous"/>
    </xf>
    <xf numFmtId="212" fontId="39" fillId="0" borderId="14" xfId="9" applyFont="1" applyFill="1" applyBorder="1" applyAlignment="1" applyProtection="1">
      <alignment horizontal="centerContinuous"/>
    </xf>
    <xf numFmtId="212" fontId="39" fillId="0" borderId="41" xfId="9" applyFont="1" applyFill="1" applyBorder="1" applyAlignment="1" applyProtection="1">
      <alignment horizontal="center"/>
    </xf>
    <xf numFmtId="212" fontId="39" fillId="0" borderId="18" xfId="9" applyFont="1" applyFill="1" applyBorder="1" applyAlignment="1" applyProtection="1">
      <alignment horizontal="left"/>
    </xf>
    <xf numFmtId="212" fontId="39" fillId="0" borderId="0" xfId="9" applyFont="1" applyFill="1" applyBorder="1" applyAlignment="1" applyProtection="1">
      <alignment horizontal="left"/>
    </xf>
    <xf numFmtId="212" fontId="39" fillId="0" borderId="0" xfId="9" applyFont="1" applyFill="1" applyBorder="1" applyAlignment="1" applyProtection="1">
      <alignment horizontal="center"/>
    </xf>
    <xf numFmtId="212" fontId="39" fillId="0" borderId="19" xfId="9" applyFont="1" applyFill="1" applyBorder="1" applyAlignment="1" applyProtection="1">
      <alignment horizontal="center" vertical="center"/>
    </xf>
    <xf numFmtId="212" fontId="39" fillId="0" borderId="19" xfId="9" applyFont="1" applyFill="1" applyBorder="1" applyAlignment="1" applyProtection="1">
      <alignment horizontal="center"/>
    </xf>
    <xf numFmtId="212" fontId="39" fillId="0" borderId="19" xfId="9" applyFont="1" applyFill="1" applyBorder="1" applyAlignment="1" applyProtection="1">
      <alignment horizontal="centerContinuous" vertical="top"/>
    </xf>
    <xf numFmtId="212" fontId="39" fillId="0" borderId="19" xfId="9" applyFont="1" applyFill="1" applyBorder="1" applyAlignment="1" applyProtection="1">
      <alignment horizontal="centerContinuous"/>
    </xf>
    <xf numFmtId="212" fontId="39" fillId="0" borderId="0" xfId="9" applyFont="1" applyFill="1" applyBorder="1" applyAlignment="1" applyProtection="1">
      <alignment horizontal="centerContinuous"/>
    </xf>
    <xf numFmtId="212" fontId="39" fillId="0" borderId="42" xfId="9" applyFont="1" applyFill="1" applyBorder="1" applyAlignment="1" applyProtection="1">
      <alignment horizontal="center"/>
    </xf>
    <xf numFmtId="212" fontId="39" fillId="0" borderId="7" xfId="9" applyFont="1" applyFill="1" applyBorder="1" applyAlignment="1" applyProtection="1"/>
    <xf numFmtId="212" fontId="39" fillId="0" borderId="30" xfId="9" applyFont="1" applyFill="1" applyBorder="1" applyAlignment="1" applyProtection="1"/>
    <xf numFmtId="212" fontId="39" fillId="0" borderId="7" xfId="9" applyFont="1" applyFill="1" applyBorder="1" applyAlignment="1" applyProtection="1">
      <alignment horizontal="left"/>
    </xf>
    <xf numFmtId="212" fontId="0" fillId="0" borderId="30" xfId="9" applyFont="1" applyFill="1" applyBorder="1" applyAlignment="1" applyProtection="1">
      <alignment horizontal="left"/>
    </xf>
    <xf numFmtId="212" fontId="39" fillId="0" borderId="52" xfId="9" applyFont="1" applyFill="1" applyBorder="1" applyAlignment="1" applyProtection="1"/>
    <xf numFmtId="212" fontId="39" fillId="0" borderId="53" xfId="9" applyFont="1" applyFill="1" applyBorder="1" applyAlignment="1" applyProtection="1"/>
    <xf numFmtId="212" fontId="39" fillId="0" borderId="2" xfId="9" applyFont="1" applyFill="1" applyBorder="1" applyAlignment="1" applyProtection="1"/>
    <xf numFmtId="212" fontId="39" fillId="0" borderId="80" xfId="9" applyFont="1" applyFill="1" applyBorder="1" applyAlignment="1" applyProtection="1"/>
    <xf numFmtId="212" fontId="39" fillId="0" borderId="84" xfId="9" applyFont="1" applyFill="1" applyBorder="1" applyAlignment="1" applyProtection="1"/>
    <xf numFmtId="212" fontId="39" fillId="0" borderId="91" xfId="9" applyFont="1" applyFill="1" applyBorder="1" applyAlignment="1" applyProtection="1"/>
    <xf numFmtId="212" fontId="39" fillId="4" borderId="52" xfId="9" applyFont="1" applyFill="1" applyBorder="1" applyAlignment="1" applyProtection="1"/>
    <xf numFmtId="212" fontId="39" fillId="4" borderId="30" xfId="9" applyFont="1" applyFill="1" applyBorder="1" applyAlignment="1" applyProtection="1">
      <alignment horizontal="right"/>
    </xf>
    <xf numFmtId="212" fontId="39" fillId="0" borderId="5" xfId="9" applyFont="1" applyFill="1" applyBorder="1" applyAlignment="1" applyProtection="1"/>
    <xf numFmtId="212" fontId="39" fillId="0" borderId="4" xfId="9" applyFont="1" applyFill="1" applyBorder="1" applyAlignment="1" applyProtection="1"/>
    <xf numFmtId="212" fontId="39" fillId="0" borderId="19" xfId="9" applyFont="1" applyFill="1" applyBorder="1" applyAlignment="1" applyProtection="1"/>
    <xf numFmtId="212" fontId="39" fillId="0" borderId="44" xfId="9" applyFont="1" applyFill="1" applyBorder="1" applyAlignment="1" applyProtection="1"/>
    <xf numFmtId="212" fontId="39" fillId="0" borderId="45" xfId="9" applyFont="1" applyFill="1" applyBorder="1" applyAlignment="1" applyProtection="1"/>
    <xf numFmtId="212" fontId="39" fillId="0" borderId="97" xfId="9" applyFont="1" applyFill="1" applyBorder="1" applyAlignment="1" applyProtection="1"/>
    <xf numFmtId="212" fontId="39" fillId="0" borderId="126" xfId="9" applyFont="1" applyFill="1" applyBorder="1" applyAlignment="1" applyProtection="1"/>
    <xf numFmtId="212" fontId="39" fillId="0" borderId="85" xfId="9" applyFont="1" applyFill="1" applyBorder="1" applyAlignment="1" applyProtection="1"/>
    <xf numFmtId="212" fontId="39" fillId="0" borderId="0" xfId="9" applyFont="1" applyFill="1" applyBorder="1" applyAlignment="1" applyProtection="1">
      <alignment horizontal="right"/>
    </xf>
    <xf numFmtId="212" fontId="39" fillId="0" borderId="54" xfId="9" applyFont="1" applyFill="1" applyBorder="1" applyAlignment="1" applyProtection="1">
      <alignment horizontal="center"/>
    </xf>
    <xf numFmtId="212" fontId="48" fillId="0" borderId="19" xfId="9" applyFont="1" applyFill="1" applyBorder="1" applyAlignment="1" applyProtection="1">
      <alignment horizontal="center"/>
    </xf>
    <xf numFmtId="212" fontId="39" fillId="0" borderId="49" xfId="9" applyFont="1" applyFill="1" applyBorder="1" applyAlignment="1" applyProtection="1">
      <alignment horizontal="center"/>
    </xf>
    <xf numFmtId="212" fontId="40" fillId="0" borderId="0" xfId="9" applyFont="1" applyFill="1" applyBorder="1" applyAlignment="1" applyProtection="1">
      <alignment vertical="center"/>
    </xf>
    <xf numFmtId="212" fontId="40" fillId="0" borderId="52" xfId="9" applyFont="1" applyFill="1" applyBorder="1" applyAlignment="1" applyProtection="1">
      <alignment horizontal="centerContinuous" vertical="center"/>
    </xf>
    <xf numFmtId="212" fontId="40" fillId="0" borderId="33" xfId="9" applyFont="1" applyFill="1" applyBorder="1" applyAlignment="1" applyProtection="1">
      <alignment horizontal="centerContinuous" vertical="center"/>
    </xf>
    <xf numFmtId="212" fontId="40" fillId="0" borderId="51" xfId="9" applyFont="1" applyFill="1" applyBorder="1" applyAlignment="1" applyProtection="1">
      <alignment horizontal="center" vertical="center"/>
    </xf>
    <xf numFmtId="0" fontId="23" fillId="0" borderId="0" xfId="0" applyFont="1" applyFill="1" applyBorder="1">
      <alignment vertical="center"/>
    </xf>
    <xf numFmtId="0" fontId="23" fillId="0" borderId="0" xfId="0" applyFont="1" applyFill="1" applyBorder="1" applyAlignment="1">
      <alignment vertical="center" wrapText="1"/>
    </xf>
    <xf numFmtId="208" fontId="29" fillId="0" borderId="7" xfId="2" applyFont="1" applyFill="1" applyBorder="1" applyAlignment="1" applyProtection="1">
      <alignment horizontal="left" vertical="center"/>
    </xf>
    <xf numFmtId="0" fontId="0" fillId="0" borderId="23" xfId="0" applyFill="1" applyBorder="1" applyAlignment="1" applyProtection="1">
      <alignment horizontal="center" vertical="center"/>
    </xf>
    <xf numFmtId="208" fontId="32" fillId="0" borderId="0" xfId="2" applyFont="1" applyFill="1" applyBorder="1" applyAlignment="1" applyProtection="1"/>
    <xf numFmtId="208" fontId="0" fillId="0" borderId="0" xfId="2" applyFont="1" applyBorder="1" applyAlignment="1" applyProtection="1">
      <alignment horizontal="left"/>
    </xf>
    <xf numFmtId="208" fontId="0" fillId="0" borderId="0" xfId="2" applyFont="1" applyBorder="1" applyAlignment="1" applyProtection="1">
      <alignment horizontal="right"/>
    </xf>
    <xf numFmtId="208" fontId="26" fillId="0" borderId="13" xfId="2" applyFont="1" applyBorder="1" applyProtection="1">
      <alignment vertical="center"/>
    </xf>
    <xf numFmtId="208" fontId="0" fillId="0" borderId="14" xfId="2" applyFont="1" applyBorder="1" applyProtection="1">
      <alignment vertical="center"/>
    </xf>
    <xf numFmtId="208" fontId="26" fillId="0" borderId="15" xfId="2" applyFont="1" applyBorder="1">
      <alignment vertical="center"/>
    </xf>
    <xf numFmtId="208" fontId="0" fillId="0" borderId="166" xfId="2" applyFont="1" applyBorder="1" applyProtection="1">
      <alignment vertical="center"/>
    </xf>
    <xf numFmtId="208" fontId="26" fillId="0" borderId="14" xfId="2" applyFont="1" applyBorder="1" applyProtection="1">
      <alignment vertical="center"/>
    </xf>
    <xf numFmtId="208" fontId="0" fillId="0" borderId="17" xfId="2" applyFont="1" applyBorder="1" applyProtection="1">
      <alignment vertical="center"/>
    </xf>
    <xf numFmtId="208" fontId="39" fillId="0" borderId="22" xfId="2" applyFont="1" applyBorder="1" applyProtection="1">
      <alignment vertical="center"/>
    </xf>
    <xf numFmtId="208" fontId="0" fillId="0" borderId="10" xfId="2" applyFont="1" applyBorder="1" applyProtection="1">
      <alignment vertical="center"/>
    </xf>
    <xf numFmtId="208" fontId="0" fillId="0" borderId="23" xfId="2" applyFont="1" applyBorder="1">
      <alignment vertical="center"/>
    </xf>
    <xf numFmtId="208" fontId="0" fillId="0" borderId="159" xfId="2" applyFont="1" applyBorder="1">
      <alignment vertical="center"/>
    </xf>
    <xf numFmtId="208" fontId="0" fillId="0" borderId="10" xfId="2" applyFont="1" applyBorder="1">
      <alignment vertical="center"/>
    </xf>
    <xf numFmtId="208" fontId="39" fillId="0" borderId="10" xfId="2" applyFont="1" applyBorder="1" applyProtection="1">
      <alignment vertical="center"/>
    </xf>
    <xf numFmtId="208" fontId="0" fillId="0" borderId="27" xfId="2" applyFont="1" applyBorder="1" applyProtection="1">
      <alignment vertical="center"/>
    </xf>
    <xf numFmtId="208" fontId="39" fillId="0" borderId="77" xfId="2" applyFont="1" applyBorder="1" applyAlignment="1" applyProtection="1">
      <alignment horizontal="center"/>
    </xf>
    <xf numFmtId="208" fontId="39" fillId="0" borderId="75" xfId="2" applyFont="1" applyFill="1" applyBorder="1" applyAlignment="1" applyProtection="1">
      <alignment horizontal="center" vertical="center"/>
    </xf>
    <xf numFmtId="208" fontId="39" fillId="0" borderId="25" xfId="2" applyFont="1" applyBorder="1" applyAlignment="1" applyProtection="1">
      <alignment horizontal="center"/>
    </xf>
    <xf numFmtId="208" fontId="0" fillId="0" borderId="18" xfId="2" applyFont="1" applyBorder="1" applyProtection="1">
      <alignment vertical="center"/>
    </xf>
    <xf numFmtId="208" fontId="0" fillId="0" borderId="55" xfId="2" applyFont="1" applyBorder="1" applyProtection="1">
      <alignment vertical="center"/>
    </xf>
    <xf numFmtId="208" fontId="27" fillId="0" borderId="19" xfId="2" applyFont="1" applyBorder="1" applyAlignment="1" applyProtection="1">
      <alignment horizontal="center"/>
    </xf>
    <xf numFmtId="208" fontId="0" fillId="0" borderId="19" xfId="2" applyFont="1" applyBorder="1" applyAlignment="1" applyProtection="1"/>
    <xf numFmtId="208" fontId="0" fillId="0" borderId="115" xfId="2" applyFont="1" applyBorder="1" applyProtection="1">
      <alignment vertical="center"/>
    </xf>
    <xf numFmtId="208" fontId="0" fillId="0" borderId="33" xfId="2" applyFont="1" applyBorder="1" applyProtection="1">
      <alignment vertical="center"/>
    </xf>
    <xf numFmtId="208" fontId="0" fillId="0" borderId="53" xfId="2" applyFont="1" applyBorder="1" applyProtection="1">
      <alignment vertical="center"/>
    </xf>
    <xf numFmtId="208" fontId="27" fillId="0" borderId="52" xfId="2" applyFont="1" applyBorder="1" applyAlignment="1" applyProtection="1">
      <alignment horizontal="center"/>
    </xf>
    <xf numFmtId="208" fontId="0" fillId="0" borderId="52" xfId="2" applyFont="1" applyBorder="1" applyAlignment="1" applyProtection="1">
      <alignment horizontal="right"/>
    </xf>
    <xf numFmtId="208" fontId="0" fillId="0" borderId="33" xfId="2" applyFont="1" applyBorder="1" applyAlignment="1" applyProtection="1">
      <alignment horizontal="left"/>
    </xf>
    <xf numFmtId="208" fontId="0" fillId="0" borderId="22" xfId="2" applyFont="1" applyBorder="1" applyProtection="1">
      <alignment vertical="center"/>
    </xf>
    <xf numFmtId="208" fontId="0" fillId="0" borderId="159" xfId="2" applyFont="1" applyBorder="1" applyProtection="1">
      <alignment vertical="center"/>
    </xf>
    <xf numFmtId="208" fontId="27" fillId="0" borderId="23" xfId="2" applyFont="1" applyBorder="1" applyAlignment="1" applyProtection="1">
      <alignment horizontal="center"/>
    </xf>
    <xf numFmtId="208" fontId="0" fillId="0" borderId="23" xfId="2" applyFont="1" applyBorder="1" applyAlignment="1" applyProtection="1">
      <alignment horizontal="right"/>
    </xf>
    <xf numFmtId="208" fontId="0" fillId="0" borderId="10" xfId="2" applyFont="1" applyBorder="1" applyAlignment="1" applyProtection="1">
      <alignment horizontal="left"/>
    </xf>
    <xf numFmtId="208" fontId="26" fillId="0" borderId="0" xfId="2" applyFont="1" applyBorder="1" applyProtection="1">
      <alignment vertical="center"/>
    </xf>
    <xf numFmtId="208" fontId="26" fillId="0" borderId="0" xfId="2" applyFont="1" applyBorder="1" applyAlignment="1" applyProtection="1">
      <alignment horizontal="center"/>
    </xf>
    <xf numFmtId="208" fontId="39" fillId="0" borderId="19" xfId="2" applyFont="1" applyFill="1" applyBorder="1" applyAlignment="1" applyProtection="1">
      <alignment horizontal="center"/>
    </xf>
    <xf numFmtId="208" fontId="39" fillId="0" borderId="20" xfId="2" applyFont="1" applyFill="1" applyBorder="1" applyAlignment="1" applyProtection="1">
      <alignment horizontal="center"/>
    </xf>
    <xf numFmtId="208" fontId="39" fillId="0" borderId="5" xfId="2" applyFont="1" applyFill="1" applyBorder="1" applyAlignment="1" applyProtection="1">
      <alignment vertical="center"/>
    </xf>
    <xf numFmtId="208" fontId="28" fillId="0" borderId="0" xfId="2" applyFont="1" applyFill="1" applyBorder="1" applyAlignment="1" applyProtection="1">
      <alignment horizontal="centerContinuous" vertical="center"/>
    </xf>
    <xf numFmtId="208" fontId="39" fillId="0" borderId="19" xfId="2" applyFont="1" applyFill="1" applyBorder="1" applyAlignment="1" applyProtection="1">
      <alignment vertical="center"/>
    </xf>
    <xf numFmtId="1" fontId="29" fillId="0" borderId="36" xfId="0" applyNumberFormat="1" applyFont="1" applyFill="1" applyBorder="1" applyAlignment="1" applyProtection="1">
      <alignment horizontal="right" vertical="center"/>
    </xf>
    <xf numFmtId="1" fontId="61" fillId="0" borderId="0" xfId="0" applyNumberFormat="1" applyFont="1" applyFill="1" applyBorder="1" applyProtection="1">
      <alignment vertical="center"/>
    </xf>
    <xf numFmtId="2" fontId="61" fillId="0" borderId="0" xfId="0" applyNumberFormat="1" applyFont="1" applyFill="1" applyBorder="1" applyProtection="1">
      <alignment vertical="center"/>
    </xf>
    <xf numFmtId="2" fontId="39" fillId="0" borderId="0" xfId="0" applyNumberFormat="1" applyFont="1" applyFill="1" applyBorder="1" applyAlignment="1" applyProtection="1">
      <alignment horizontal="centerContinuous" vertical="center"/>
    </xf>
    <xf numFmtId="2" fontId="39" fillId="0" borderId="33" xfId="0" applyNumberFormat="1" applyFont="1" applyFill="1" applyBorder="1" applyAlignment="1" applyProtection="1">
      <alignment horizontal="centerContinuous" vertical="center"/>
    </xf>
    <xf numFmtId="0" fontId="39" fillId="2" borderId="7" xfId="0" applyFont="1" applyFill="1" applyBorder="1" applyAlignment="1" applyProtection="1">
      <alignment horizontal="centerContinuous" vertical="center"/>
      <protection locked="0"/>
    </xf>
    <xf numFmtId="0" fontId="39" fillId="2" borderId="30" xfId="0" applyFont="1" applyFill="1" applyBorder="1" applyAlignment="1" applyProtection="1">
      <alignment horizontal="centerContinuous" vertical="center"/>
    </xf>
    <xf numFmtId="0" fontId="39" fillId="0" borderId="33" xfId="0" applyFont="1" applyFill="1" applyBorder="1" applyAlignment="1" applyProtection="1">
      <alignment horizontal="centerContinuous" vertical="center"/>
    </xf>
    <xf numFmtId="219" fontId="39" fillId="0" borderId="7" xfId="16" applyFont="1" applyFill="1" applyBorder="1" applyAlignment="1" applyProtection="1">
      <alignment horizontal="center" vertical="center"/>
    </xf>
    <xf numFmtId="219" fontId="39" fillId="6" borderId="7" xfId="16" applyFont="1" applyFill="1" applyBorder="1" applyAlignment="1" applyProtection="1">
      <alignment horizontal="center" vertical="center"/>
    </xf>
    <xf numFmtId="219" fontId="39" fillId="6" borderId="49" xfId="16" applyFont="1" applyFill="1" applyBorder="1" applyAlignment="1" applyProtection="1">
      <alignment horizontal="center" vertical="center"/>
    </xf>
    <xf numFmtId="220" fontId="39" fillId="2" borderId="7" xfId="17" applyFont="1" applyFill="1" applyBorder="1" applyAlignment="1" applyProtection="1">
      <alignment horizontal="center" vertical="center"/>
      <protection locked="0"/>
    </xf>
    <xf numFmtId="220" fontId="39" fillId="0" borderId="7" xfId="17" applyFont="1" applyFill="1" applyBorder="1" applyAlignment="1" applyProtection="1">
      <alignment horizontal="center" vertical="center"/>
    </xf>
    <xf numFmtId="220" fontId="39" fillId="6" borderId="7" xfId="17" applyFont="1" applyFill="1" applyBorder="1" applyAlignment="1" applyProtection="1">
      <alignment horizontal="center" vertical="center"/>
    </xf>
    <xf numFmtId="219" fontId="39" fillId="2" borderId="7" xfId="16" applyFont="1" applyFill="1" applyBorder="1" applyAlignment="1" applyProtection="1">
      <alignment horizontal="center" vertical="center"/>
      <protection locked="0"/>
    </xf>
    <xf numFmtId="222" fontId="39" fillId="10" borderId="52" xfId="18" applyFont="1" applyFill="1" applyBorder="1" applyAlignment="1" applyProtection="1">
      <alignment vertical="center"/>
      <protection locked="0"/>
    </xf>
    <xf numFmtId="222" fontId="39" fillId="10" borderId="7" xfId="18" applyFont="1" applyFill="1" applyBorder="1" applyAlignment="1" applyProtection="1">
      <alignment vertical="center"/>
      <protection locked="0"/>
    </xf>
    <xf numFmtId="222" fontId="0" fillId="2" borderId="7" xfId="18" applyFont="1" applyFill="1" applyBorder="1" applyAlignment="1" applyProtection="1">
      <alignment vertical="center"/>
      <protection locked="0"/>
    </xf>
    <xf numFmtId="222" fontId="39" fillId="6" borderId="7" xfId="18" applyFont="1" applyFill="1" applyBorder="1" applyAlignment="1" applyProtection="1">
      <alignment vertical="center"/>
    </xf>
    <xf numFmtId="222" fontId="39" fillId="6" borderId="30" xfId="18" applyFont="1" applyFill="1" applyBorder="1" applyAlignment="1" applyProtection="1">
      <alignment vertical="center"/>
    </xf>
    <xf numFmtId="222" fontId="39" fillId="2" borderId="7" xfId="18" applyFont="1" applyFill="1" applyBorder="1" applyAlignment="1" applyProtection="1">
      <alignment vertical="center"/>
      <protection locked="0"/>
    </xf>
    <xf numFmtId="222" fontId="39" fillId="2" borderId="30" xfId="18" applyFont="1" applyFill="1" applyBorder="1" applyAlignment="1" applyProtection="1">
      <alignment vertical="center"/>
      <protection locked="0"/>
    </xf>
    <xf numFmtId="222" fontId="38" fillId="0" borderId="49" xfId="18" applyFont="1" applyFill="1" applyBorder="1" applyAlignment="1" applyProtection="1">
      <alignment horizontal="center" vertical="center"/>
    </xf>
    <xf numFmtId="219" fontId="39" fillId="2" borderId="51" xfId="16" applyFont="1" applyFill="1" applyBorder="1" applyAlignment="1" applyProtection="1">
      <alignment horizontal="center" vertical="center"/>
      <protection locked="0"/>
    </xf>
    <xf numFmtId="219" fontId="70" fillId="2" borderId="49" xfId="16" applyFont="1" applyFill="1" applyBorder="1" applyAlignment="1" applyProtection="1">
      <alignment horizontal="center" vertical="center"/>
      <protection locked="0"/>
    </xf>
    <xf numFmtId="219" fontId="28" fillId="2" borderId="52" xfId="16" applyFont="1" applyFill="1" applyBorder="1" applyAlignment="1" applyProtection="1">
      <alignment horizontal="center" vertical="center"/>
      <protection locked="0"/>
    </xf>
    <xf numFmtId="219" fontId="28" fillId="0" borderId="53" xfId="16" applyFont="1" applyFill="1" applyBorder="1" applyAlignment="1" applyProtection="1">
      <alignment horizontal="center" vertical="center"/>
    </xf>
    <xf numFmtId="219" fontId="39" fillId="0" borderId="7" xfId="16" applyFont="1" applyFill="1" applyBorder="1" applyAlignment="1" applyProtection="1">
      <alignment horizontal="centerContinuous" vertical="center"/>
    </xf>
    <xf numFmtId="219" fontId="39" fillId="0" borderId="30" xfId="16" applyFont="1" applyFill="1" applyBorder="1" applyAlignment="1" applyProtection="1">
      <alignment horizontal="centerContinuous" vertical="center"/>
    </xf>
    <xf numFmtId="219" fontId="39" fillId="0" borderId="49" xfId="16" applyFont="1" applyFill="1" applyBorder="1" applyAlignment="1" applyProtection="1">
      <alignment horizontal="center" vertical="center"/>
    </xf>
    <xf numFmtId="219" fontId="39" fillId="2" borderId="49" xfId="16" applyFont="1" applyFill="1" applyBorder="1" applyAlignment="1" applyProtection="1">
      <alignment horizontal="center" vertical="center"/>
      <protection locked="0"/>
    </xf>
    <xf numFmtId="220" fontId="39" fillId="0" borderId="7" xfId="17" applyFont="1" applyFill="1" applyBorder="1" applyAlignment="1" applyProtection="1">
      <alignment horizontal="centerContinuous" vertical="center"/>
    </xf>
    <xf numFmtId="220" fontId="39" fillId="0" borderId="30" xfId="17" applyFont="1" applyFill="1" applyBorder="1" applyAlignment="1" applyProtection="1">
      <alignment horizontal="centerContinuous" vertical="center"/>
    </xf>
    <xf numFmtId="221" fontId="39" fillId="0" borderId="7" xfId="19" applyFont="1" applyFill="1" applyBorder="1" applyAlignment="1" applyProtection="1">
      <alignment horizontal="centerContinuous" vertical="center"/>
    </xf>
    <xf numFmtId="221" fontId="39" fillId="0" borderId="30" xfId="19" applyFont="1" applyFill="1" applyBorder="1" applyAlignment="1" applyProtection="1">
      <alignment horizontal="centerContinuous" vertical="center"/>
    </xf>
    <xf numFmtId="222" fontId="39" fillId="2" borderId="7" xfId="18" applyFont="1" applyFill="1" applyBorder="1" applyAlignment="1" applyProtection="1">
      <alignment horizontal="center" vertical="center"/>
      <protection locked="0"/>
    </xf>
    <xf numFmtId="222" fontId="39" fillId="0" borderId="33" xfId="18" applyFont="1" applyFill="1" applyBorder="1" applyAlignment="1" applyProtection="1">
      <alignment horizontal="center" vertical="center"/>
    </xf>
    <xf numFmtId="222" fontId="38" fillId="0" borderId="51" xfId="18" applyFont="1" applyFill="1" applyBorder="1" applyAlignment="1" applyProtection="1">
      <alignment horizontal="center" vertical="center"/>
    </xf>
    <xf numFmtId="222" fontId="38" fillId="2" borderId="49" xfId="18" applyFont="1" applyFill="1" applyBorder="1" applyAlignment="1" applyProtection="1">
      <alignment horizontal="center" vertical="center"/>
      <protection locked="0"/>
    </xf>
    <xf numFmtId="219" fontId="39" fillId="0" borderId="53" xfId="16" applyFont="1" applyFill="1" applyBorder="1" applyAlignment="1" applyProtection="1">
      <alignment horizontal="center" vertical="center"/>
    </xf>
    <xf numFmtId="208" fontId="38" fillId="0" borderId="19" xfId="2" applyFont="1" applyFill="1" applyBorder="1" applyAlignment="1" applyProtection="1">
      <alignment vertical="center"/>
    </xf>
    <xf numFmtId="208" fontId="38" fillId="0" borderId="7" xfId="2" applyFont="1" applyFill="1" applyBorder="1" applyAlignment="1" applyProtection="1">
      <alignment vertical="center"/>
    </xf>
    <xf numFmtId="208" fontId="39" fillId="2" borderId="51" xfId="2" applyFont="1" applyFill="1" applyBorder="1" applyAlignment="1" applyProtection="1">
      <alignment horizontal="center" vertical="center"/>
      <protection locked="0"/>
    </xf>
    <xf numFmtId="208" fontId="39" fillId="0" borderId="52" xfId="2" applyFont="1" applyFill="1" applyBorder="1" applyAlignment="1" applyProtection="1">
      <alignment vertical="center"/>
    </xf>
    <xf numFmtId="208" fontId="39" fillId="2" borderId="33" xfId="2" applyFont="1" applyFill="1" applyBorder="1" applyAlignment="1" applyProtection="1">
      <alignment vertical="center"/>
      <protection locked="0"/>
    </xf>
    <xf numFmtId="208" fontId="39" fillId="2" borderId="33" xfId="2" applyFont="1" applyFill="1" applyBorder="1" applyAlignment="1" applyProtection="1">
      <alignment vertical="center"/>
    </xf>
    <xf numFmtId="208" fontId="39" fillId="0" borderId="53" xfId="2" applyFont="1" applyFill="1" applyBorder="1" applyAlignment="1" applyProtection="1">
      <alignment vertical="center"/>
    </xf>
    <xf numFmtId="208" fontId="29" fillId="0" borderId="19" xfId="2" applyFont="1" applyFill="1" applyBorder="1" applyAlignment="1" applyProtection="1">
      <alignment vertical="center"/>
    </xf>
    <xf numFmtId="208" fontId="29" fillId="0" borderId="5" xfId="2" applyFont="1" applyFill="1" applyBorder="1" applyAlignment="1" applyProtection="1">
      <alignment vertical="center"/>
    </xf>
    <xf numFmtId="208" fontId="39" fillId="0" borderId="4" xfId="2" applyFont="1" applyFill="1" applyBorder="1" applyAlignment="1" applyProtection="1">
      <alignment horizontal="left" vertical="center"/>
    </xf>
    <xf numFmtId="208" fontId="39" fillId="0" borderId="4" xfId="2" applyFont="1" applyFill="1" applyBorder="1" applyAlignment="1" applyProtection="1">
      <alignment horizontal="right" vertical="center"/>
    </xf>
    <xf numFmtId="208" fontId="39" fillId="0" borderId="30" xfId="2" applyFont="1" applyFill="1" applyBorder="1" applyAlignment="1" applyProtection="1">
      <alignment horizontal="left" vertical="center"/>
    </xf>
    <xf numFmtId="208" fontId="29" fillId="0" borderId="52" xfId="2" applyFont="1" applyFill="1" applyBorder="1" applyAlignment="1" applyProtection="1">
      <alignment vertical="center"/>
    </xf>
    <xf numFmtId="208" fontId="39" fillId="0" borderId="33" xfId="2" applyFont="1" applyFill="1" applyBorder="1" applyAlignment="1" applyProtection="1">
      <alignment vertical="center"/>
    </xf>
    <xf numFmtId="208" fontId="39" fillId="0" borderId="33" xfId="2" applyFont="1" applyFill="1" applyBorder="1" applyAlignment="1" applyProtection="1">
      <alignment horizontal="left" vertical="center"/>
    </xf>
    <xf numFmtId="208" fontId="28" fillId="0" borderId="33" xfId="2" applyFont="1" applyFill="1" applyBorder="1" applyAlignment="1" applyProtection="1">
      <alignment vertical="center"/>
    </xf>
    <xf numFmtId="222" fontId="39" fillId="0" borderId="5" xfId="18" applyFont="1" applyFill="1" applyBorder="1" applyAlignment="1" applyProtection="1">
      <alignment horizontal="centerContinuous" vertical="center" wrapText="1"/>
    </xf>
    <xf numFmtId="222" fontId="39" fillId="0" borderId="4" xfId="18" applyFont="1" applyFill="1" applyBorder="1" applyAlignment="1" applyProtection="1">
      <alignment horizontal="centerContinuous" vertical="center" wrapText="1"/>
    </xf>
    <xf numFmtId="222" fontId="39" fillId="0" borderId="5" xfId="18" applyFont="1" applyFill="1" applyBorder="1" applyAlignment="1" applyProtection="1">
      <alignment horizontal="center" vertical="center" wrapText="1"/>
    </xf>
    <xf numFmtId="222" fontId="39" fillId="0" borderId="5" xfId="18" applyFont="1" applyFill="1" applyBorder="1" applyAlignment="1" applyProtection="1">
      <alignment horizontal="centerContinuous" vertical="center"/>
    </xf>
    <xf numFmtId="222" fontId="39" fillId="0" borderId="4" xfId="18" applyFont="1" applyFill="1" applyBorder="1" applyAlignment="1" applyProtection="1">
      <alignment horizontal="centerContinuous" vertical="center"/>
    </xf>
    <xf numFmtId="222" fontId="39" fillId="0" borderId="71" xfId="18" applyFont="1" applyFill="1" applyBorder="1" applyAlignment="1" applyProtection="1">
      <alignment horizontal="centerContinuous" vertical="center"/>
    </xf>
    <xf numFmtId="222" fontId="39" fillId="0" borderId="19" xfId="18" applyFont="1" applyFill="1" applyBorder="1" applyAlignment="1" applyProtection="1">
      <alignment horizontal="centerContinuous" vertical="center" wrapText="1"/>
    </xf>
    <xf numFmtId="222" fontId="39" fillId="0" borderId="0" xfId="18" applyFont="1" applyFill="1" applyBorder="1" applyAlignment="1" applyProtection="1">
      <alignment horizontal="centerContinuous" vertical="center" wrapText="1"/>
    </xf>
    <xf numFmtId="222" fontId="39" fillId="0" borderId="19" xfId="18" applyFont="1" applyFill="1" applyBorder="1" applyAlignment="1" applyProtection="1">
      <alignment vertical="center" wrapText="1"/>
    </xf>
    <xf numFmtId="222" fontId="39" fillId="0" borderId="19" xfId="18" applyFont="1" applyFill="1" applyBorder="1" applyAlignment="1" applyProtection="1">
      <alignment horizontal="center" vertical="center" wrapText="1"/>
    </xf>
    <xf numFmtId="222" fontId="39" fillId="0" borderId="55" xfId="18" applyFont="1" applyFill="1" applyBorder="1" applyAlignment="1" applyProtection="1">
      <alignment horizontal="centerContinuous" vertical="center" wrapText="1"/>
    </xf>
    <xf numFmtId="222" fontId="28" fillId="0" borderId="19" xfId="18" applyFont="1" applyFill="1" applyBorder="1" applyAlignment="1" applyProtection="1">
      <alignment horizontal="centerContinuous" vertical="center"/>
    </xf>
    <xf numFmtId="222" fontId="28" fillId="0" borderId="0" xfId="18" applyFont="1" applyFill="1" applyBorder="1" applyAlignment="1" applyProtection="1">
      <alignment horizontal="centerContinuous" vertical="center"/>
    </xf>
    <xf numFmtId="222" fontId="39" fillId="0" borderId="54" xfId="18" applyFont="1" applyFill="1" applyBorder="1" applyAlignment="1" applyProtection="1">
      <alignment horizontal="center" vertical="center" wrapText="1"/>
    </xf>
    <xf numFmtId="222" fontId="39" fillId="0" borderId="7" xfId="18" applyFont="1" applyFill="1" applyBorder="1" applyAlignment="1" applyProtection="1">
      <alignment vertical="center"/>
    </xf>
    <xf numFmtId="222" fontId="39" fillId="0" borderId="30" xfId="18" applyFont="1" applyFill="1" applyBorder="1" applyAlignment="1" applyProtection="1">
      <alignment vertical="center"/>
    </xf>
    <xf numFmtId="222" fontId="39" fillId="0" borderId="7" xfId="18" applyFont="1" applyFill="1" applyBorder="1" applyAlignment="1" applyProtection="1">
      <alignment horizontal="center" vertical="center"/>
    </xf>
    <xf numFmtId="222" fontId="39" fillId="0" borderId="7" xfId="18" applyFont="1" applyFill="1" applyBorder="1" applyAlignment="1" applyProtection="1">
      <alignment horizontal="center" vertical="center" wrapText="1"/>
    </xf>
    <xf numFmtId="222" fontId="39" fillId="0" borderId="49" xfId="18" applyFont="1" applyFill="1" applyBorder="1" applyAlignment="1" applyProtection="1">
      <alignment horizontal="center" vertical="center"/>
    </xf>
    <xf numFmtId="219" fontId="39" fillId="0" borderId="19" xfId="16" applyFont="1" applyFill="1" applyBorder="1" applyAlignment="1" applyProtection="1">
      <alignment horizontal="centerContinuous" vertical="center"/>
    </xf>
    <xf numFmtId="219" fontId="39" fillId="0" borderId="0" xfId="16" applyFont="1" applyFill="1" applyBorder="1" applyAlignment="1" applyProtection="1">
      <alignment horizontal="centerContinuous" vertical="center"/>
    </xf>
    <xf numFmtId="219" fontId="39" fillId="0" borderId="19" xfId="16" applyFont="1" applyFill="1" applyBorder="1" applyAlignment="1" applyProtection="1">
      <alignment horizontal="center" vertical="center"/>
    </xf>
    <xf numFmtId="219" fontId="28" fillId="0" borderId="0" xfId="16" applyFont="1" applyFill="1" applyBorder="1" applyAlignment="1" applyProtection="1">
      <alignment vertical="center"/>
    </xf>
    <xf numFmtId="219" fontId="39" fillId="0" borderId="54" xfId="16" applyFont="1" applyFill="1" applyBorder="1" applyAlignment="1" applyProtection="1">
      <alignment vertical="center"/>
    </xf>
    <xf numFmtId="208" fontId="29" fillId="0" borderId="0" xfId="2" applyFont="1" applyBorder="1" applyAlignment="1" applyProtection="1">
      <alignment vertical="center"/>
    </xf>
    <xf numFmtId="208" fontId="40" fillId="0" borderId="0" xfId="2" applyFont="1" applyBorder="1" applyAlignment="1" applyProtection="1">
      <alignment horizontal="right" vertical="center"/>
    </xf>
    <xf numFmtId="208" fontId="29" fillId="0" borderId="0" xfId="2" applyFont="1" applyBorder="1" applyAlignment="1" applyProtection="1">
      <alignment horizontal="right" vertical="center"/>
    </xf>
    <xf numFmtId="0" fontId="162" fillId="15" borderId="0" xfId="0" applyFont="1" applyFill="1" applyBorder="1" applyProtection="1">
      <alignment vertical="center"/>
    </xf>
    <xf numFmtId="3" fontId="27" fillId="0" borderId="11" xfId="0" applyNumberFormat="1" applyFont="1" applyFill="1" applyBorder="1" applyAlignment="1" applyProtection="1">
      <alignment horizontal="right" vertical="center"/>
    </xf>
    <xf numFmtId="0" fontId="22" fillId="0" borderId="0" xfId="0" applyFont="1" applyFill="1" applyBorder="1">
      <alignment vertical="center"/>
    </xf>
    <xf numFmtId="0" fontId="22" fillId="0" borderId="0" xfId="0" applyFont="1" applyFill="1" applyBorder="1" applyAlignment="1">
      <alignment vertical="center" wrapText="1"/>
    </xf>
    <xf numFmtId="0" fontId="164" fillId="0" borderId="0" xfId="0" applyFont="1">
      <alignment vertical="center"/>
    </xf>
    <xf numFmtId="0" fontId="161" fillId="0" borderId="0" xfId="0" applyFont="1" applyBorder="1" applyProtection="1">
      <alignment vertical="center"/>
    </xf>
    <xf numFmtId="0" fontId="150" fillId="0" borderId="10" xfId="0" applyFont="1" applyFill="1" applyBorder="1" applyAlignment="1" applyProtection="1"/>
    <xf numFmtId="0" fontId="21" fillId="0" borderId="0" xfId="0" applyFont="1" applyFill="1" applyBorder="1">
      <alignment vertical="center"/>
    </xf>
    <xf numFmtId="0" fontId="150" fillId="0" borderId="0" xfId="0" applyFont="1" applyFill="1" applyBorder="1" applyAlignment="1" applyProtection="1"/>
    <xf numFmtId="0" fontId="165" fillId="0" borderId="183" xfId="0" applyFont="1" applyBorder="1" applyAlignment="1">
      <alignment vertical="center" wrapText="1"/>
    </xf>
    <xf numFmtId="0" fontId="165" fillId="0" borderId="184" xfId="0" applyFont="1" applyBorder="1" applyAlignment="1">
      <alignment vertical="center" wrapText="1"/>
    </xf>
    <xf numFmtId="0" fontId="20" fillId="0" borderId="0" xfId="0" applyFont="1" applyFill="1" applyBorder="1" applyAlignment="1">
      <alignment vertical="center" wrapText="1"/>
    </xf>
    <xf numFmtId="0" fontId="20" fillId="0" borderId="0" xfId="0" applyFont="1" applyFill="1" applyBorder="1">
      <alignment vertical="center"/>
    </xf>
    <xf numFmtId="0" fontId="27" fillId="0" borderId="29" xfId="0" applyFont="1" applyFill="1" applyBorder="1" applyAlignment="1" applyProtection="1"/>
    <xf numFmtId="0" fontId="20" fillId="0" borderId="0" xfId="0" applyFont="1" applyFill="1" applyBorder="1" applyAlignment="1" applyProtection="1">
      <alignment vertical="center" wrapText="1"/>
      <protection locked="0"/>
    </xf>
    <xf numFmtId="2" fontId="39" fillId="0" borderId="3" xfId="0" applyNumberFormat="1" applyFont="1" applyFill="1" applyBorder="1" applyAlignment="1" applyProtection="1">
      <alignment horizontal="center" vertical="center"/>
    </xf>
    <xf numFmtId="0" fontId="20" fillId="0" borderId="0" xfId="0" quotePrefix="1" applyFont="1" applyFill="1" applyBorder="1">
      <alignment vertical="center"/>
    </xf>
    <xf numFmtId="0" fontId="20" fillId="0" borderId="0" xfId="0" quotePrefix="1" applyFont="1" applyFill="1" applyBorder="1" applyAlignment="1">
      <alignment vertical="center" wrapText="1"/>
    </xf>
    <xf numFmtId="0" fontId="20" fillId="0" borderId="0" xfId="0" applyFont="1" applyFill="1" applyBorder="1" applyAlignment="1">
      <alignment wrapText="1"/>
    </xf>
    <xf numFmtId="0" fontId="20" fillId="0" borderId="0" xfId="0" quotePrefix="1" applyFont="1" applyFill="1" applyBorder="1" applyAlignment="1" applyProtection="1">
      <alignment vertical="center" wrapText="1"/>
      <protection locked="0"/>
    </xf>
    <xf numFmtId="208" fontId="27" fillId="0" borderId="0" xfId="2" applyFont="1" applyFill="1" applyBorder="1" applyAlignment="1" applyProtection="1">
      <alignment horizontal="left" indent="1"/>
    </xf>
    <xf numFmtId="208" fontId="39" fillId="0" borderId="0" xfId="2" applyFont="1" applyFill="1" applyBorder="1" applyAlignment="1" applyProtection="1">
      <alignment horizontal="left" indent="1"/>
    </xf>
    <xf numFmtId="0" fontId="40" fillId="3" borderId="19" xfId="0" applyFont="1" applyFill="1" applyBorder="1" applyAlignment="1" applyProtection="1">
      <alignment horizontal="left"/>
    </xf>
    <xf numFmtId="0" fontId="40" fillId="3" borderId="23" xfId="0" applyFont="1" applyFill="1" applyBorder="1" applyAlignment="1" applyProtection="1">
      <alignment horizontal="left"/>
    </xf>
    <xf numFmtId="0" fontId="40" fillId="3" borderId="19" xfId="0" applyFont="1" applyFill="1" applyBorder="1" applyAlignment="1" applyProtection="1">
      <alignment horizontal="left" vertical="center"/>
    </xf>
    <xf numFmtId="223" fontId="39" fillId="0" borderId="48" xfId="0" applyNumberFormat="1" applyFont="1" applyFill="1" applyBorder="1" applyAlignment="1" applyProtection="1">
      <alignment horizontal="center"/>
    </xf>
    <xf numFmtId="223" fontId="39" fillId="3" borderId="19" xfId="0" applyNumberFormat="1" applyFont="1" applyFill="1" applyBorder="1" applyAlignment="1" applyProtection="1">
      <alignment horizontal="center"/>
    </xf>
    <xf numFmtId="0" fontId="39" fillId="5" borderId="118" xfId="0" applyFont="1" applyFill="1" applyBorder="1" applyAlignment="1" applyProtection="1">
      <alignment horizontal="center"/>
    </xf>
    <xf numFmtId="0" fontId="39" fillId="5" borderId="177" xfId="0" applyFont="1" applyFill="1" applyBorder="1" applyAlignment="1" applyProtection="1">
      <alignment horizontal="center"/>
    </xf>
    <xf numFmtId="223" fontId="39" fillId="0" borderId="7" xfId="0" applyNumberFormat="1" applyFont="1" applyFill="1" applyBorder="1" applyAlignment="1" applyProtection="1">
      <alignment horizontal="center"/>
    </xf>
    <xf numFmtId="223" fontId="39" fillId="0" borderId="23" xfId="0" applyNumberFormat="1" applyFont="1" applyFill="1" applyBorder="1" applyAlignment="1" applyProtection="1">
      <alignment horizontal="center"/>
    </xf>
    <xf numFmtId="224" fontId="39" fillId="0" borderId="29" xfId="0" applyNumberFormat="1" applyFont="1" applyFill="1" applyBorder="1" applyAlignment="1" applyProtection="1">
      <alignment horizontal="center"/>
    </xf>
    <xf numFmtId="224" fontId="39" fillId="0" borderId="48" xfId="0" applyNumberFormat="1" applyFont="1" applyFill="1" applyBorder="1" applyAlignment="1" applyProtection="1">
      <alignment horizontal="center"/>
    </xf>
    <xf numFmtId="172" fontId="39" fillId="2" borderId="185" xfId="0" applyNumberFormat="1" applyFont="1" applyFill="1" applyBorder="1" applyAlignment="1" applyProtection="1">
      <alignment horizontal="center"/>
      <protection locked="0"/>
    </xf>
    <xf numFmtId="172" fontId="39" fillId="2" borderId="51" xfId="0" applyNumberFormat="1" applyFont="1" applyFill="1" applyBorder="1" applyAlignment="1" applyProtection="1">
      <alignment horizontal="center"/>
      <protection locked="0"/>
    </xf>
    <xf numFmtId="2" fontId="39" fillId="3" borderId="186" xfId="0" applyNumberFormat="1" applyFont="1" applyFill="1" applyBorder="1" applyAlignment="1" applyProtection="1">
      <alignment horizontal="center"/>
    </xf>
    <xf numFmtId="2" fontId="39" fillId="3" borderId="54" xfId="0" applyNumberFormat="1" applyFont="1" applyFill="1" applyBorder="1" applyAlignment="1" applyProtection="1">
      <alignment horizontal="center"/>
    </xf>
    <xf numFmtId="172" fontId="39" fillId="3" borderId="158" xfId="0" applyNumberFormat="1" applyFont="1" applyFill="1" applyBorder="1" applyAlignment="1" applyProtection="1">
      <alignment horizontal="center"/>
    </xf>
    <xf numFmtId="172" fontId="39" fillId="3" borderId="114" xfId="0" applyNumberFormat="1" applyFont="1" applyFill="1" applyBorder="1" applyAlignment="1" applyProtection="1">
      <alignment horizontal="center"/>
    </xf>
    <xf numFmtId="172" fontId="39" fillId="3" borderId="62" xfId="0" applyNumberFormat="1" applyFont="1" applyFill="1" applyBorder="1" applyAlignment="1" applyProtection="1">
      <alignment horizontal="center"/>
    </xf>
    <xf numFmtId="208" fontId="38" fillId="8" borderId="0" xfId="2" applyFont="1" applyFill="1" applyBorder="1" applyAlignment="1" applyProtection="1"/>
    <xf numFmtId="208" fontId="38" fillId="8" borderId="0" xfId="2" applyFont="1" applyFill="1" applyBorder="1" applyAlignment="1" applyProtection="1">
      <alignment vertical="center"/>
    </xf>
    <xf numFmtId="208" fontId="28" fillId="18" borderId="126" xfId="2" applyFont="1" applyFill="1" applyBorder="1" applyAlignment="1" applyProtection="1">
      <alignment vertical="center"/>
      <protection locked="0"/>
    </xf>
    <xf numFmtId="208" fontId="28" fillId="20" borderId="126" xfId="2" applyFont="1" applyFill="1" applyBorder="1" applyAlignment="1" applyProtection="1">
      <alignment vertical="center"/>
      <protection locked="0"/>
    </xf>
    <xf numFmtId="208" fontId="28" fillId="19" borderId="126" xfId="2" applyFont="1" applyFill="1" applyBorder="1" applyAlignment="1" applyProtection="1">
      <alignment vertical="center"/>
      <protection locked="0"/>
    </xf>
    <xf numFmtId="208" fontId="28" fillId="19" borderId="126" xfId="2" applyFont="1" applyFill="1" applyBorder="1" applyAlignment="1" applyProtection="1">
      <alignment horizontal="center" vertical="center"/>
    </xf>
    <xf numFmtId="208" fontId="27" fillId="19" borderId="126" xfId="2" applyFont="1" applyFill="1" applyBorder="1" applyAlignment="1" applyProtection="1">
      <alignment horizontal="left" vertical="center"/>
    </xf>
    <xf numFmtId="208" fontId="28" fillId="13" borderId="126" xfId="2" applyFont="1" applyFill="1" applyBorder="1" applyAlignment="1" applyProtection="1">
      <alignment horizontal="center" vertical="center"/>
    </xf>
    <xf numFmtId="208" fontId="28" fillId="13" borderId="126" xfId="2" applyFont="1" applyFill="1" applyBorder="1" applyAlignment="1" applyProtection="1">
      <alignment vertical="center"/>
    </xf>
    <xf numFmtId="0" fontId="28" fillId="13" borderId="126" xfId="0" applyFont="1" applyFill="1" applyBorder="1" applyProtection="1">
      <alignment vertical="center"/>
    </xf>
    <xf numFmtId="0" fontId="28" fillId="21" borderId="126" xfId="0" applyFont="1" applyFill="1" applyBorder="1" applyProtection="1">
      <alignment vertical="center"/>
      <protection locked="0"/>
    </xf>
    <xf numFmtId="208" fontId="28" fillId="21" borderId="126" xfId="2" applyFont="1" applyFill="1" applyBorder="1" applyAlignment="1" applyProtection="1">
      <alignment vertical="center"/>
      <protection locked="0"/>
    </xf>
    <xf numFmtId="0" fontId="28" fillId="22" borderId="126" xfId="0" applyFont="1" applyFill="1" applyBorder="1" applyProtection="1">
      <alignment vertical="center"/>
      <protection locked="0"/>
    </xf>
    <xf numFmtId="208" fontId="28" fillId="22" borderId="126" xfId="2" applyFont="1" applyFill="1" applyBorder="1" applyAlignment="1" applyProtection="1">
      <alignment vertical="center"/>
      <protection locked="0"/>
    </xf>
    <xf numFmtId="208" fontId="28" fillId="22" borderId="126" xfId="2" applyFont="1" applyFill="1" applyBorder="1" applyAlignment="1" applyProtection="1">
      <alignment horizontal="center" vertical="center"/>
    </xf>
    <xf numFmtId="2" fontId="28" fillId="22" borderId="126" xfId="0" applyNumberFormat="1" applyFont="1" applyFill="1" applyBorder="1" applyAlignment="1" applyProtection="1">
      <alignment horizontal="center" vertical="center"/>
    </xf>
    <xf numFmtId="0" fontId="29" fillId="13" borderId="29" xfId="0" applyFont="1" applyFill="1" applyBorder="1" applyAlignment="1" applyProtection="1"/>
    <xf numFmtId="208" fontId="28" fillId="13" borderId="30" xfId="2" applyFont="1" applyFill="1" applyBorder="1" applyAlignment="1" applyProtection="1"/>
    <xf numFmtId="0" fontId="28" fillId="13" borderId="30" xfId="0" applyFont="1" applyFill="1" applyBorder="1" applyAlignment="1" applyProtection="1"/>
    <xf numFmtId="0" fontId="28" fillId="13" borderId="33" xfId="0" applyFont="1" applyFill="1" applyBorder="1" applyAlignment="1" applyProtection="1"/>
    <xf numFmtId="0" fontId="28" fillId="13" borderId="0" xfId="0" applyFont="1" applyFill="1" applyBorder="1" applyAlignment="1" applyProtection="1"/>
    <xf numFmtId="0" fontId="28" fillId="13" borderId="0" xfId="0" applyFont="1" applyFill="1" applyBorder="1" applyAlignment="1" applyProtection="1">
      <alignment horizontal="center"/>
    </xf>
    <xf numFmtId="0" fontId="29" fillId="13" borderId="115" xfId="0" applyFont="1" applyFill="1" applyBorder="1" applyAlignment="1" applyProtection="1"/>
    <xf numFmtId="0" fontId="29" fillId="13" borderId="33" xfId="0" applyFont="1" applyFill="1" applyBorder="1" applyAlignment="1" applyProtection="1"/>
    <xf numFmtId="1" fontId="29" fillId="13" borderId="33" xfId="0" applyNumberFormat="1" applyFont="1" applyFill="1" applyBorder="1" applyProtection="1">
      <alignment vertical="center"/>
    </xf>
    <xf numFmtId="1" fontId="28" fillId="13" borderId="33" xfId="0" applyNumberFormat="1" applyFont="1" applyFill="1" applyBorder="1" applyAlignment="1" applyProtection="1">
      <alignment horizontal="center" vertical="center"/>
    </xf>
    <xf numFmtId="2" fontId="28" fillId="13" borderId="33" xfId="0" applyNumberFormat="1" applyFont="1" applyFill="1" applyBorder="1" applyAlignment="1" applyProtection="1">
      <alignment horizontal="center" vertical="center"/>
    </xf>
    <xf numFmtId="0" fontId="28" fillId="13" borderId="33" xfId="0" applyFont="1" applyFill="1" applyBorder="1" applyAlignment="1" applyProtection="1">
      <alignment horizontal="center"/>
    </xf>
    <xf numFmtId="172" fontId="28" fillId="13" borderId="33" xfId="0" applyNumberFormat="1" applyFont="1" applyFill="1" applyBorder="1" applyAlignment="1" applyProtection="1">
      <alignment horizontal="center"/>
    </xf>
    <xf numFmtId="208" fontId="28" fillId="23" borderId="126" xfId="2" applyFont="1" applyFill="1" applyBorder="1" applyAlignment="1" applyProtection="1">
      <alignment vertical="center"/>
      <protection locked="0"/>
    </xf>
    <xf numFmtId="0" fontId="28" fillId="23" borderId="126" xfId="0" applyFont="1" applyFill="1" applyBorder="1" applyProtection="1">
      <alignment vertical="center"/>
      <protection locked="0"/>
    </xf>
    <xf numFmtId="208" fontId="27" fillId="23" borderId="126" xfId="2" applyFont="1" applyFill="1" applyBorder="1" applyAlignment="1" applyProtection="1">
      <alignment horizontal="center" vertical="center"/>
    </xf>
    <xf numFmtId="2" fontId="28" fillId="23" borderId="126" xfId="0" applyNumberFormat="1" applyFont="1" applyFill="1" applyBorder="1" applyAlignment="1" applyProtection="1">
      <alignment horizontal="center" vertical="center"/>
    </xf>
    <xf numFmtId="208" fontId="28" fillId="18" borderId="0" xfId="2" applyFont="1" applyFill="1" applyBorder="1" applyAlignment="1" applyProtection="1"/>
    <xf numFmtId="208" fontId="28" fillId="18" borderId="10" xfId="2" applyFont="1" applyFill="1" applyBorder="1" applyAlignment="1" applyProtection="1"/>
    <xf numFmtId="208" fontId="0" fillId="0" borderId="0" xfId="2" applyFont="1" applyFill="1" applyBorder="1">
      <alignment vertical="center"/>
    </xf>
    <xf numFmtId="208" fontId="28" fillId="18" borderId="0" xfId="2" applyFont="1" applyFill="1" applyBorder="1" applyAlignment="1" applyProtection="1">
      <alignment vertical="center"/>
    </xf>
    <xf numFmtId="208" fontId="28" fillId="18" borderId="0" xfId="2" applyFont="1" applyFill="1" applyBorder="1" applyAlignment="1" applyProtection="1">
      <alignment horizontal="left" vertical="center"/>
    </xf>
    <xf numFmtId="208" fontId="39" fillId="18" borderId="15" xfId="2" applyFont="1" applyFill="1" applyBorder="1" applyAlignment="1" applyProtection="1">
      <alignment horizontal="center" wrapText="1"/>
    </xf>
    <xf numFmtId="208" fontId="39" fillId="18" borderId="23" xfId="2" applyFont="1" applyFill="1" applyBorder="1" applyAlignment="1" applyProtection="1">
      <alignment horizontal="center" vertical="center"/>
    </xf>
    <xf numFmtId="208" fontId="0" fillId="18" borderId="30" xfId="2" applyFont="1" applyFill="1" applyBorder="1">
      <alignment vertical="center"/>
    </xf>
    <xf numFmtId="208" fontId="39" fillId="18" borderId="0" xfId="2" applyFont="1" applyFill="1" applyBorder="1" applyAlignment="1" applyProtection="1"/>
    <xf numFmtId="208" fontId="27" fillId="18" borderId="0" xfId="2" applyFont="1" applyFill="1" applyBorder="1" applyAlignment="1" applyProtection="1">
      <alignment horizontal="left"/>
    </xf>
    <xf numFmtId="208" fontId="39" fillId="18" borderId="7" xfId="2" applyFont="1" applyFill="1" applyBorder="1" applyAlignment="1" applyProtection="1">
      <alignment horizontal="center"/>
    </xf>
    <xf numFmtId="208" fontId="39" fillId="18" borderId="19" xfId="2" applyFont="1" applyFill="1" applyBorder="1" applyAlignment="1" applyProtection="1">
      <alignment horizontal="center"/>
    </xf>
    <xf numFmtId="208" fontId="39" fillId="18" borderId="14" xfId="2" applyFont="1" applyFill="1" applyBorder="1" applyAlignment="1" applyProtection="1"/>
    <xf numFmtId="208" fontId="0" fillId="18" borderId="14" xfId="2" applyFont="1" applyFill="1" applyBorder="1" applyAlignment="1" applyProtection="1">
      <alignment horizontal="centerContinuous"/>
    </xf>
    <xf numFmtId="208" fontId="39" fillId="18" borderId="10" xfId="2" applyFont="1" applyFill="1" applyBorder="1" applyAlignment="1" applyProtection="1">
      <alignment horizontal="center" vertical="center"/>
    </xf>
    <xf numFmtId="208" fontId="39" fillId="18" borderId="30" xfId="2" applyFont="1" applyFill="1" applyBorder="1" applyAlignment="1" applyProtection="1">
      <alignment horizontal="center"/>
      <protection locked="0"/>
    </xf>
    <xf numFmtId="208" fontId="39" fillId="18" borderId="0" xfId="2" applyFont="1" applyFill="1" applyBorder="1" applyAlignment="1" applyProtection="1">
      <alignment horizontal="center"/>
    </xf>
    <xf numFmtId="208" fontId="39" fillId="18" borderId="157" xfId="2" applyFont="1" applyFill="1" applyBorder="1" applyAlignment="1" applyProtection="1">
      <alignment horizontal="center"/>
    </xf>
    <xf numFmtId="208" fontId="39" fillId="18" borderId="0" xfId="2" applyFont="1" applyFill="1" applyBorder="1" applyAlignment="1" applyProtection="1">
      <alignment vertical="center"/>
    </xf>
    <xf numFmtId="208" fontId="40" fillId="18" borderId="14" xfId="2" applyFont="1" applyFill="1" applyBorder="1" applyAlignment="1" applyProtection="1">
      <alignment horizontal="centerContinuous"/>
    </xf>
    <xf numFmtId="208" fontId="40" fillId="18" borderId="10" xfId="2" applyFont="1" applyFill="1" applyBorder="1" applyAlignment="1" applyProtection="1"/>
    <xf numFmtId="208" fontId="39" fillId="18" borderId="30" xfId="2" applyFont="1" applyFill="1" applyBorder="1" applyAlignment="1" applyProtection="1"/>
    <xf numFmtId="208" fontId="39" fillId="18" borderId="10" xfId="2" applyFont="1" applyFill="1" applyBorder="1" applyAlignment="1" applyProtection="1"/>
    <xf numFmtId="208" fontId="40" fillId="18" borderId="0" xfId="2" applyFont="1" applyFill="1" applyBorder="1" applyAlignment="1" applyProtection="1">
      <alignment horizontal="center"/>
    </xf>
    <xf numFmtId="208" fontId="28" fillId="18" borderId="0" xfId="2" applyFont="1" applyFill="1" applyBorder="1" applyAlignment="1" applyProtection="1">
      <alignment horizontal="center"/>
    </xf>
    <xf numFmtId="208" fontId="0" fillId="18" borderId="0" xfId="2" applyFont="1" applyFill="1" applyBorder="1" applyProtection="1">
      <alignment vertical="center"/>
    </xf>
    <xf numFmtId="208" fontId="26" fillId="18" borderId="14" xfId="2" applyFont="1" applyFill="1" applyBorder="1" applyAlignment="1" applyProtection="1">
      <alignment horizontal="right"/>
    </xf>
    <xf numFmtId="208" fontId="38" fillId="18" borderId="10" xfId="2" applyFont="1" applyFill="1" applyBorder="1" applyAlignment="1" applyProtection="1">
      <alignment horizontal="right"/>
    </xf>
    <xf numFmtId="208" fontId="39" fillId="18" borderId="0" xfId="2" applyFont="1" applyFill="1" applyBorder="1" applyAlignment="1" applyProtection="1">
      <alignment horizontal="left"/>
    </xf>
    <xf numFmtId="208" fontId="39" fillId="18" borderId="33" xfId="2" applyFont="1" applyFill="1" applyBorder="1" applyAlignment="1" applyProtection="1">
      <alignment horizontal="right"/>
    </xf>
    <xf numFmtId="208" fontId="39" fillId="18" borderId="10" xfId="2" applyFont="1" applyFill="1" applyBorder="1" applyAlignment="1" applyProtection="1">
      <alignment horizontal="right"/>
    </xf>
    <xf numFmtId="208" fontId="0" fillId="18" borderId="0" xfId="2" applyFont="1" applyFill="1" applyBorder="1">
      <alignment vertical="center"/>
    </xf>
    <xf numFmtId="208" fontId="40" fillId="18" borderId="4" xfId="2" applyFont="1" applyFill="1" applyBorder="1" applyAlignment="1" applyProtection="1">
      <alignment horizontal="centerContinuous" vertical="center"/>
    </xf>
    <xf numFmtId="208" fontId="66" fillId="18" borderId="4" xfId="2" applyFont="1" applyFill="1" applyBorder="1" applyAlignment="1" applyProtection="1">
      <alignment horizontal="centerContinuous" vertical="center"/>
    </xf>
    <xf numFmtId="208" fontId="40" fillId="18" borderId="0" xfId="2" applyFont="1" applyFill="1" applyBorder="1" applyAlignment="1" applyProtection="1">
      <alignment horizontal="centerContinuous" vertical="center"/>
    </xf>
    <xf numFmtId="208" fontId="65" fillId="18" borderId="0" xfId="2" applyFont="1" applyFill="1" applyBorder="1" applyAlignment="1" applyProtection="1">
      <alignment horizontal="centerContinuous"/>
    </xf>
    <xf numFmtId="208" fontId="40" fillId="18" borderId="0" xfId="2" applyFont="1" applyFill="1" applyBorder="1" applyAlignment="1" applyProtection="1">
      <alignment horizontal="centerContinuous"/>
    </xf>
    <xf numFmtId="208" fontId="40" fillId="18" borderId="4" xfId="2" applyFont="1" applyFill="1" applyBorder="1" applyAlignment="1" applyProtection="1">
      <alignment horizontal="centerContinuous"/>
    </xf>
    <xf numFmtId="208" fontId="65" fillId="18" borderId="0" xfId="2" applyFont="1" applyFill="1" applyBorder="1" applyAlignment="1" applyProtection="1">
      <alignment horizontal="centerContinuous" vertical="center"/>
    </xf>
    <xf numFmtId="208" fontId="47" fillId="18" borderId="0" xfId="2" applyFont="1" applyFill="1" applyBorder="1" applyAlignment="1" applyProtection="1">
      <alignment horizontal="centerContinuous" vertical="center"/>
    </xf>
    <xf numFmtId="208" fontId="65" fillId="18" borderId="51" xfId="2" applyFont="1" applyFill="1" applyBorder="1" applyAlignment="1" applyProtection="1">
      <alignment horizontal="center" vertical="center"/>
    </xf>
    <xf numFmtId="208" fontId="40" fillId="18" borderId="0" xfId="2" applyFont="1" applyFill="1" applyBorder="1" applyAlignment="1" applyProtection="1">
      <alignment horizontal="center" vertical="center"/>
    </xf>
    <xf numFmtId="0" fontId="51" fillId="18" borderId="0" xfId="0" applyFont="1" applyFill="1">
      <alignment vertical="center"/>
    </xf>
    <xf numFmtId="225" fontId="0" fillId="18" borderId="0" xfId="0" applyNumberFormat="1" applyFill="1">
      <alignment vertical="center"/>
    </xf>
    <xf numFmtId="0" fontId="35" fillId="18" borderId="0" xfId="0" applyFont="1" applyFill="1" applyBorder="1" applyAlignment="1" applyProtection="1">
      <alignment horizontal="left"/>
      <protection locked="0"/>
    </xf>
    <xf numFmtId="172" fontId="100" fillId="18" borderId="0" xfId="0" applyNumberFormat="1" applyFont="1" applyFill="1" applyBorder="1" applyAlignment="1" applyProtection="1">
      <alignment horizontal="right" vertical="center"/>
    </xf>
    <xf numFmtId="1" fontId="100" fillId="18" borderId="0" xfId="0" applyNumberFormat="1" applyFont="1" applyFill="1" applyBorder="1" applyAlignment="1" applyProtection="1">
      <alignment horizontal="right" vertical="center"/>
    </xf>
    <xf numFmtId="1" fontId="100" fillId="18" borderId="0" xfId="0" applyNumberFormat="1" applyFont="1" applyFill="1" applyAlignment="1" applyProtection="1">
      <alignment horizontal="right" vertical="center"/>
    </xf>
    <xf numFmtId="199" fontId="100" fillId="18" borderId="0" xfId="0" applyNumberFormat="1" applyFont="1" applyFill="1" applyBorder="1" applyAlignment="1" applyProtection="1">
      <alignment horizontal="right" vertical="center"/>
    </xf>
    <xf numFmtId="172" fontId="100" fillId="18" borderId="0" xfId="0" applyNumberFormat="1" applyFont="1" applyFill="1" applyBorder="1" applyAlignment="1" applyProtection="1">
      <alignment horizontal="left" vertical="center"/>
    </xf>
    <xf numFmtId="0" fontId="100" fillId="18" borderId="0" xfId="0" applyFont="1" applyFill="1" applyAlignment="1" applyProtection="1">
      <alignment horizontal="right" vertical="center"/>
    </xf>
    <xf numFmtId="213" fontId="100" fillId="18" borderId="0" xfId="10" applyFont="1" applyFill="1" applyBorder="1" applyAlignment="1" applyProtection="1">
      <alignment horizontal="right" vertical="center"/>
    </xf>
    <xf numFmtId="195" fontId="100" fillId="18" borderId="0" xfId="0" applyNumberFormat="1" applyFont="1" applyFill="1" applyAlignment="1" applyProtection="1">
      <alignment horizontal="right" vertical="center"/>
    </xf>
    <xf numFmtId="172" fontId="100" fillId="18" borderId="0" xfId="0" applyNumberFormat="1" applyFont="1" applyFill="1" applyAlignment="1" applyProtection="1">
      <alignment horizontal="right" vertical="center"/>
    </xf>
    <xf numFmtId="208" fontId="0" fillId="18" borderId="0" xfId="0" applyNumberFormat="1" applyFill="1">
      <alignment vertical="center"/>
    </xf>
    <xf numFmtId="208" fontId="33" fillId="0" borderId="10" xfId="2" applyFont="1" applyFill="1" applyBorder="1" applyAlignment="1" applyProtection="1">
      <alignment horizontal="left" vertical="center"/>
    </xf>
    <xf numFmtId="208" fontId="39" fillId="0" borderId="71" xfId="2" applyFont="1" applyFill="1" applyBorder="1" applyAlignment="1" applyProtection="1">
      <alignment horizontal="right" vertical="center"/>
    </xf>
    <xf numFmtId="208" fontId="29" fillId="0" borderId="0" xfId="2" applyFont="1" applyFill="1" applyBorder="1" applyAlignment="1" applyProtection="1">
      <alignment horizontal="right"/>
    </xf>
    <xf numFmtId="0" fontId="19" fillId="0" borderId="0" xfId="0" applyFont="1" applyFill="1" applyBorder="1">
      <alignment vertical="center"/>
    </xf>
    <xf numFmtId="172" fontId="27" fillId="19" borderId="126" xfId="0" applyNumberFormat="1" applyFont="1" applyFill="1" applyBorder="1" applyProtection="1">
      <alignment vertical="center"/>
      <protection locked="0"/>
    </xf>
    <xf numFmtId="208" fontId="39" fillId="0" borderId="28" xfId="2" applyFont="1" applyFill="1" applyBorder="1" applyAlignment="1" applyProtection="1">
      <alignment horizontal="center" vertical="center"/>
    </xf>
    <xf numFmtId="208" fontId="39" fillId="0" borderId="34" xfId="2" applyFont="1" applyFill="1" applyBorder="1" applyAlignment="1" applyProtection="1">
      <alignment horizontal="center" vertical="center"/>
    </xf>
    <xf numFmtId="208" fontId="39" fillId="3" borderId="17" xfId="2" applyFont="1" applyFill="1" applyBorder="1" applyAlignment="1" applyProtection="1">
      <alignment horizontal="right" vertical="center"/>
    </xf>
    <xf numFmtId="208" fontId="39" fillId="3" borderId="21" xfId="2" applyFont="1" applyFill="1" applyBorder="1" applyAlignment="1" applyProtection="1">
      <alignment horizontal="right" vertical="center"/>
    </xf>
    <xf numFmtId="208" fontId="39" fillId="3" borderId="27" xfId="2" applyFont="1" applyFill="1" applyBorder="1" applyAlignment="1" applyProtection="1">
      <alignment horizontal="right" vertical="center"/>
    </xf>
    <xf numFmtId="208" fontId="39" fillId="0" borderId="21" xfId="2" applyFont="1" applyFill="1" applyBorder="1" applyAlignment="1" applyProtection="1">
      <alignment horizontal="centerContinuous" vertical="center"/>
    </xf>
    <xf numFmtId="208" fontId="39" fillId="0" borderId="25" xfId="2" applyFont="1" applyFill="1" applyBorder="1" applyAlignment="1" applyProtection="1">
      <alignment horizontal="center" vertical="center"/>
    </xf>
    <xf numFmtId="208" fontId="38" fillId="3" borderId="27" xfId="2" applyFont="1" applyFill="1" applyBorder="1" applyAlignment="1" applyProtection="1">
      <alignment horizontal="right" vertical="center"/>
    </xf>
    <xf numFmtId="208" fontId="39" fillId="3" borderId="109" xfId="2" applyFont="1" applyFill="1" applyBorder="1" applyAlignment="1" applyProtection="1">
      <alignment horizontal="right" vertical="center"/>
    </xf>
    <xf numFmtId="208" fontId="39" fillId="3" borderId="17" xfId="2" applyFont="1" applyFill="1" applyBorder="1" applyAlignment="1" applyProtection="1"/>
    <xf numFmtId="208" fontId="39" fillId="3" borderId="27" xfId="2" applyFont="1" applyFill="1" applyBorder="1" applyAlignment="1" applyProtection="1"/>
    <xf numFmtId="208" fontId="39" fillId="3" borderId="21" xfId="2" applyFont="1" applyFill="1" applyBorder="1" applyAlignment="1" applyProtection="1"/>
    <xf numFmtId="208" fontId="39" fillId="3" borderId="27" xfId="2" applyFont="1" applyFill="1" applyBorder="1" applyAlignment="1" applyProtection="1">
      <alignment horizontal="center" vertical="center"/>
    </xf>
    <xf numFmtId="208" fontId="39" fillId="0" borderId="38" xfId="2" applyFont="1" applyFill="1" applyBorder="1" applyAlignment="1" applyProtection="1">
      <alignment horizontal="centerContinuous" vertical="center"/>
    </xf>
    <xf numFmtId="208" fontId="39" fillId="3" borderId="21" xfId="2" applyFont="1" applyFill="1" applyBorder="1" applyAlignment="1" applyProtection="1">
      <alignment horizontal="center" vertical="center"/>
    </xf>
    <xf numFmtId="208" fontId="39" fillId="3" borderId="17" xfId="2" applyFont="1" applyFill="1" applyBorder="1" applyAlignment="1" applyProtection="1">
      <alignment horizontal="center" vertical="center"/>
    </xf>
    <xf numFmtId="208" fontId="39" fillId="2" borderId="3" xfId="2" applyFont="1" applyFill="1" applyBorder="1" applyAlignment="1" applyProtection="1">
      <alignment horizontal="center" vertical="center"/>
      <protection locked="0"/>
    </xf>
    <xf numFmtId="208" fontId="39" fillId="3" borderId="31" xfId="2" applyFont="1" applyFill="1" applyBorder="1" applyAlignment="1" applyProtection="1">
      <alignment horizontal="center" vertical="center"/>
    </xf>
    <xf numFmtId="208" fontId="39" fillId="3" borderId="13" xfId="2" applyFont="1" applyFill="1" applyBorder="1" applyAlignment="1" applyProtection="1"/>
    <xf numFmtId="208" fontId="39" fillId="3" borderId="22" xfId="2" applyFont="1" applyFill="1" applyBorder="1" applyAlignment="1" applyProtection="1"/>
    <xf numFmtId="208" fontId="39" fillId="2" borderId="20" xfId="2" applyFont="1" applyFill="1" applyBorder="1" applyAlignment="1" applyProtection="1">
      <alignment horizontal="center" vertical="center"/>
      <protection locked="0"/>
    </xf>
    <xf numFmtId="208" fontId="39" fillId="3" borderId="13" xfId="2" applyFont="1" applyFill="1" applyBorder="1" applyAlignment="1" applyProtection="1">
      <alignment horizontal="center" vertical="center"/>
    </xf>
    <xf numFmtId="208" fontId="39" fillId="3" borderId="18" xfId="2" applyFont="1" applyFill="1" applyBorder="1" applyAlignment="1" applyProtection="1"/>
    <xf numFmtId="208" fontId="39" fillId="0" borderId="36" xfId="2" applyFont="1" applyFill="1" applyBorder="1" applyAlignment="1" applyProtection="1">
      <alignment horizontal="centerContinuous" vertical="center"/>
    </xf>
    <xf numFmtId="208" fontId="39" fillId="3" borderId="18" xfId="2" applyFont="1" applyFill="1" applyBorder="1" applyAlignment="1" applyProtection="1">
      <alignment horizontal="center" vertical="center"/>
    </xf>
    <xf numFmtId="208" fontId="39" fillId="3" borderId="10" xfId="2" applyFont="1" applyFill="1" applyBorder="1" applyAlignment="1" applyProtection="1">
      <alignment horizontal="center" vertical="center"/>
    </xf>
    <xf numFmtId="208" fontId="39" fillId="2" borderId="24" xfId="2" applyFont="1" applyFill="1" applyBorder="1" applyAlignment="1" applyProtection="1">
      <alignment horizontal="center" vertical="center"/>
      <protection locked="0"/>
    </xf>
    <xf numFmtId="208" fontId="39" fillId="3" borderId="0" xfId="2" applyFont="1" applyFill="1" applyBorder="1" applyAlignment="1" applyProtection="1">
      <alignment horizontal="center" vertical="center"/>
    </xf>
    <xf numFmtId="208" fontId="39" fillId="3" borderId="14" xfId="2" applyFont="1" applyFill="1" applyBorder="1" applyAlignment="1" applyProtection="1">
      <alignment horizontal="center" vertical="center"/>
    </xf>
    <xf numFmtId="208" fontId="39" fillId="2" borderId="92" xfId="2" applyFont="1" applyFill="1" applyBorder="1" applyAlignment="1" applyProtection="1">
      <alignment horizontal="center" vertical="center"/>
      <protection locked="0"/>
    </xf>
    <xf numFmtId="208" fontId="39" fillId="3" borderId="18" xfId="2" applyFont="1" applyFill="1" applyBorder="1" applyAlignment="1" applyProtection="1">
      <alignment horizontal="left" vertical="center"/>
    </xf>
    <xf numFmtId="208" fontId="39" fillId="3" borderId="22" xfId="2" applyFont="1" applyFill="1" applyBorder="1" applyAlignment="1" applyProtection="1">
      <alignment horizontal="left" vertical="center"/>
    </xf>
    <xf numFmtId="208" fontId="143" fillId="13" borderId="30" xfId="2" applyFont="1" applyFill="1" applyBorder="1" applyAlignment="1" applyProtection="1">
      <alignment horizontal="right"/>
    </xf>
    <xf numFmtId="0" fontId="0" fillId="0" borderId="14" xfId="0" applyBorder="1">
      <alignment vertical="center"/>
    </xf>
    <xf numFmtId="0" fontId="0" fillId="18" borderId="88" xfId="0" applyFill="1" applyBorder="1">
      <alignment vertical="center"/>
    </xf>
    <xf numFmtId="0" fontId="0" fillId="18" borderId="0" xfId="0" applyFill="1" applyAlignment="1">
      <alignment horizontal="center" vertical="center"/>
    </xf>
    <xf numFmtId="208" fontId="27" fillId="14" borderId="126" xfId="2" applyFont="1" applyFill="1" applyBorder="1" applyAlignment="1" applyProtection="1">
      <alignment horizontal="center" vertical="center"/>
    </xf>
    <xf numFmtId="208" fontId="28" fillId="14" borderId="126" xfId="2" applyFont="1" applyFill="1" applyBorder="1" applyAlignment="1" applyProtection="1">
      <alignment vertical="center"/>
      <protection locked="0"/>
    </xf>
    <xf numFmtId="2" fontId="28" fillId="14" borderId="126" xfId="0" applyNumberFormat="1" applyFont="1" applyFill="1" applyBorder="1" applyAlignment="1" applyProtection="1">
      <alignment horizontal="center" vertical="center"/>
    </xf>
    <xf numFmtId="208" fontId="28" fillId="15" borderId="126" xfId="2" applyFont="1" applyFill="1" applyBorder="1" applyAlignment="1" applyProtection="1">
      <alignment vertical="center"/>
      <protection locked="0"/>
    </xf>
    <xf numFmtId="2" fontId="28" fillId="15" borderId="126" xfId="0" applyNumberFormat="1" applyFont="1" applyFill="1" applyBorder="1" applyAlignment="1" applyProtection="1">
      <alignment horizontal="center" vertical="center"/>
    </xf>
    <xf numFmtId="208" fontId="28" fillId="15" borderId="126" xfId="2" applyFont="1" applyFill="1" applyBorder="1" applyAlignment="1" applyProtection="1">
      <alignment horizontal="center" vertical="center"/>
    </xf>
    <xf numFmtId="208" fontId="28" fillId="14" borderId="126" xfId="2" applyFont="1" applyFill="1" applyBorder="1" applyAlignment="1" applyProtection="1"/>
    <xf numFmtId="208" fontId="27" fillId="15" borderId="126" xfId="2" applyFont="1" applyFill="1" applyBorder="1" applyAlignment="1" applyProtection="1"/>
    <xf numFmtId="208" fontId="39" fillId="18" borderId="23" xfId="2" applyFont="1" applyFill="1" applyBorder="1" applyAlignment="1" applyProtection="1">
      <alignment horizontal="center"/>
    </xf>
    <xf numFmtId="208" fontId="141" fillId="18" borderId="19" xfId="2" quotePrefix="1" applyFont="1" applyFill="1" applyBorder="1" applyAlignment="1" applyProtection="1">
      <alignment horizontal="center"/>
    </xf>
    <xf numFmtId="0" fontId="0" fillId="0" borderId="152" xfId="0" applyBorder="1">
      <alignment vertical="center"/>
    </xf>
    <xf numFmtId="0" fontId="135" fillId="18" borderId="0" xfId="0" applyFont="1" applyFill="1">
      <alignment vertical="center"/>
    </xf>
    <xf numFmtId="0" fontId="0" fillId="18" borderId="0" xfId="0" applyFill="1" applyAlignment="1">
      <alignment horizontal="right" vertical="center"/>
    </xf>
    <xf numFmtId="208" fontId="42" fillId="0" borderId="0" xfId="2" applyFont="1" applyFill="1" applyBorder="1" applyAlignment="1" applyProtection="1">
      <alignment horizontal="right"/>
    </xf>
    <xf numFmtId="208" fontId="39" fillId="0" borderId="51" xfId="2" applyFont="1" applyFill="1" applyBorder="1" applyAlignment="1" applyProtection="1">
      <alignment horizontal="center"/>
    </xf>
    <xf numFmtId="208" fontId="100" fillId="18" borderId="0" xfId="2" applyFont="1" applyFill="1" applyBorder="1" applyAlignment="1" applyProtection="1">
      <alignment horizontal="right" vertical="center"/>
    </xf>
    <xf numFmtId="0" fontId="26" fillId="18" borderId="0" xfId="0" applyFont="1" applyFill="1" applyBorder="1" applyAlignment="1" applyProtection="1">
      <alignment horizontal="centerContinuous" vertical="center"/>
    </xf>
    <xf numFmtId="208" fontId="28" fillId="19" borderId="126" xfId="2" applyFont="1" applyFill="1" applyBorder="1" applyAlignment="1" applyProtection="1"/>
    <xf numFmtId="1" fontId="0" fillId="18" borderId="0" xfId="0" applyNumberFormat="1" applyFill="1">
      <alignment vertical="center"/>
    </xf>
    <xf numFmtId="208" fontId="39" fillId="0" borderId="34" xfId="2" applyFont="1" applyFill="1" applyBorder="1" applyAlignment="1" applyProtection="1">
      <alignment horizontal="center"/>
    </xf>
    <xf numFmtId="208" fontId="39" fillId="0" borderId="32" xfId="2" applyFont="1" applyFill="1" applyBorder="1" applyAlignment="1" applyProtection="1"/>
    <xf numFmtId="212" fontId="28" fillId="0" borderId="11" xfId="9" applyFont="1" applyFill="1" applyBorder="1" applyAlignment="1" applyProtection="1">
      <alignment horizontal="right" vertical="center"/>
    </xf>
    <xf numFmtId="212" fontId="39" fillId="0" borderId="0" xfId="9" applyFont="1" applyBorder="1" applyAlignment="1" applyProtection="1">
      <alignment vertical="center"/>
    </xf>
    <xf numFmtId="212" fontId="28" fillId="2" borderId="11" xfId="9" applyFont="1" applyFill="1" applyBorder="1" applyAlignment="1" applyProtection="1">
      <alignment horizontal="right" vertical="center"/>
      <protection locked="0"/>
    </xf>
    <xf numFmtId="208" fontId="100" fillId="0" borderId="0" xfId="2" applyFont="1" applyFill="1" applyBorder="1" applyAlignment="1" applyProtection="1"/>
    <xf numFmtId="1" fontId="0" fillId="15" borderId="0" xfId="0" applyNumberFormat="1" applyFill="1" applyProtection="1">
      <alignment vertical="center"/>
    </xf>
    <xf numFmtId="3" fontId="27" fillId="0" borderId="88" xfId="0" applyNumberFormat="1" applyFont="1" applyFill="1" applyBorder="1" applyAlignment="1" applyProtection="1">
      <alignment horizontal="right" vertical="center"/>
    </xf>
    <xf numFmtId="0" fontId="28" fillId="0" borderId="30" xfId="0" applyFont="1" applyBorder="1" applyAlignment="1" applyProtection="1">
      <alignment horizontal="right" vertical="center"/>
    </xf>
    <xf numFmtId="212" fontId="163" fillId="0" borderId="11" xfId="9" applyFont="1" applyBorder="1" applyAlignment="1" applyProtection="1">
      <alignment vertical="center"/>
    </xf>
    <xf numFmtId="212" fontId="28" fillId="0" borderId="0" xfId="9" applyFont="1" applyBorder="1" applyProtection="1">
      <alignment vertical="center"/>
    </xf>
    <xf numFmtId="212" fontId="28" fillId="0" borderId="0" xfId="9" applyFont="1" applyBorder="1" applyAlignment="1" applyProtection="1">
      <alignment vertical="center"/>
    </xf>
    <xf numFmtId="212" fontId="0" fillId="0" borderId="0" xfId="9" applyFont="1" applyBorder="1" applyProtection="1">
      <alignment vertical="center"/>
    </xf>
    <xf numFmtId="212" fontId="39" fillId="0" borderId="0" xfId="9" applyFont="1" applyBorder="1" applyProtection="1">
      <alignment vertical="center"/>
    </xf>
    <xf numFmtId="212" fontId="163" fillId="0" borderId="126" xfId="9" applyFont="1" applyBorder="1" applyAlignment="1" applyProtection="1">
      <alignment vertical="center"/>
    </xf>
    <xf numFmtId="212" fontId="39" fillId="0" borderId="11" xfId="9" applyFont="1" applyBorder="1" applyAlignment="1" applyProtection="1">
      <alignment vertical="center"/>
    </xf>
    <xf numFmtId="212" fontId="163" fillId="0" borderId="0" xfId="9" applyFont="1" applyBorder="1" applyAlignment="1" applyProtection="1">
      <alignment vertical="center"/>
    </xf>
    <xf numFmtId="208" fontId="27" fillId="0" borderId="11" xfId="2" applyFont="1" applyFill="1" applyBorder="1" applyAlignment="1" applyProtection="1">
      <alignment horizontal="right" vertical="center"/>
    </xf>
    <xf numFmtId="208" fontId="28" fillId="0" borderId="10" xfId="2" applyFont="1" applyBorder="1" applyProtection="1">
      <alignment vertical="center"/>
    </xf>
    <xf numFmtId="208" fontId="28" fillId="0" borderId="36" xfId="2" applyFont="1" applyFill="1" applyBorder="1" applyAlignment="1" applyProtection="1">
      <alignment horizontal="left"/>
    </xf>
    <xf numFmtId="208" fontId="28" fillId="0" borderId="0" xfId="2" applyFont="1" applyBorder="1" applyProtection="1">
      <alignment vertical="center"/>
    </xf>
    <xf numFmtId="208" fontId="0" fillId="0" borderId="4" xfId="2" applyFont="1" applyBorder="1" applyAlignment="1"/>
    <xf numFmtId="208" fontId="28" fillId="0" borderId="0" xfId="2" applyFont="1" applyBorder="1" applyAlignment="1" applyProtection="1">
      <alignment vertical="center"/>
    </xf>
    <xf numFmtId="208" fontId="28" fillId="0" borderId="11" xfId="2" applyFont="1" applyFill="1" applyBorder="1" applyAlignment="1" applyProtection="1">
      <alignment horizontal="right" vertical="center"/>
    </xf>
    <xf numFmtId="208" fontId="28" fillId="0" borderId="0" xfId="2" applyFont="1" applyBorder="1" applyAlignment="1" applyProtection="1">
      <alignment horizontal="center" vertical="center"/>
    </xf>
    <xf numFmtId="208" fontId="28" fillId="2" borderId="11" xfId="2" applyFont="1" applyFill="1" applyBorder="1" applyAlignment="1" applyProtection="1">
      <alignment horizontal="right" vertical="center"/>
      <protection locked="0"/>
    </xf>
    <xf numFmtId="208" fontId="28" fillId="0" borderId="4" xfId="2" applyFont="1" applyBorder="1" applyProtection="1">
      <alignment vertical="center"/>
    </xf>
    <xf numFmtId="208" fontId="0" fillId="0" borderId="0" xfId="2" applyFont="1" applyBorder="1" applyAlignment="1" applyProtection="1">
      <alignment horizontal="right" vertical="center"/>
    </xf>
    <xf numFmtId="208" fontId="28" fillId="0" borderId="0" xfId="2" applyFont="1" applyBorder="1" applyAlignment="1" applyProtection="1">
      <alignment horizontal="right" vertical="center"/>
    </xf>
    <xf numFmtId="208" fontId="28" fillId="0" borderId="30" xfId="2" applyFont="1" applyBorder="1" applyAlignment="1" applyProtection="1">
      <alignment vertical="center"/>
    </xf>
    <xf numFmtId="208" fontId="28" fillId="0" borderId="181" xfId="2" applyFont="1" applyBorder="1" applyAlignment="1" applyProtection="1">
      <alignment vertical="center"/>
    </xf>
    <xf numFmtId="208" fontId="29" fillId="0" borderId="51" xfId="2" applyFont="1" applyBorder="1" applyAlignment="1" applyProtection="1">
      <alignment vertical="center"/>
    </xf>
    <xf numFmtId="208" fontId="28" fillId="0" borderId="30" xfId="2" applyFont="1" applyBorder="1" applyAlignment="1" applyProtection="1">
      <alignment horizontal="center" vertical="center"/>
    </xf>
    <xf numFmtId="208" fontId="39" fillId="0" borderId="0" xfId="2" applyFont="1" applyBorder="1" applyAlignment="1" applyProtection="1">
      <alignment horizontal="right" vertical="center"/>
    </xf>
    <xf numFmtId="208" fontId="28" fillId="0" borderId="11" xfId="2" applyFont="1" applyBorder="1" applyAlignment="1" applyProtection="1">
      <alignment horizontal="right" vertical="center"/>
    </xf>
    <xf numFmtId="208" fontId="31" fillId="0" borderId="0" xfId="2" applyFont="1" applyBorder="1" applyAlignment="1" applyProtection="1">
      <alignment horizontal="right" vertical="center"/>
    </xf>
    <xf numFmtId="0" fontId="27" fillId="0" borderId="0" xfId="0" applyFont="1" applyBorder="1" applyAlignment="1" applyProtection="1">
      <alignment horizontal="center" vertical="center"/>
    </xf>
    <xf numFmtId="225" fontId="27" fillId="0" borderId="0" xfId="9" applyNumberFormat="1" applyFont="1" applyBorder="1" applyProtection="1">
      <alignment vertical="center"/>
    </xf>
    <xf numFmtId="212" fontId="28" fillId="0" borderId="0" xfId="9" applyFont="1" applyBorder="1" applyAlignment="1" applyProtection="1">
      <alignment horizontal="center" vertical="center"/>
    </xf>
    <xf numFmtId="212" fontId="28" fillId="0" borderId="0" xfId="9" applyFont="1" applyFill="1" applyBorder="1" applyAlignment="1" applyProtection="1">
      <alignment horizontal="center" vertical="center"/>
    </xf>
    <xf numFmtId="212" fontId="28" fillId="2" borderId="11" xfId="9" applyFont="1" applyFill="1" applyBorder="1" applyAlignment="1" applyProtection="1">
      <alignment horizontal="center" vertical="center"/>
      <protection locked="0"/>
    </xf>
    <xf numFmtId="212" fontId="28" fillId="0" borderId="30" xfId="9" applyFont="1" applyBorder="1" applyAlignment="1" applyProtection="1">
      <alignment vertical="center"/>
    </xf>
    <xf numFmtId="0" fontId="0" fillId="0" borderId="30" xfId="0" applyFill="1" applyBorder="1" applyAlignment="1" applyProtection="1"/>
    <xf numFmtId="1" fontId="39" fillId="2" borderId="129" xfId="0" applyNumberFormat="1" applyFont="1" applyFill="1" applyBorder="1" applyAlignment="1" applyProtection="1">
      <alignment horizontal="center" vertical="center"/>
      <protection locked="0"/>
    </xf>
    <xf numFmtId="208" fontId="143" fillId="22" borderId="126" xfId="2" applyFont="1" applyFill="1" applyBorder="1" applyAlignment="1" applyProtection="1"/>
    <xf numFmtId="208" fontId="28" fillId="23" borderId="126" xfId="2" applyFont="1" applyFill="1" applyBorder="1" applyAlignment="1" applyProtection="1"/>
    <xf numFmtId="208" fontId="28" fillId="20" borderId="126" xfId="2" applyFont="1" applyFill="1" applyBorder="1" applyAlignment="1" applyProtection="1"/>
    <xf numFmtId="208" fontId="134" fillId="18" borderId="126" xfId="2" applyFont="1" applyFill="1" applyBorder="1" applyAlignment="1" applyProtection="1"/>
    <xf numFmtId="208" fontId="28" fillId="21" borderId="126" xfId="2" applyFont="1" applyFill="1" applyBorder="1" applyAlignment="1" applyProtection="1"/>
    <xf numFmtId="208" fontId="143" fillId="20" borderId="126" xfId="2" applyFont="1" applyFill="1" applyBorder="1" applyAlignment="1" applyProtection="1"/>
    <xf numFmtId="208" fontId="143" fillId="19" borderId="126" xfId="2" applyFont="1" applyFill="1" applyBorder="1" applyAlignment="1" applyProtection="1"/>
    <xf numFmtId="208" fontId="28" fillId="22" borderId="126" xfId="2" applyFont="1" applyFill="1" applyBorder="1" applyAlignment="1" applyProtection="1"/>
    <xf numFmtId="208" fontId="143" fillId="23" borderId="126" xfId="2" applyFont="1" applyFill="1" applyBorder="1" applyAlignment="1" applyProtection="1"/>
    <xf numFmtId="208" fontId="143" fillId="21" borderId="126" xfId="2" applyFont="1" applyFill="1" applyBorder="1" applyAlignment="1" applyProtection="1"/>
    <xf numFmtId="0" fontId="28" fillId="13" borderId="126" xfId="0" applyFont="1" applyFill="1" applyBorder="1" applyAlignment="1" applyProtection="1">
      <alignment horizontal="center" vertical="center"/>
    </xf>
    <xf numFmtId="208" fontId="0" fillId="13" borderId="126" xfId="2" applyFont="1" applyFill="1" applyBorder="1" applyAlignment="1">
      <alignment vertical="center"/>
    </xf>
    <xf numFmtId="208" fontId="0" fillId="23" borderId="126" xfId="2" quotePrefix="1" applyFont="1" applyFill="1" applyBorder="1" applyAlignment="1">
      <alignment vertical="center"/>
    </xf>
    <xf numFmtId="208" fontId="0" fillId="20" borderId="126" xfId="2" applyFont="1" applyFill="1" applyBorder="1" applyAlignment="1">
      <alignment vertical="center"/>
    </xf>
    <xf numFmtId="208" fontId="0" fillId="18" borderId="126" xfId="2" applyFont="1" applyFill="1" applyBorder="1" applyAlignment="1">
      <alignment vertical="center"/>
    </xf>
    <xf numFmtId="208" fontId="0" fillId="22" borderId="126" xfId="2" applyFont="1" applyFill="1" applyBorder="1" applyAlignment="1">
      <alignment vertical="center"/>
    </xf>
    <xf numFmtId="208" fontId="0" fillId="21" borderId="126" xfId="2" applyFont="1" applyFill="1" applyBorder="1" applyAlignment="1">
      <alignment vertical="center"/>
    </xf>
    <xf numFmtId="208" fontId="0" fillId="19" borderId="126" xfId="2" applyFont="1" applyFill="1" applyBorder="1" applyAlignment="1">
      <alignment vertical="center"/>
    </xf>
    <xf numFmtId="208" fontId="0" fillId="15" borderId="126" xfId="2" applyFont="1" applyFill="1" applyBorder="1" applyAlignment="1">
      <alignment vertical="center"/>
    </xf>
    <xf numFmtId="208" fontId="0" fillId="14" borderId="126" xfId="2" applyFont="1" applyFill="1" applyBorder="1" applyAlignment="1">
      <alignment vertical="center"/>
    </xf>
    <xf numFmtId="208" fontId="0" fillId="23" borderId="126" xfId="2" applyFont="1" applyFill="1" applyBorder="1" applyAlignment="1">
      <alignment vertical="center"/>
    </xf>
    <xf numFmtId="208" fontId="0" fillId="13" borderId="126" xfId="2" applyFont="1" applyFill="1" applyBorder="1" applyAlignment="1">
      <alignment horizontal="left" vertical="center"/>
    </xf>
    <xf numFmtId="208" fontId="0" fillId="13" borderId="126" xfId="2" applyFont="1" applyFill="1" applyBorder="1" applyAlignment="1">
      <alignment horizontal="right" vertical="center"/>
    </xf>
    <xf numFmtId="208" fontId="27" fillId="13" borderId="126" xfId="2" applyFont="1" applyFill="1" applyBorder="1" applyAlignment="1" applyProtection="1">
      <alignment horizontal="right" vertical="center"/>
    </xf>
    <xf numFmtId="208" fontId="28" fillId="13" borderId="126" xfId="2" applyFont="1" applyFill="1" applyBorder="1" applyAlignment="1" applyProtection="1">
      <alignment horizontal="right" vertical="center"/>
      <protection locked="0"/>
    </xf>
    <xf numFmtId="213" fontId="28" fillId="13" borderId="126" xfId="10" applyFont="1" applyFill="1" applyBorder="1" applyAlignment="1" applyProtection="1">
      <alignment horizontal="right" vertical="center"/>
      <protection locked="0"/>
    </xf>
    <xf numFmtId="213" fontId="28" fillId="23" borderId="182" xfId="10" applyFont="1" applyFill="1" applyBorder="1" applyAlignment="1" applyProtection="1">
      <alignment horizontal="right" vertical="center"/>
    </xf>
    <xf numFmtId="213" fontId="28" fillId="20" borderId="182" xfId="10" applyFont="1" applyFill="1" applyBorder="1" applyAlignment="1" applyProtection="1">
      <alignment horizontal="right" vertical="center"/>
    </xf>
    <xf numFmtId="213" fontId="28" fillId="18" borderId="182" xfId="10" applyFont="1" applyFill="1" applyBorder="1" applyAlignment="1" applyProtection="1">
      <alignment horizontal="right" vertical="center"/>
    </xf>
    <xf numFmtId="213" fontId="28" fillId="22" borderId="182" xfId="10" applyFont="1" applyFill="1" applyBorder="1" applyAlignment="1" applyProtection="1">
      <alignment horizontal="right" vertical="center"/>
    </xf>
    <xf numFmtId="213" fontId="28" fillId="21" borderId="182" xfId="10" applyFont="1" applyFill="1" applyBorder="1" applyAlignment="1" applyProtection="1">
      <alignment horizontal="right" vertical="center"/>
    </xf>
    <xf numFmtId="213" fontId="28" fillId="19" borderId="182" xfId="10" applyFont="1" applyFill="1" applyBorder="1" applyAlignment="1" applyProtection="1">
      <alignment horizontal="right" vertical="center"/>
    </xf>
    <xf numFmtId="213" fontId="28" fillId="15" borderId="182" xfId="10" applyFont="1" applyFill="1" applyBorder="1" applyAlignment="1" applyProtection="1">
      <alignment horizontal="right" vertical="center"/>
    </xf>
    <xf numFmtId="213" fontId="28" fillId="14" borderId="182" xfId="10" applyFont="1" applyFill="1" applyBorder="1" applyAlignment="1" applyProtection="1">
      <alignment horizontal="right" vertical="center"/>
    </xf>
    <xf numFmtId="213" fontId="28" fillId="13" borderId="182" xfId="10" applyFont="1" applyFill="1" applyBorder="1" applyAlignment="1" applyProtection="1">
      <alignment horizontal="right" vertical="center"/>
    </xf>
    <xf numFmtId="213" fontId="28" fillId="23" borderId="126" xfId="10" applyFont="1" applyFill="1" applyBorder="1" applyAlignment="1" applyProtection="1">
      <alignment horizontal="right" vertical="center"/>
      <protection locked="0"/>
    </xf>
    <xf numFmtId="213" fontId="28" fillId="20" borderId="126" xfId="10" applyFont="1" applyFill="1" applyBorder="1" applyAlignment="1" applyProtection="1">
      <alignment horizontal="right" vertical="center"/>
      <protection locked="0"/>
    </xf>
    <xf numFmtId="213" fontId="28" fillId="18" borderId="126" xfId="10" applyFont="1" applyFill="1" applyBorder="1" applyAlignment="1" applyProtection="1">
      <alignment horizontal="right" vertical="center"/>
      <protection locked="0"/>
    </xf>
    <xf numFmtId="213" fontId="28" fillId="22" borderId="126" xfId="10" applyFont="1" applyFill="1" applyBorder="1" applyAlignment="1" applyProtection="1">
      <alignment horizontal="right" vertical="center"/>
      <protection locked="0"/>
    </xf>
    <xf numFmtId="213" fontId="28" fillId="21" borderId="126" xfId="10" applyFont="1" applyFill="1" applyBorder="1" applyAlignment="1" applyProtection="1">
      <alignment horizontal="right" vertical="center"/>
      <protection locked="0"/>
    </xf>
    <xf numFmtId="213" fontId="28" fillId="19" borderId="126" xfId="10" applyFont="1" applyFill="1" applyBorder="1" applyAlignment="1" applyProtection="1">
      <alignment horizontal="right" vertical="center"/>
      <protection locked="0"/>
    </xf>
    <xf numFmtId="213" fontId="28" fillId="15" borderId="126" xfId="10" applyFont="1" applyFill="1" applyBorder="1" applyAlignment="1" applyProtection="1">
      <alignment horizontal="right" vertical="center"/>
      <protection locked="0"/>
    </xf>
    <xf numFmtId="213" fontId="28" fillId="14" borderId="126" xfId="10" applyFont="1" applyFill="1" applyBorder="1" applyAlignment="1" applyProtection="1">
      <alignment horizontal="right" vertical="center"/>
      <protection locked="0"/>
    </xf>
    <xf numFmtId="213" fontId="28" fillId="19" borderId="126" xfId="10" applyFont="1" applyFill="1" applyBorder="1" applyAlignment="1" applyProtection="1">
      <alignment horizontal="right" vertical="center"/>
    </xf>
    <xf numFmtId="208" fontId="75" fillId="8" borderId="0" xfId="2" applyFont="1" applyFill="1" applyBorder="1" applyAlignment="1" applyProtection="1">
      <alignment vertical="center"/>
    </xf>
    <xf numFmtId="208" fontId="27" fillId="0" borderId="0" xfId="2" applyFont="1" applyFill="1" applyBorder="1" applyAlignment="1" applyProtection="1">
      <alignment horizontal="right" vertical="center"/>
    </xf>
    <xf numFmtId="208" fontId="29" fillId="0" borderId="0" xfId="2" applyFont="1" applyFill="1" applyBorder="1" applyAlignment="1" applyProtection="1">
      <alignment horizontal="right" vertical="center"/>
    </xf>
    <xf numFmtId="0" fontId="30" fillId="0" borderId="10" xfId="0" applyFont="1" applyFill="1" applyBorder="1" applyAlignment="1" applyProtection="1"/>
    <xf numFmtId="208" fontId="30" fillId="0" borderId="10" xfId="2" applyFont="1" applyFill="1" applyBorder="1" applyAlignment="1" applyProtection="1">
      <alignment horizontal="right" vertical="center"/>
    </xf>
    <xf numFmtId="0" fontId="18" fillId="0" borderId="0" xfId="0" applyFont="1" applyFill="1" applyBorder="1">
      <alignment vertical="center"/>
    </xf>
    <xf numFmtId="0" fontId="18" fillId="0" borderId="0" xfId="0" applyFont="1" applyFill="1" applyBorder="1" applyAlignment="1">
      <alignment vertical="center" wrapText="1"/>
    </xf>
    <xf numFmtId="2" fontId="163" fillId="0" borderId="11" xfId="9" applyNumberFormat="1" applyFont="1" applyBorder="1" applyAlignment="1" applyProtection="1">
      <alignment vertical="center"/>
    </xf>
    <xf numFmtId="2" fontId="167" fillId="0" borderId="0" xfId="0" applyNumberFormat="1" applyFont="1">
      <alignment vertical="center"/>
    </xf>
    <xf numFmtId="0" fontId="17" fillId="0" borderId="0" xfId="0" applyFont="1" applyFill="1" applyBorder="1" applyAlignment="1">
      <alignment vertical="center" wrapText="1"/>
    </xf>
    <xf numFmtId="172" fontId="27" fillId="16" borderId="126" xfId="0" applyNumberFormat="1" applyFont="1" applyFill="1" applyBorder="1" applyProtection="1">
      <alignment vertical="center"/>
      <protection locked="0"/>
    </xf>
    <xf numFmtId="2" fontId="28" fillId="16" borderId="126" xfId="0" applyNumberFormat="1" applyFont="1" applyFill="1" applyBorder="1" applyProtection="1">
      <alignment vertical="center"/>
    </xf>
    <xf numFmtId="0" fontId="0" fillId="16" borderId="126" xfId="0" applyFill="1" applyBorder="1">
      <alignment vertical="center"/>
    </xf>
    <xf numFmtId="208" fontId="168" fillId="15" borderId="126" xfId="2" applyFont="1" applyFill="1" applyBorder="1" applyAlignment="1" applyProtection="1"/>
    <xf numFmtId="208" fontId="168" fillId="14" borderId="126" xfId="2" applyFont="1" applyFill="1" applyBorder="1" applyAlignment="1" applyProtection="1"/>
    <xf numFmtId="217" fontId="146" fillId="18" borderId="126" xfId="14" applyFont="1" applyFill="1" applyBorder="1" applyAlignment="1">
      <alignment vertical="center"/>
    </xf>
    <xf numFmtId="217" fontId="146" fillId="16" borderId="126" xfId="14" applyFont="1" applyFill="1" applyBorder="1" applyAlignment="1">
      <alignment vertical="center"/>
    </xf>
    <xf numFmtId="0" fontId="146" fillId="18" borderId="126" xfId="0" applyFont="1" applyFill="1" applyBorder="1">
      <alignment vertical="center"/>
    </xf>
    <xf numFmtId="0" fontId="0" fillId="24" borderId="0" xfId="0" applyFill="1">
      <alignment vertical="center"/>
    </xf>
    <xf numFmtId="0" fontId="32" fillId="24" borderId="0" xfId="0" applyFont="1" applyFill="1" applyAlignment="1">
      <alignment horizontal="right" vertical="center"/>
    </xf>
    <xf numFmtId="208" fontId="0" fillId="0" borderId="30" xfId="2" quotePrefix="1" applyFont="1" applyFill="1" applyBorder="1" applyAlignment="1" applyProtection="1">
      <alignment horizontal="center"/>
    </xf>
    <xf numFmtId="208" fontId="39" fillId="0" borderId="30" xfId="2" applyFont="1" applyFill="1" applyBorder="1" applyAlignment="1" applyProtection="1">
      <alignment horizontal="center"/>
    </xf>
    <xf numFmtId="208" fontId="39" fillId="0" borderId="159" xfId="2" applyFont="1" applyFill="1" applyBorder="1" applyAlignment="1" applyProtection="1">
      <alignment horizontal="center"/>
    </xf>
    <xf numFmtId="208" fontId="39" fillId="0" borderId="58" xfId="2" applyFont="1" applyFill="1" applyBorder="1" applyAlignment="1" applyProtection="1">
      <alignment horizontal="center"/>
    </xf>
    <xf numFmtId="208" fontId="39" fillId="0" borderId="187" xfId="2" applyFont="1" applyFill="1" applyBorder="1" applyAlignment="1" applyProtection="1">
      <alignment horizontal="center"/>
    </xf>
    <xf numFmtId="208" fontId="39" fillId="0" borderId="188" xfId="2" applyFont="1" applyFill="1" applyBorder="1" applyAlignment="1" applyProtection="1">
      <alignment horizontal="center"/>
    </xf>
    <xf numFmtId="0" fontId="0" fillId="0" borderId="14" xfId="0" applyFill="1" applyBorder="1">
      <alignment vertical="center"/>
    </xf>
    <xf numFmtId="0" fontId="0" fillId="0" borderId="0" xfId="0" applyFill="1" applyProtection="1">
      <alignment vertical="center"/>
      <protection locked="0"/>
    </xf>
    <xf numFmtId="213" fontId="27" fillId="19" borderId="126" xfId="10" applyFont="1" applyFill="1" applyBorder="1" applyAlignment="1" applyProtection="1">
      <alignment horizontal="right" vertical="center"/>
    </xf>
    <xf numFmtId="0" fontId="16" fillId="0" borderId="0" xfId="0" applyFont="1">
      <alignment vertical="center"/>
    </xf>
    <xf numFmtId="0" fontId="16" fillId="0" borderId="0" xfId="0" applyFont="1" applyFill="1" applyBorder="1" applyAlignment="1">
      <alignment vertical="center" wrapText="1"/>
    </xf>
    <xf numFmtId="0" fontId="16" fillId="0" borderId="0" xfId="0" applyFont="1" applyFill="1">
      <alignment vertical="center"/>
    </xf>
    <xf numFmtId="0" fontId="16" fillId="0" borderId="0" xfId="0" applyFont="1" applyFill="1" applyBorder="1">
      <alignment vertical="center"/>
    </xf>
    <xf numFmtId="0" fontId="39" fillId="0" borderId="53" xfId="0" applyFont="1" applyFill="1" applyBorder="1" applyProtection="1">
      <alignment vertical="center"/>
    </xf>
    <xf numFmtId="0" fontId="38" fillId="0" borderId="33" xfId="0" applyFont="1" applyFill="1" applyBorder="1" applyAlignment="1" applyProtection="1">
      <alignment horizontal="center" vertical="center"/>
    </xf>
    <xf numFmtId="2" fontId="41" fillId="0" borderId="53" xfId="0" applyNumberFormat="1" applyFont="1" applyFill="1" applyBorder="1" applyAlignment="1" applyProtection="1">
      <alignment horizontal="center" vertical="center"/>
    </xf>
    <xf numFmtId="212" fontId="39" fillId="0" borderId="18" xfId="9" applyFont="1" applyFill="1" applyBorder="1" applyAlignment="1" applyProtection="1">
      <alignment horizontal="center"/>
    </xf>
    <xf numFmtId="212" fontId="39" fillId="0" borderId="54" xfId="9" applyFont="1" applyFill="1" applyBorder="1" applyAlignment="1" applyProtection="1">
      <alignment horizontal="center" vertical="center" textRotation="255"/>
    </xf>
    <xf numFmtId="212" fontId="39" fillId="0" borderId="54" xfId="9" applyFont="1" applyFill="1" applyBorder="1" applyAlignment="1" applyProtection="1">
      <alignment horizontal="center" vertical="center"/>
    </xf>
    <xf numFmtId="212" fontId="40" fillId="0" borderId="19" xfId="9" applyFont="1" applyFill="1" applyBorder="1" applyAlignment="1" applyProtection="1">
      <alignment horizontal="center"/>
    </xf>
    <xf numFmtId="0" fontId="38" fillId="0" borderId="33" xfId="0" applyFont="1" applyFill="1" applyBorder="1" applyAlignment="1" applyProtection="1">
      <alignment horizontal="left" vertical="center"/>
    </xf>
    <xf numFmtId="0" fontId="39" fillId="0" borderId="33" xfId="0" applyFont="1" applyFill="1" applyBorder="1" applyAlignment="1" applyProtection="1">
      <alignment horizontal="center" vertical="center" textRotation="255"/>
    </xf>
    <xf numFmtId="0" fontId="39" fillId="0" borderId="53" xfId="0" applyFont="1" applyFill="1" applyBorder="1" applyAlignment="1" applyProtection="1">
      <alignment horizontal="center" vertical="center"/>
    </xf>
    <xf numFmtId="0" fontId="15" fillId="0" borderId="0" xfId="0" applyFont="1">
      <alignment vertical="center"/>
    </xf>
    <xf numFmtId="0" fontId="15" fillId="0" borderId="0" xfId="0" applyFont="1" applyFill="1" applyBorder="1">
      <alignment vertical="center"/>
    </xf>
    <xf numFmtId="0" fontId="169" fillId="18" borderId="0" xfId="0" applyFont="1" applyFill="1">
      <alignment vertical="center"/>
    </xf>
    <xf numFmtId="208" fontId="42" fillId="13" borderId="0" xfId="2" applyFont="1" applyFill="1" applyBorder="1" applyAlignment="1" applyProtection="1">
      <alignment horizontal="left" vertical="center"/>
    </xf>
    <xf numFmtId="0" fontId="39" fillId="13" borderId="26" xfId="0" applyFont="1" applyFill="1" applyBorder="1" applyAlignment="1" applyProtection="1">
      <alignment horizontal="left" vertical="center"/>
    </xf>
    <xf numFmtId="0" fontId="39" fillId="13" borderId="26" xfId="0" applyFont="1" applyFill="1" applyBorder="1" applyProtection="1">
      <alignment vertical="center"/>
    </xf>
    <xf numFmtId="0" fontId="28" fillId="13" borderId="26" xfId="0" applyFont="1" applyFill="1" applyBorder="1" applyProtection="1">
      <alignment vertical="center"/>
    </xf>
    <xf numFmtId="0" fontId="28" fillId="13" borderId="22" xfId="0" applyFont="1" applyFill="1" applyBorder="1" applyProtection="1">
      <alignment vertical="center"/>
    </xf>
    <xf numFmtId="0" fontId="28" fillId="13" borderId="26" xfId="0" applyFont="1" applyFill="1" applyBorder="1" applyAlignment="1" applyProtection="1"/>
    <xf numFmtId="0" fontId="14" fillId="0" borderId="0" xfId="0" applyFont="1" applyFill="1" applyBorder="1">
      <alignment vertical="center"/>
    </xf>
    <xf numFmtId="0" fontId="14" fillId="0" borderId="0" xfId="0" applyFont="1" applyFill="1" applyBorder="1" applyAlignment="1">
      <alignment vertical="center" wrapText="1"/>
    </xf>
    <xf numFmtId="2" fontId="27" fillId="0" borderId="0" xfId="0" applyNumberFormat="1" applyFont="1" applyAlignment="1">
      <alignment vertical="top"/>
    </xf>
    <xf numFmtId="2" fontId="0" fillId="0" borderId="0" xfId="0" applyNumberFormat="1" applyAlignment="1"/>
    <xf numFmtId="2" fontId="39" fillId="0" borderId="64" xfId="0" applyNumberFormat="1" applyFont="1" applyFill="1" applyBorder="1" applyAlignment="1" applyProtection="1">
      <alignment horizontal="centerContinuous" vertical="center"/>
    </xf>
    <xf numFmtId="0" fontId="13" fillId="0" borderId="0" xfId="0" applyFont="1" applyFill="1" applyBorder="1">
      <alignment vertical="center"/>
    </xf>
    <xf numFmtId="0" fontId="13" fillId="0" borderId="0" xfId="0" applyFont="1" applyFill="1" applyBorder="1" applyAlignment="1">
      <alignment vertical="center" wrapText="1"/>
    </xf>
    <xf numFmtId="169" fontId="38" fillId="13" borderId="5" xfId="0" applyNumberFormat="1" applyFont="1" applyFill="1" applyBorder="1" applyAlignment="1" applyProtection="1">
      <alignment horizontal="center" vertical="center" wrapText="1"/>
    </xf>
    <xf numFmtId="0" fontId="39" fillId="0" borderId="51" xfId="0" applyFont="1" applyFill="1" applyBorder="1" applyAlignment="1" applyProtection="1">
      <alignment horizontal="centerContinuous" vertical="center"/>
    </xf>
    <xf numFmtId="201" fontId="39" fillId="0" borderId="49" xfId="0" applyNumberFormat="1" applyFont="1" applyFill="1" applyBorder="1" applyAlignment="1" applyProtection="1">
      <alignment horizontal="center" vertical="center"/>
    </xf>
    <xf numFmtId="2" fontId="39" fillId="0" borderId="64" xfId="0" applyNumberFormat="1" applyFont="1" applyFill="1" applyBorder="1" applyAlignment="1" applyProtection="1">
      <alignment horizontal="center" vertical="center"/>
    </xf>
    <xf numFmtId="212" fontId="28" fillId="13" borderId="2" xfId="9" applyFont="1" applyFill="1" applyBorder="1" applyAlignment="1" applyProtection="1">
      <alignment horizontal="center"/>
    </xf>
    <xf numFmtId="212" fontId="28" fillId="13" borderId="19" xfId="9" applyFont="1" applyFill="1" applyBorder="1" applyAlignment="1" applyProtection="1">
      <alignment horizontal="center"/>
    </xf>
    <xf numFmtId="212" fontId="28" fillId="13" borderId="33" xfId="9" applyFont="1" applyFill="1" applyBorder="1" applyAlignment="1" applyProtection="1">
      <alignment horizontal="center"/>
    </xf>
    <xf numFmtId="212" fontId="28" fillId="13" borderId="2" xfId="9" applyFont="1" applyFill="1" applyBorder="1" applyAlignment="1" applyProtection="1">
      <alignment vertical="center"/>
    </xf>
    <xf numFmtId="212" fontId="28" fillId="13" borderId="33" xfId="9" applyFont="1" applyFill="1" applyBorder="1" applyAlignment="1" applyProtection="1"/>
    <xf numFmtId="213" fontId="28" fillId="13" borderId="180" xfId="10" applyFont="1" applyFill="1" applyBorder="1" applyAlignment="1" applyProtection="1">
      <alignment horizontal="center"/>
    </xf>
    <xf numFmtId="213" fontId="28" fillId="13" borderId="180" xfId="10" applyFont="1" applyFill="1" applyBorder="1" applyAlignment="1" applyProtection="1"/>
    <xf numFmtId="0" fontId="12" fillId="0" borderId="0" xfId="0" applyFont="1" applyFill="1" applyBorder="1">
      <alignment vertical="center"/>
    </xf>
    <xf numFmtId="2" fontId="39" fillId="13" borderId="49" xfId="0" applyNumberFormat="1" applyFont="1" applyFill="1" applyBorder="1" applyAlignment="1" applyProtection="1">
      <alignment horizontal="center" vertical="center"/>
    </xf>
    <xf numFmtId="2" fontId="39" fillId="13" borderId="52" xfId="0" applyNumberFormat="1" applyFont="1" applyFill="1" applyBorder="1" applyAlignment="1" applyProtection="1">
      <alignment horizontal="center" vertical="center"/>
    </xf>
    <xf numFmtId="173" fontId="39" fillId="13" borderId="51" xfId="0" applyNumberFormat="1" applyFont="1" applyFill="1" applyBorder="1" applyAlignment="1" applyProtection="1">
      <alignment horizontal="center" vertical="center"/>
    </xf>
    <xf numFmtId="0" fontId="50" fillId="0" borderId="11" xfId="0" applyFont="1" applyFill="1" applyBorder="1" applyAlignment="1" applyProtection="1">
      <alignment horizontal="center" vertical="center"/>
    </xf>
    <xf numFmtId="0" fontId="11" fillId="0" borderId="0" xfId="0" applyFont="1" applyFill="1" applyBorder="1" applyAlignment="1">
      <alignment wrapText="1"/>
    </xf>
    <xf numFmtId="0" fontId="11" fillId="0" borderId="0" xfId="0" applyFont="1" applyFill="1" applyBorder="1" applyAlignment="1">
      <alignment vertical="center" wrapText="1"/>
    </xf>
    <xf numFmtId="0" fontId="48" fillId="0" borderId="0" xfId="0" applyFont="1" applyAlignment="1">
      <alignment horizontal="left" vertical="center"/>
    </xf>
    <xf numFmtId="169" fontId="38" fillId="13" borderId="52" xfId="0" applyNumberFormat="1" applyFont="1" applyFill="1" applyBorder="1" applyAlignment="1" applyProtection="1">
      <alignment horizontal="center" vertical="center" wrapText="1"/>
    </xf>
    <xf numFmtId="169" fontId="44" fillId="0" borderId="53" xfId="0" applyNumberFormat="1" applyFont="1" applyFill="1" applyBorder="1" applyAlignment="1" applyProtection="1">
      <alignment horizontal="center" vertical="center" wrapText="1"/>
    </xf>
    <xf numFmtId="0" fontId="39" fillId="0" borderId="182" xfId="0" applyFont="1" applyFill="1" applyBorder="1" applyProtection="1">
      <alignment vertical="center"/>
    </xf>
    <xf numFmtId="0" fontId="39" fillId="0" borderId="126" xfId="0" applyFont="1" applyFill="1" applyBorder="1" applyAlignment="1" applyProtection="1">
      <alignment horizontal="center" vertical="center"/>
    </xf>
    <xf numFmtId="0" fontId="39" fillId="0" borderId="85" xfId="0" applyFont="1" applyFill="1" applyBorder="1" applyAlignment="1" applyProtection="1">
      <alignment horizontal="center" vertical="center"/>
    </xf>
    <xf numFmtId="2" fontId="39" fillId="2" borderId="189" xfId="0" applyNumberFormat="1" applyFont="1" applyFill="1" applyBorder="1" applyAlignment="1" applyProtection="1">
      <alignment horizontal="center" vertical="center"/>
      <protection locked="0"/>
    </xf>
    <xf numFmtId="2" fontId="39" fillId="13" borderId="174" xfId="0" applyNumberFormat="1" applyFont="1" applyFill="1" applyBorder="1" applyAlignment="1" applyProtection="1">
      <alignment horizontal="center" vertical="center"/>
    </xf>
    <xf numFmtId="0" fontId="39" fillId="0" borderId="128" xfId="0" applyFont="1" applyFill="1" applyBorder="1" applyAlignment="1" applyProtection="1">
      <alignment horizontal="center" vertical="center"/>
    </xf>
    <xf numFmtId="0" fontId="10" fillId="0" borderId="0" xfId="0" applyFont="1" applyFill="1" applyBorder="1" applyAlignment="1">
      <alignment vertical="center" wrapText="1"/>
    </xf>
    <xf numFmtId="0" fontId="10" fillId="0" borderId="0" xfId="0" applyFont="1" applyFill="1" applyBorder="1">
      <alignment vertical="center"/>
    </xf>
    <xf numFmtId="0" fontId="28" fillId="13" borderId="18" xfId="0" applyFont="1" applyFill="1" applyBorder="1" applyProtection="1">
      <alignment vertical="center"/>
    </xf>
    <xf numFmtId="0" fontId="28" fillId="13" borderId="32" xfId="0" applyFont="1" applyFill="1" applyBorder="1" applyAlignment="1" applyProtection="1"/>
    <xf numFmtId="0" fontId="28" fillId="13" borderId="32" xfId="0" applyFont="1" applyFill="1" applyBorder="1" applyAlignment="1" applyProtection="1">
      <alignment horizontal="center"/>
    </xf>
    <xf numFmtId="0" fontId="28" fillId="13" borderId="32" xfId="0" applyFont="1" applyFill="1" applyBorder="1" applyAlignment="1" applyProtection="1">
      <alignment horizontal="right"/>
    </xf>
    <xf numFmtId="212" fontId="27" fillId="13" borderId="32" xfId="9" applyFont="1" applyFill="1" applyBorder="1" applyAlignment="1" applyProtection="1"/>
    <xf numFmtId="0" fontId="29" fillId="13" borderId="31" xfId="0" applyFont="1" applyFill="1" applyBorder="1" applyAlignment="1" applyProtection="1"/>
    <xf numFmtId="0" fontId="29" fillId="13" borderId="13" xfId="0" applyFont="1" applyFill="1" applyBorder="1" applyAlignment="1" applyProtection="1"/>
    <xf numFmtId="0" fontId="29" fillId="13" borderId="14" xfId="0" applyFont="1" applyFill="1" applyBorder="1" applyAlignment="1" applyProtection="1"/>
    <xf numFmtId="0" fontId="29" fillId="13" borderId="18" xfId="0" applyFont="1" applyFill="1" applyBorder="1" applyProtection="1">
      <alignment vertical="center"/>
    </xf>
    <xf numFmtId="0" fontId="29" fillId="13" borderId="0" xfId="0" applyFont="1" applyFill="1" applyBorder="1" applyProtection="1">
      <alignment vertical="center"/>
    </xf>
    <xf numFmtId="0" fontId="29" fillId="13" borderId="22" xfId="0" applyFont="1" applyFill="1" applyBorder="1" applyAlignment="1" applyProtection="1"/>
    <xf numFmtId="0" fontId="29" fillId="13" borderId="10" xfId="0" applyFont="1" applyFill="1" applyBorder="1" applyAlignment="1" applyProtection="1"/>
    <xf numFmtId="0" fontId="29" fillId="13" borderId="31" xfId="0" applyFont="1" applyFill="1" applyBorder="1" applyProtection="1">
      <alignment vertical="center"/>
    </xf>
    <xf numFmtId="0" fontId="28" fillId="13" borderId="11" xfId="0" applyFont="1" applyFill="1" applyBorder="1" applyProtection="1">
      <alignment vertical="center"/>
    </xf>
    <xf numFmtId="0" fontId="28" fillId="13" borderId="11" xfId="0" applyFont="1" applyFill="1" applyBorder="1" applyAlignment="1" applyProtection="1"/>
    <xf numFmtId="0" fontId="29" fillId="13" borderId="13" xfId="0" applyFont="1" applyFill="1" applyBorder="1" applyAlignment="1" applyProtection="1">
      <alignment horizontal="left"/>
    </xf>
    <xf numFmtId="208" fontId="28" fillId="13" borderId="14" xfId="2" applyFont="1" applyFill="1" applyBorder="1" applyAlignment="1" applyProtection="1">
      <alignment horizontal="center"/>
    </xf>
    <xf numFmtId="0" fontId="29" fillId="13" borderId="29" xfId="0" applyFont="1" applyFill="1" applyBorder="1" applyAlignment="1" applyProtection="1">
      <alignment horizontal="center"/>
    </xf>
    <xf numFmtId="208" fontId="28" fillId="13" borderId="30" xfId="2" applyFont="1" applyFill="1" applyBorder="1" applyAlignment="1" applyProtection="1">
      <alignment horizontal="center"/>
    </xf>
    <xf numFmtId="0" fontId="39" fillId="13" borderId="191" xfId="0" applyFont="1" applyFill="1" applyBorder="1" applyAlignment="1" applyProtection="1">
      <alignment vertical="center" wrapText="1"/>
    </xf>
    <xf numFmtId="208" fontId="143" fillId="13" borderId="45" xfId="2" applyFont="1" applyFill="1" applyBorder="1" applyAlignment="1" applyProtection="1">
      <alignment horizontal="right"/>
    </xf>
    <xf numFmtId="0" fontId="39" fillId="13" borderId="182" xfId="0" applyFont="1" applyFill="1" applyBorder="1" applyAlignment="1" applyProtection="1">
      <alignment vertical="center" wrapText="1"/>
    </xf>
    <xf numFmtId="208" fontId="143" fillId="13" borderId="126" xfId="2" applyFont="1" applyFill="1" applyBorder="1" applyAlignment="1" applyProtection="1">
      <alignment horizontal="right"/>
    </xf>
    <xf numFmtId="0" fontId="39" fillId="13" borderId="182" xfId="0" applyFont="1" applyFill="1" applyBorder="1" applyProtection="1">
      <alignment vertical="center"/>
    </xf>
    <xf numFmtId="0" fontId="39" fillId="13" borderId="182" xfId="0" applyFont="1" applyFill="1" applyBorder="1" applyAlignment="1" applyProtection="1">
      <alignment wrapText="1"/>
    </xf>
    <xf numFmtId="0" fontId="39" fillId="13" borderId="182" xfId="0" applyFont="1" applyFill="1" applyBorder="1" applyAlignment="1" applyProtection="1">
      <alignment vertical="top" wrapText="1"/>
    </xf>
    <xf numFmtId="0" fontId="39" fillId="13" borderId="112" xfId="0" applyFont="1" applyFill="1" applyBorder="1" applyProtection="1">
      <alignment vertical="center"/>
    </xf>
    <xf numFmtId="208" fontId="143" fillId="13" borderId="85" xfId="2" applyFont="1" applyFill="1" applyBorder="1" applyAlignment="1" applyProtection="1">
      <alignment horizontal="right"/>
    </xf>
    <xf numFmtId="0" fontId="39" fillId="13" borderId="191" xfId="0" applyFont="1" applyFill="1" applyBorder="1" applyProtection="1">
      <alignment vertical="center"/>
    </xf>
    <xf numFmtId="208" fontId="143" fillId="13" borderId="40" xfId="2" applyFont="1" applyFill="1" applyBorder="1" applyAlignment="1" applyProtection="1">
      <alignment horizontal="right"/>
    </xf>
    <xf numFmtId="0" fontId="31" fillId="13" borderId="0" xfId="0" applyFont="1" applyFill="1" applyBorder="1" applyAlignment="1" applyProtection="1"/>
    <xf numFmtId="0" fontId="28" fillId="13" borderId="15" xfId="0" applyFont="1" applyFill="1" applyBorder="1" applyAlignment="1" applyProtection="1">
      <alignment horizontal="center"/>
    </xf>
    <xf numFmtId="0" fontId="28" fillId="13" borderId="15" xfId="0" applyFont="1" applyFill="1" applyBorder="1" applyAlignment="1" applyProtection="1">
      <alignment horizontal="centerContinuous"/>
    </xf>
    <xf numFmtId="0" fontId="28" fillId="13" borderId="14" xfId="0" applyFont="1" applyFill="1" applyBorder="1" applyAlignment="1" applyProtection="1">
      <alignment horizontal="centerContinuous"/>
    </xf>
    <xf numFmtId="0" fontId="28" fillId="13" borderId="106" xfId="0" applyFont="1" applyFill="1" applyBorder="1" applyAlignment="1" applyProtection="1">
      <alignment horizontal="center"/>
    </xf>
    <xf numFmtId="0" fontId="27" fillId="13" borderId="106" xfId="0" applyFont="1" applyFill="1" applyBorder="1" applyAlignment="1" applyProtection="1">
      <alignment horizontal="center"/>
    </xf>
    <xf numFmtId="213" fontId="27" fillId="13" borderId="41" xfId="10" applyFont="1" applyFill="1" applyBorder="1" applyAlignment="1" applyProtection="1">
      <alignment horizontal="center" vertical="center"/>
    </xf>
    <xf numFmtId="0" fontId="28" fillId="13" borderId="19" xfId="0" applyFont="1" applyFill="1" applyBorder="1" applyAlignment="1" applyProtection="1">
      <alignment horizontal="center" vertical="center"/>
    </xf>
    <xf numFmtId="1" fontId="28" fillId="13" borderId="19" xfId="0" applyNumberFormat="1" applyFont="1" applyFill="1" applyBorder="1" applyAlignment="1" applyProtection="1">
      <alignment horizontal="center" vertical="center" wrapText="1"/>
    </xf>
    <xf numFmtId="1" fontId="28" fillId="13" borderId="72" xfId="0" applyNumberFormat="1" applyFont="1" applyFill="1" applyBorder="1" applyAlignment="1" applyProtection="1">
      <alignment horizontal="center" vertical="center" wrapText="1"/>
    </xf>
    <xf numFmtId="2" fontId="28" fillId="13" borderId="20" xfId="0" applyNumberFormat="1" applyFont="1" applyFill="1" applyBorder="1" applyAlignment="1" applyProtection="1">
      <alignment horizontal="center" vertical="center" wrapText="1"/>
    </xf>
    <xf numFmtId="0" fontId="28" fillId="13" borderId="54" xfId="0" applyFont="1" applyFill="1" applyBorder="1" applyAlignment="1" applyProtection="1">
      <alignment horizontal="center" vertical="center"/>
    </xf>
    <xf numFmtId="0" fontId="27" fillId="13" borderId="19" xfId="0" applyFont="1" applyFill="1" applyBorder="1" applyAlignment="1" applyProtection="1">
      <alignment horizontal="center" vertical="center"/>
    </xf>
    <xf numFmtId="213" fontId="27" fillId="13" borderId="42" xfId="10" applyFont="1" applyFill="1" applyBorder="1" applyAlignment="1" applyProtection="1">
      <alignment horizontal="center" vertical="center"/>
    </xf>
    <xf numFmtId="0" fontId="28" fillId="13" borderId="23" xfId="0" applyFont="1" applyFill="1" applyBorder="1" applyAlignment="1" applyProtection="1">
      <alignment horizontal="center"/>
    </xf>
    <xf numFmtId="1" fontId="28" fillId="13" borderId="23" xfId="0" applyNumberFormat="1" applyFont="1" applyFill="1" applyBorder="1" applyAlignment="1" applyProtection="1">
      <alignment horizontal="center" vertical="center"/>
    </xf>
    <xf numFmtId="1" fontId="28" fillId="13" borderId="75" xfId="0" applyNumberFormat="1" applyFont="1" applyFill="1" applyBorder="1" applyAlignment="1" applyProtection="1">
      <alignment horizontal="center" vertical="center"/>
    </xf>
    <xf numFmtId="2" fontId="27" fillId="13" borderId="24" xfId="0" applyNumberFormat="1" applyFont="1" applyFill="1" applyBorder="1" applyAlignment="1" applyProtection="1">
      <alignment horizontal="center" vertical="center"/>
    </xf>
    <xf numFmtId="2" fontId="28" fillId="13" borderId="24" xfId="0" applyNumberFormat="1" applyFont="1" applyFill="1" applyBorder="1" applyAlignment="1" applyProtection="1">
      <alignment horizontal="center" vertical="center"/>
    </xf>
    <xf numFmtId="0" fontId="28" fillId="13" borderId="114" xfId="0" applyFont="1" applyFill="1" applyBorder="1" applyAlignment="1" applyProtection="1">
      <alignment horizontal="center"/>
    </xf>
    <xf numFmtId="213" fontId="28" fillId="13" borderId="43" xfId="10" applyFont="1" applyFill="1" applyBorder="1" applyAlignment="1" applyProtection="1">
      <alignment horizontal="center"/>
    </xf>
    <xf numFmtId="0" fontId="28" fillId="13" borderId="10" xfId="0" applyFont="1" applyFill="1" applyBorder="1" applyAlignment="1" applyProtection="1">
      <alignment horizontal="center"/>
    </xf>
    <xf numFmtId="1" fontId="28" fillId="13" borderId="10" xfId="0" applyNumberFormat="1" applyFont="1" applyFill="1" applyBorder="1" applyAlignment="1" applyProtection="1">
      <alignment horizontal="center" vertical="center"/>
    </xf>
    <xf numFmtId="2" fontId="28" fillId="13" borderId="10" xfId="0" applyNumberFormat="1" applyFont="1" applyFill="1" applyBorder="1" applyAlignment="1" applyProtection="1">
      <alignment horizontal="center" vertical="center"/>
    </xf>
    <xf numFmtId="212" fontId="28" fillId="13" borderId="10" xfId="9" applyFont="1" applyFill="1" applyBorder="1" applyAlignment="1" applyProtection="1">
      <alignment horizontal="center"/>
    </xf>
    <xf numFmtId="213" fontId="28" fillId="13" borderId="27" xfId="10" applyFont="1" applyFill="1" applyBorder="1" applyAlignment="1" applyProtection="1">
      <alignment horizontal="center"/>
    </xf>
    <xf numFmtId="0" fontId="39" fillId="13" borderId="11" xfId="0" applyFont="1" applyFill="1" applyBorder="1" applyAlignment="1" applyProtection="1">
      <alignment horizontal="left" vertical="center"/>
    </xf>
    <xf numFmtId="1" fontId="28" fillId="13" borderId="2" xfId="0" applyNumberFormat="1" applyFont="1" applyFill="1" applyBorder="1" applyAlignment="1" applyProtection="1">
      <alignment horizontal="center" vertical="center"/>
    </xf>
    <xf numFmtId="2" fontId="28" fillId="13" borderId="98" xfId="0" applyNumberFormat="1" applyFont="1" applyFill="1" applyBorder="1" applyAlignment="1" applyProtection="1">
      <alignment horizontal="center" vertical="center"/>
    </xf>
    <xf numFmtId="1" fontId="28" fillId="13" borderId="2" xfId="0" applyNumberFormat="1" applyFont="1" applyFill="1" applyBorder="1" applyAlignment="1" applyProtection="1">
      <alignment horizontal="center"/>
    </xf>
    <xf numFmtId="172" fontId="28" fillId="13" borderId="2" xfId="0" applyNumberFormat="1" applyFont="1" applyFill="1" applyBorder="1" applyAlignment="1" applyProtection="1">
      <alignment horizontal="center"/>
    </xf>
    <xf numFmtId="2" fontId="28" fillId="13" borderId="46" xfId="0" applyNumberFormat="1" applyFont="1" applyFill="1" applyBorder="1" applyAlignment="1" applyProtection="1">
      <alignment horizontal="center"/>
    </xf>
    <xf numFmtId="213" fontId="28" fillId="13" borderId="99" xfId="10" applyFont="1" applyFill="1" applyBorder="1" applyAlignment="1" applyProtection="1">
      <alignment horizontal="center"/>
    </xf>
    <xf numFmtId="0" fontId="39" fillId="13" borderId="11" xfId="0" applyFont="1" applyFill="1" applyBorder="1" applyProtection="1">
      <alignment vertical="center"/>
    </xf>
    <xf numFmtId="1" fontId="28" fillId="13" borderId="19" xfId="0" applyNumberFormat="1" applyFont="1" applyFill="1" applyBorder="1" applyAlignment="1" applyProtection="1">
      <alignment horizontal="center" vertical="center"/>
    </xf>
    <xf numFmtId="1" fontId="28" fillId="13" borderId="19" xfId="0" applyNumberFormat="1" applyFont="1" applyFill="1" applyBorder="1" applyAlignment="1" applyProtection="1">
      <alignment horizontal="center"/>
    </xf>
    <xf numFmtId="172" fontId="28" fillId="13" borderId="19" xfId="0" applyNumberFormat="1" applyFont="1" applyFill="1" applyBorder="1" applyAlignment="1" applyProtection="1">
      <alignment horizontal="center"/>
    </xf>
    <xf numFmtId="2" fontId="28" fillId="13" borderId="54" xfId="0" applyNumberFormat="1" applyFont="1" applyFill="1" applyBorder="1" applyAlignment="1" applyProtection="1">
      <alignment horizontal="center"/>
    </xf>
    <xf numFmtId="172" fontId="28" fillId="13" borderId="32" xfId="0" applyNumberFormat="1" applyFont="1" applyFill="1" applyBorder="1" applyAlignment="1" applyProtection="1">
      <alignment horizontal="center"/>
    </xf>
    <xf numFmtId="0" fontId="28" fillId="13" borderId="164" xfId="0" applyFont="1" applyFill="1" applyBorder="1" applyAlignment="1" applyProtection="1">
      <alignment horizontal="center"/>
    </xf>
    <xf numFmtId="212" fontId="28" fillId="13" borderId="107" xfId="9" applyFont="1" applyFill="1" applyBorder="1" applyAlignment="1" applyProtection="1">
      <alignment horizontal="center"/>
    </xf>
    <xf numFmtId="213" fontId="28" fillId="13" borderId="109" xfId="10" applyFont="1" applyFill="1" applyBorder="1" applyAlignment="1" applyProtection="1">
      <alignment horizontal="center"/>
    </xf>
    <xf numFmtId="0" fontId="28" fillId="13" borderId="10" xfId="0" applyFont="1" applyFill="1" applyBorder="1" applyProtection="1">
      <alignment vertical="center"/>
    </xf>
    <xf numFmtId="2" fontId="28" fillId="13" borderId="75" xfId="0" applyNumberFormat="1" applyFont="1" applyFill="1" applyBorder="1" applyAlignment="1" applyProtection="1">
      <alignment horizontal="center" vertical="center"/>
    </xf>
    <xf numFmtId="1" fontId="28" fillId="13" borderId="23" xfId="0" applyNumberFormat="1" applyFont="1" applyFill="1" applyBorder="1" applyAlignment="1" applyProtection="1">
      <alignment horizontal="center"/>
    </xf>
    <xf numFmtId="2" fontId="28" fillId="13" borderId="114" xfId="0" applyNumberFormat="1" applyFont="1" applyFill="1" applyBorder="1" applyAlignment="1" applyProtection="1">
      <alignment horizontal="center"/>
    </xf>
    <xf numFmtId="1" fontId="28" fillId="13" borderId="32" xfId="0" applyNumberFormat="1" applyFont="1" applyFill="1" applyBorder="1" applyAlignment="1" applyProtection="1">
      <alignment horizontal="center" vertical="center"/>
    </xf>
    <xf numFmtId="2" fontId="28" fillId="13" borderId="32" xfId="0" applyNumberFormat="1" applyFont="1" applyFill="1" applyBorder="1" applyAlignment="1" applyProtection="1">
      <alignment horizontal="center" vertical="center"/>
    </xf>
    <xf numFmtId="212" fontId="28" fillId="13" borderId="32" xfId="9" applyFont="1" applyFill="1" applyBorder="1" applyAlignment="1" applyProtection="1">
      <alignment horizontal="center"/>
    </xf>
    <xf numFmtId="2" fontId="28" fillId="13" borderId="2" xfId="0" applyNumberFormat="1" applyFont="1" applyFill="1" applyBorder="1" applyAlignment="1" applyProtection="1">
      <alignment horizontal="center" vertical="center"/>
    </xf>
    <xf numFmtId="2" fontId="28" fillId="13" borderId="98" xfId="0" quotePrefix="1" applyNumberFormat="1" applyFont="1" applyFill="1" applyBorder="1" applyAlignment="1" applyProtection="1">
      <alignment horizontal="center" vertical="center"/>
    </xf>
    <xf numFmtId="0" fontId="28" fillId="13" borderId="0" xfId="0" applyFont="1" applyFill="1" applyBorder="1" applyProtection="1">
      <alignment vertical="center"/>
    </xf>
    <xf numFmtId="0" fontId="28" fillId="13" borderId="14" xfId="0" applyFont="1" applyFill="1" applyBorder="1" applyAlignment="1" applyProtection="1">
      <alignment horizontal="center"/>
    </xf>
    <xf numFmtId="212" fontId="28" fillId="13" borderId="15" xfId="9" applyFont="1" applyFill="1" applyBorder="1" applyAlignment="1" applyProtection="1">
      <alignment horizontal="center"/>
    </xf>
    <xf numFmtId="213" fontId="28" fillId="13" borderId="41" xfId="10" applyFont="1" applyFill="1" applyBorder="1" applyAlignment="1" applyProtection="1">
      <alignment horizontal="center"/>
    </xf>
    <xf numFmtId="0" fontId="28" fillId="13" borderId="30" xfId="0" applyFont="1" applyFill="1" applyBorder="1" applyAlignment="1" applyProtection="1">
      <alignment horizontal="center"/>
    </xf>
    <xf numFmtId="0" fontId="28" fillId="13" borderId="49" xfId="0" applyFont="1" applyFill="1" applyBorder="1" applyAlignment="1" applyProtection="1">
      <alignment horizontal="center"/>
    </xf>
    <xf numFmtId="0" fontId="28" fillId="13" borderId="7" xfId="0" applyFont="1" applyFill="1" applyBorder="1" applyAlignment="1" applyProtection="1">
      <alignment horizontal="center"/>
    </xf>
    <xf numFmtId="212" fontId="28" fillId="13" borderId="7" xfId="9" applyFont="1" applyFill="1" applyBorder="1" applyAlignment="1" applyProtection="1">
      <alignment horizontal="center"/>
    </xf>
    <xf numFmtId="213" fontId="28" fillId="13" borderId="101" xfId="10" applyFont="1" applyFill="1" applyBorder="1" applyAlignment="1" applyProtection="1">
      <alignment horizontal="center"/>
    </xf>
    <xf numFmtId="208" fontId="28" fillId="13" borderId="45" xfId="2" applyFont="1" applyFill="1" applyBorder="1" applyAlignment="1" applyProtection="1"/>
    <xf numFmtId="0" fontId="28" fillId="13" borderId="45" xfId="0" applyFont="1" applyFill="1" applyBorder="1" applyAlignment="1" applyProtection="1"/>
    <xf numFmtId="1" fontId="28" fillId="13" borderId="44" xfId="0" applyNumberFormat="1" applyFont="1" applyFill="1" applyBorder="1" applyAlignment="1" applyProtection="1">
      <alignment horizontal="center"/>
    </xf>
    <xf numFmtId="2" fontId="28" fillId="13" borderId="47" xfId="0" applyNumberFormat="1" applyFont="1" applyFill="1" applyBorder="1" applyAlignment="1" applyProtection="1">
      <alignment horizontal="center" vertical="center"/>
    </xf>
    <xf numFmtId="212" fontId="28" fillId="13" borderId="44" xfId="9" applyFont="1" applyFill="1" applyBorder="1" applyAlignment="1" applyProtection="1">
      <alignment horizontal="center"/>
    </xf>
    <xf numFmtId="213" fontId="28" fillId="13" borderId="192" xfId="10" applyFont="1" applyFill="1" applyBorder="1" applyAlignment="1" applyProtection="1">
      <alignment horizontal="center" vertical="center"/>
    </xf>
    <xf numFmtId="208" fontId="28" fillId="13" borderId="126" xfId="2" applyFont="1" applyFill="1" applyBorder="1" applyAlignment="1" applyProtection="1"/>
    <xf numFmtId="0" fontId="28" fillId="13" borderId="126" xfId="0" applyFont="1" applyFill="1" applyBorder="1" applyAlignment="1" applyProtection="1"/>
    <xf numFmtId="1" fontId="28" fillId="13" borderId="97" xfId="0" applyNumberFormat="1" applyFont="1" applyFill="1" applyBorder="1" applyAlignment="1" applyProtection="1">
      <alignment horizontal="center"/>
    </xf>
    <xf numFmtId="2" fontId="28" fillId="13" borderId="127" xfId="0" applyNumberFormat="1" applyFont="1" applyFill="1" applyBorder="1" applyAlignment="1" applyProtection="1">
      <alignment horizontal="center" vertical="center"/>
    </xf>
    <xf numFmtId="212" fontId="28" fillId="13" borderId="97" xfId="9" applyFont="1" applyFill="1" applyBorder="1" applyAlignment="1" applyProtection="1">
      <alignment horizontal="center"/>
    </xf>
    <xf numFmtId="213" fontId="28" fillId="13" borderId="174" xfId="10" applyFont="1" applyFill="1" applyBorder="1" applyAlignment="1" applyProtection="1">
      <alignment horizontal="center" vertical="center"/>
    </xf>
    <xf numFmtId="1" fontId="28" fillId="13" borderId="127" xfId="0" applyNumberFormat="1" applyFont="1" applyFill="1" applyBorder="1" applyAlignment="1" applyProtection="1">
      <alignment horizontal="center"/>
    </xf>
    <xf numFmtId="208" fontId="28" fillId="13" borderId="85" xfId="2" applyFont="1" applyFill="1" applyBorder="1" applyAlignment="1" applyProtection="1"/>
    <xf numFmtId="0" fontId="28" fillId="13" borderId="85" xfId="0" applyFont="1" applyFill="1" applyBorder="1" applyAlignment="1" applyProtection="1"/>
    <xf numFmtId="1" fontId="28" fillId="13" borderId="84" xfId="0" applyNumberFormat="1" applyFont="1" applyFill="1" applyBorder="1" applyAlignment="1" applyProtection="1">
      <alignment horizontal="center"/>
    </xf>
    <xf numFmtId="1" fontId="28" fillId="13" borderId="129" xfId="0" applyNumberFormat="1" applyFont="1" applyFill="1" applyBorder="1" applyAlignment="1" applyProtection="1">
      <alignment horizontal="center"/>
    </xf>
    <xf numFmtId="2" fontId="28" fillId="13" borderId="129" xfId="0" applyNumberFormat="1" applyFont="1" applyFill="1" applyBorder="1" applyAlignment="1" applyProtection="1">
      <alignment horizontal="center" vertical="center"/>
    </xf>
    <xf numFmtId="212" fontId="28" fillId="13" borderId="84" xfId="9" applyFont="1" applyFill="1" applyBorder="1" applyAlignment="1" applyProtection="1">
      <alignment horizontal="center"/>
    </xf>
    <xf numFmtId="213" fontId="28" fillId="13" borderId="113" xfId="10" applyFont="1" applyFill="1" applyBorder="1" applyAlignment="1" applyProtection="1">
      <alignment horizontal="center" vertical="center"/>
    </xf>
    <xf numFmtId="2" fontId="28" fillId="13" borderId="47" xfId="0" applyNumberFormat="1" applyFont="1" applyFill="1" applyBorder="1" applyAlignment="1" applyProtection="1">
      <alignment horizontal="center"/>
    </xf>
    <xf numFmtId="213" fontId="28" fillId="13" borderId="192" xfId="10" applyFont="1" applyFill="1" applyBorder="1" applyAlignment="1" applyProtection="1">
      <alignment horizontal="center"/>
    </xf>
    <xf numFmtId="2" fontId="28" fillId="13" borderId="127" xfId="0" applyNumberFormat="1" applyFont="1" applyFill="1" applyBorder="1" applyAlignment="1" applyProtection="1">
      <alignment horizontal="center"/>
    </xf>
    <xf numFmtId="213" fontId="28" fillId="13" borderId="174" xfId="10" applyFont="1" applyFill="1" applyBorder="1" applyAlignment="1" applyProtection="1">
      <alignment horizontal="center"/>
    </xf>
    <xf numFmtId="208" fontId="28" fillId="13" borderId="40" xfId="2" applyFont="1" applyFill="1" applyBorder="1" applyAlignment="1" applyProtection="1"/>
    <xf numFmtId="0" fontId="28" fillId="13" borderId="40" xfId="0" applyFont="1" applyFill="1" applyBorder="1" applyAlignment="1" applyProtection="1"/>
    <xf numFmtId="1" fontId="28" fillId="13" borderId="193" xfId="0" applyNumberFormat="1" applyFont="1" applyFill="1" applyBorder="1" applyAlignment="1" applyProtection="1">
      <alignment horizontal="center"/>
    </xf>
    <xf numFmtId="2" fontId="28" fillId="13" borderId="165" xfId="0" applyNumberFormat="1" applyFont="1" applyFill="1" applyBorder="1" applyAlignment="1" applyProtection="1">
      <alignment horizontal="center"/>
    </xf>
    <xf numFmtId="212" fontId="28" fillId="13" borderId="193" xfId="9" applyFont="1" applyFill="1" applyBorder="1" applyAlignment="1" applyProtection="1">
      <alignment horizontal="center"/>
    </xf>
    <xf numFmtId="213" fontId="28" fillId="13" borderId="190" xfId="10" applyFont="1" applyFill="1" applyBorder="1" applyAlignment="1" applyProtection="1">
      <alignment horizontal="center"/>
    </xf>
    <xf numFmtId="208" fontId="28" fillId="13" borderId="106" xfId="2" applyFont="1" applyFill="1" applyBorder="1" applyAlignment="1" applyProtection="1">
      <alignment horizontal="center"/>
    </xf>
    <xf numFmtId="208" fontId="28" fillId="13" borderId="49" xfId="2" applyFont="1" applyFill="1" applyBorder="1" applyAlignment="1" applyProtection="1">
      <alignment horizontal="center"/>
    </xf>
    <xf numFmtId="208" fontId="28" fillId="13" borderId="47" xfId="2" applyFont="1" applyFill="1" applyBorder="1" applyAlignment="1" applyProtection="1"/>
    <xf numFmtId="208" fontId="28" fillId="13" borderId="127" xfId="2" applyFont="1" applyFill="1" applyBorder="1" applyAlignment="1" applyProtection="1"/>
    <xf numFmtId="208" fontId="28" fillId="13" borderId="129" xfId="2" applyFont="1" applyFill="1" applyBorder="1" applyAlignment="1" applyProtection="1"/>
    <xf numFmtId="208" fontId="28" fillId="13" borderId="165" xfId="2" applyFont="1" applyFill="1" applyBorder="1" applyAlignment="1" applyProtection="1"/>
    <xf numFmtId="1" fontId="28" fillId="13" borderId="154" xfId="0" applyNumberFormat="1" applyFont="1" applyFill="1" applyBorder="1" applyAlignment="1" applyProtection="1">
      <alignment horizontal="center" vertical="center"/>
    </xf>
    <xf numFmtId="1" fontId="28" fillId="13" borderId="90" xfId="0" applyNumberFormat="1" applyFont="1" applyFill="1" applyBorder="1" applyAlignment="1" applyProtection="1">
      <alignment horizontal="center" vertical="center"/>
    </xf>
    <xf numFmtId="1" fontId="28" fillId="13" borderId="96" xfId="0" applyNumberFormat="1" applyFont="1" applyFill="1" applyBorder="1" applyAlignment="1" applyProtection="1">
      <alignment horizontal="center" vertical="center"/>
    </xf>
    <xf numFmtId="1" fontId="28" fillId="13" borderId="50" xfId="0" applyNumberFormat="1" applyFont="1" applyFill="1" applyBorder="1" applyAlignment="1" applyProtection="1">
      <alignment horizontal="center" vertical="center"/>
    </xf>
    <xf numFmtId="1" fontId="28" fillId="13" borderId="98" xfId="0" applyNumberFormat="1" applyFont="1" applyFill="1" applyBorder="1" applyAlignment="1" applyProtection="1">
      <alignment horizontal="center" vertical="center"/>
    </xf>
    <xf numFmtId="1" fontId="28" fillId="13" borderId="9" xfId="0" applyNumberFormat="1" applyFont="1" applyFill="1" applyBorder="1" applyAlignment="1" applyProtection="1">
      <alignment horizontal="center" vertical="center"/>
    </xf>
    <xf numFmtId="1" fontId="28" fillId="13" borderId="177" xfId="0" applyNumberFormat="1" applyFont="1" applyFill="1" applyBorder="1" applyAlignment="1" applyProtection="1">
      <alignment horizontal="center" vertical="center"/>
    </xf>
    <xf numFmtId="2" fontId="28" fillId="13" borderId="76" xfId="0" applyNumberFormat="1" applyFont="1" applyFill="1" applyBorder="1" applyAlignment="1" applyProtection="1">
      <alignment horizontal="center" vertical="center"/>
    </xf>
    <xf numFmtId="1" fontId="28" fillId="13" borderId="194" xfId="0" applyNumberFormat="1" applyFont="1" applyFill="1" applyBorder="1" applyAlignment="1" applyProtection="1">
      <alignment horizontal="center" vertical="center"/>
    </xf>
    <xf numFmtId="2" fontId="28" fillId="13" borderId="132" xfId="0" applyNumberFormat="1" applyFont="1" applyFill="1" applyBorder="1" applyAlignment="1" applyProtection="1">
      <alignment horizontal="center" vertical="center"/>
    </xf>
    <xf numFmtId="2" fontId="28" fillId="13" borderId="195" xfId="0" applyNumberFormat="1" applyFont="1" applyFill="1" applyBorder="1" applyAlignment="1" applyProtection="1">
      <alignment horizontal="center" vertical="center"/>
    </xf>
    <xf numFmtId="2" fontId="28" fillId="13" borderId="9" xfId="0" applyNumberFormat="1" applyFont="1" applyFill="1" applyBorder="1" applyAlignment="1" applyProtection="1">
      <alignment horizontal="center" vertical="center"/>
    </xf>
    <xf numFmtId="1" fontId="28" fillId="13" borderId="50" xfId="0" quotePrefix="1" applyNumberFormat="1" applyFont="1" applyFill="1" applyBorder="1" applyAlignment="1" applyProtection="1">
      <alignment horizontal="center" vertical="center"/>
    </xf>
    <xf numFmtId="220" fontId="28" fillId="13" borderId="98" xfId="0" applyNumberFormat="1" applyFont="1" applyFill="1" applyBorder="1" applyAlignment="1" applyProtection="1">
      <alignment horizontal="center" vertical="center"/>
    </xf>
    <xf numFmtId="0" fontId="29" fillId="13" borderId="32" xfId="0" applyFont="1" applyFill="1" applyBorder="1" applyProtection="1">
      <alignment vertical="center"/>
    </xf>
    <xf numFmtId="0" fontId="29" fillId="13" borderId="32" xfId="0" applyFont="1" applyFill="1" applyBorder="1" applyAlignment="1" applyProtection="1"/>
    <xf numFmtId="1" fontId="28" fillId="12" borderId="23" xfId="0" applyNumberFormat="1" applyFont="1" applyFill="1" applyBorder="1" applyAlignment="1" applyProtection="1">
      <alignment horizontal="center" vertical="center"/>
      <protection locked="0"/>
    </xf>
    <xf numFmtId="1" fontId="28" fillId="12" borderId="177" xfId="0" applyNumberFormat="1" applyFont="1" applyFill="1" applyBorder="1" applyAlignment="1" applyProtection="1">
      <alignment horizontal="center" vertical="center"/>
      <protection locked="0"/>
    </xf>
    <xf numFmtId="2" fontId="28" fillId="12" borderId="75" xfId="0" applyNumberFormat="1" applyFont="1" applyFill="1" applyBorder="1" applyAlignment="1" applyProtection="1">
      <alignment horizontal="center" vertical="center"/>
      <protection locked="0"/>
    </xf>
    <xf numFmtId="2" fontId="28" fillId="12" borderId="76" xfId="0" applyNumberFormat="1" applyFont="1" applyFill="1" applyBorder="1" applyAlignment="1" applyProtection="1">
      <alignment horizontal="center" vertical="center"/>
      <protection locked="0"/>
    </xf>
    <xf numFmtId="212" fontId="28" fillId="12" borderId="2" xfId="9" applyFont="1" applyFill="1" applyBorder="1" applyAlignment="1" applyProtection="1">
      <alignment horizontal="center"/>
      <protection locked="0"/>
    </xf>
    <xf numFmtId="212" fontId="28" fillId="12" borderId="46" xfId="9" applyFont="1" applyFill="1" applyBorder="1" applyAlignment="1" applyProtection="1">
      <alignment horizontal="center"/>
      <protection locked="0"/>
    </xf>
    <xf numFmtId="172" fontId="28" fillId="12" borderId="2" xfId="0" applyNumberFormat="1" applyFont="1" applyFill="1" applyBorder="1" applyAlignment="1" applyProtection="1">
      <alignment horizontal="center"/>
      <protection locked="0"/>
    </xf>
    <xf numFmtId="2" fontId="28" fillId="12" borderId="46" xfId="0" applyNumberFormat="1" applyFont="1" applyFill="1" applyBorder="1" applyAlignment="1" applyProtection="1">
      <alignment horizontal="center"/>
      <protection locked="0"/>
    </xf>
    <xf numFmtId="2" fontId="27" fillId="12" borderId="46" xfId="0" applyNumberFormat="1" applyFont="1" applyFill="1" applyBorder="1" applyAlignment="1" applyProtection="1">
      <alignment horizontal="center"/>
      <protection locked="0"/>
    </xf>
    <xf numFmtId="213" fontId="28" fillId="25" borderId="99" xfId="10" applyFont="1" applyFill="1" applyBorder="1" applyAlignment="1" applyProtection="1">
      <alignment horizontal="center"/>
    </xf>
    <xf numFmtId="1" fontId="28" fillId="25" borderId="2" xfId="0" applyNumberFormat="1" applyFont="1" applyFill="1" applyBorder="1" applyProtection="1">
      <alignment vertical="center"/>
    </xf>
    <xf numFmtId="1" fontId="28" fillId="25" borderId="50" xfId="0" applyNumberFormat="1" applyFont="1" applyFill="1" applyBorder="1" applyAlignment="1" applyProtection="1">
      <alignment horizontal="center" vertical="center"/>
    </xf>
    <xf numFmtId="1" fontId="28" fillId="25" borderId="98" xfId="0" applyNumberFormat="1" applyFont="1" applyFill="1" applyBorder="1" applyAlignment="1" applyProtection="1">
      <alignment horizontal="center" vertical="center"/>
    </xf>
    <xf numFmtId="2" fontId="28" fillId="25" borderId="98" xfId="0" applyNumberFormat="1" applyFont="1" applyFill="1" applyBorder="1" applyAlignment="1" applyProtection="1">
      <alignment horizontal="center" vertical="center"/>
    </xf>
    <xf numFmtId="2" fontId="28" fillId="25" borderId="9" xfId="0" applyNumberFormat="1" applyFont="1" applyFill="1" applyBorder="1" applyAlignment="1" applyProtection="1">
      <alignment horizontal="center" vertical="center"/>
    </xf>
    <xf numFmtId="0" fontId="28" fillId="25" borderId="2" xfId="0" applyFont="1" applyFill="1" applyBorder="1" applyAlignment="1" applyProtection="1">
      <alignment horizontal="center"/>
    </xf>
    <xf numFmtId="172" fontId="28" fillId="25" borderId="2" xfId="0" applyNumberFormat="1" applyFont="1" applyFill="1" applyBorder="1" applyAlignment="1" applyProtection="1">
      <alignment horizontal="center"/>
    </xf>
    <xf numFmtId="1" fontId="28" fillId="25" borderId="2" xfId="0" applyNumberFormat="1" applyFont="1" applyFill="1" applyBorder="1" applyAlignment="1" applyProtection="1">
      <alignment horizontal="center" vertical="center"/>
    </xf>
    <xf numFmtId="0" fontId="28" fillId="25" borderId="19" xfId="0" applyFont="1" applyFill="1" applyBorder="1" applyAlignment="1" applyProtection="1"/>
    <xf numFmtId="1" fontId="28" fillId="25" borderId="144" xfId="0" applyNumberFormat="1" applyFont="1" applyFill="1" applyBorder="1" applyAlignment="1" applyProtection="1">
      <alignment horizontal="center" vertical="center"/>
    </xf>
    <xf numFmtId="1" fontId="28" fillId="25" borderId="105" xfId="0" applyNumberFormat="1" applyFont="1" applyFill="1" applyBorder="1" applyAlignment="1" applyProtection="1">
      <alignment horizontal="center" vertical="center"/>
    </xf>
    <xf numFmtId="2" fontId="28" fillId="25" borderId="105" xfId="0" applyNumberFormat="1" applyFont="1" applyFill="1" applyBorder="1" applyAlignment="1" applyProtection="1">
      <alignment horizontal="center" vertical="center"/>
    </xf>
    <xf numFmtId="2" fontId="28" fillId="25" borderId="8" xfId="0" applyNumberFormat="1" applyFont="1" applyFill="1" applyBorder="1" applyAlignment="1" applyProtection="1">
      <alignment horizontal="center" vertical="center"/>
    </xf>
    <xf numFmtId="0" fontId="28" fillId="25" borderId="19" xfId="0" applyFont="1" applyFill="1" applyBorder="1" applyAlignment="1" applyProtection="1">
      <alignment horizontal="center"/>
    </xf>
    <xf numFmtId="172" fontId="28" fillId="25" borderId="19" xfId="0" applyNumberFormat="1" applyFont="1" applyFill="1" applyBorder="1" applyAlignment="1" applyProtection="1">
      <alignment horizontal="center"/>
    </xf>
    <xf numFmtId="213" fontId="28" fillId="25" borderId="42" xfId="10" applyFont="1" applyFill="1" applyBorder="1" applyAlignment="1" applyProtection="1">
      <alignment horizontal="center"/>
    </xf>
    <xf numFmtId="1" fontId="28" fillId="25" borderId="19" xfId="0" applyNumberFormat="1" applyFont="1" applyFill="1" applyBorder="1" applyProtection="1">
      <alignment vertical="center"/>
    </xf>
    <xf numFmtId="1" fontId="28" fillId="25" borderId="177" xfId="0" applyNumberFormat="1" applyFont="1" applyFill="1" applyBorder="1" applyAlignment="1" applyProtection="1">
      <alignment horizontal="center" vertical="center"/>
    </xf>
    <xf numFmtId="1" fontId="28" fillId="25" borderId="75" xfId="0" applyNumberFormat="1" applyFont="1" applyFill="1" applyBorder="1" applyAlignment="1" applyProtection="1">
      <alignment horizontal="center" vertical="center"/>
    </xf>
    <xf numFmtId="2" fontId="28" fillId="25" borderId="75" xfId="0" applyNumberFormat="1" applyFont="1" applyFill="1" applyBorder="1" applyAlignment="1" applyProtection="1">
      <alignment horizontal="center" vertical="center"/>
    </xf>
    <xf numFmtId="2" fontId="28" fillId="25" borderId="76" xfId="0" applyNumberFormat="1" applyFont="1" applyFill="1" applyBorder="1" applyAlignment="1" applyProtection="1">
      <alignment horizontal="center" vertical="center"/>
    </xf>
    <xf numFmtId="0" fontId="0" fillId="13" borderId="39" xfId="0" applyFill="1" applyBorder="1" applyProtection="1">
      <alignment vertical="center"/>
    </xf>
    <xf numFmtId="0" fontId="9" fillId="0" borderId="0" xfId="0" applyFont="1" applyFill="1" applyBorder="1">
      <alignment vertical="center"/>
    </xf>
    <xf numFmtId="0" fontId="9" fillId="0" borderId="0" xfId="0" applyFont="1" applyFill="1" applyBorder="1" applyAlignment="1">
      <alignment vertical="center" wrapText="1"/>
    </xf>
    <xf numFmtId="0" fontId="8" fillId="0" borderId="0" xfId="0" applyFont="1" applyFill="1" applyBorder="1">
      <alignment vertical="center"/>
    </xf>
    <xf numFmtId="0" fontId="8" fillId="0" borderId="0" xfId="0" applyFont="1" applyFill="1" applyBorder="1" applyAlignment="1">
      <alignment vertical="center" wrapText="1"/>
    </xf>
    <xf numFmtId="2" fontId="39" fillId="0" borderId="0" xfId="0" quotePrefix="1" applyNumberFormat="1" applyFont="1" applyFill="1" applyBorder="1" applyAlignment="1" applyProtection="1">
      <alignment horizontal="left" vertical="center"/>
    </xf>
    <xf numFmtId="189" fontId="39" fillId="13" borderId="51" xfId="0" applyNumberFormat="1" applyFont="1" applyFill="1" applyBorder="1" applyAlignment="1" applyProtection="1">
      <alignment horizontal="center" vertical="center"/>
    </xf>
    <xf numFmtId="0" fontId="7" fillId="0" borderId="0" xfId="0" quotePrefix="1" applyFont="1" applyFill="1" applyBorder="1">
      <alignment vertical="center"/>
    </xf>
    <xf numFmtId="0" fontId="7" fillId="0" borderId="0" xfId="0" applyFont="1" applyFill="1" applyBorder="1" applyAlignment="1">
      <alignment vertical="center" wrapText="1"/>
    </xf>
    <xf numFmtId="0" fontId="7" fillId="0" borderId="0" xfId="0" applyFont="1" applyFill="1" applyBorder="1">
      <alignment vertical="center"/>
    </xf>
    <xf numFmtId="226" fontId="28" fillId="0" borderId="11" xfId="0" applyNumberFormat="1" applyFont="1" applyFill="1" applyBorder="1" applyAlignment="1" applyProtection="1">
      <alignment horizontal="right"/>
    </xf>
    <xf numFmtId="226" fontId="28" fillId="2" borderId="11" xfId="0" applyNumberFormat="1" applyFont="1" applyFill="1" applyBorder="1" applyAlignment="1" applyProtection="1">
      <alignment horizontal="right"/>
      <protection locked="0"/>
    </xf>
    <xf numFmtId="217" fontId="27" fillId="0" borderId="11" xfId="2" applyNumberFormat="1" applyFont="1" applyFill="1" applyBorder="1" applyAlignment="1" applyProtection="1">
      <alignment horizontal="right" vertical="center"/>
    </xf>
    <xf numFmtId="0" fontId="6" fillId="0" borderId="0" xfId="0" applyFont="1" applyFill="1" applyBorder="1">
      <alignment vertical="center"/>
    </xf>
    <xf numFmtId="0" fontId="6" fillId="0" borderId="0" xfId="0" applyFont="1" applyFill="1" applyBorder="1" applyAlignment="1">
      <alignment wrapText="1"/>
    </xf>
    <xf numFmtId="2" fontId="28" fillId="0" borderId="0" xfId="0" applyNumberFormat="1" applyFont="1" applyBorder="1" applyAlignment="1" applyProtection="1">
      <alignment horizontal="left" vertical="center"/>
    </xf>
    <xf numFmtId="188" fontId="28" fillId="0" borderId="11" xfId="0" applyNumberFormat="1" applyFont="1" applyFill="1" applyBorder="1" applyAlignment="1" applyProtection="1">
      <alignment horizontal="right"/>
    </xf>
    <xf numFmtId="1" fontId="27" fillId="0" borderId="4" xfId="0" applyNumberFormat="1" applyFont="1" applyBorder="1">
      <alignment vertical="center"/>
    </xf>
    <xf numFmtId="215" fontId="28" fillId="0" borderId="11" xfId="0" applyNumberFormat="1" applyFont="1" applyFill="1" applyBorder="1" applyAlignment="1" applyProtection="1">
      <alignment horizontal="right"/>
    </xf>
    <xf numFmtId="0" fontId="29" fillId="0" borderId="19" xfId="0" applyFont="1" applyFill="1" applyBorder="1" applyAlignment="1" applyProtection="1">
      <alignment horizontal="left" vertical="center"/>
    </xf>
    <xf numFmtId="0" fontId="5" fillId="0" borderId="0" xfId="0" applyFont="1" applyFill="1" applyBorder="1" applyAlignment="1">
      <alignment vertical="center" wrapText="1"/>
    </xf>
    <xf numFmtId="0" fontId="5" fillId="0" borderId="0" xfId="0" applyFont="1" applyFill="1" applyBorder="1">
      <alignment vertical="center"/>
    </xf>
    <xf numFmtId="0" fontId="170" fillId="0" borderId="0" xfId="0" applyFont="1" applyFill="1" applyBorder="1">
      <alignment vertical="center"/>
    </xf>
    <xf numFmtId="172" fontId="39" fillId="0" borderId="19" xfId="0" applyNumberFormat="1" applyFont="1" applyFill="1" applyBorder="1" applyAlignment="1" applyProtection="1">
      <alignment horizontal="center" vertical="center"/>
    </xf>
    <xf numFmtId="1" fontId="39" fillId="0" borderId="19" xfId="0" applyNumberFormat="1" applyFont="1" applyFill="1" applyBorder="1" applyAlignment="1" applyProtection="1">
      <alignment horizontal="center" vertical="center"/>
    </xf>
    <xf numFmtId="172" fontId="39" fillId="0" borderId="20" xfId="0" applyNumberFormat="1" applyFont="1" applyFill="1" applyBorder="1" applyAlignment="1" applyProtection="1">
      <alignment horizontal="center" vertical="center"/>
    </xf>
    <xf numFmtId="172" fontId="162" fillId="0" borderId="2" xfId="0" applyNumberFormat="1" applyFont="1" applyFill="1" applyBorder="1" applyAlignment="1" applyProtection="1">
      <alignment horizontal="center" vertical="center"/>
    </xf>
    <xf numFmtId="172" fontId="162" fillId="0" borderId="19" xfId="0" applyNumberFormat="1" applyFont="1" applyFill="1" applyBorder="1" applyAlignment="1" applyProtection="1">
      <alignment horizontal="center" vertical="center"/>
    </xf>
    <xf numFmtId="172" fontId="162" fillId="0" borderId="127" xfId="0" applyNumberFormat="1" applyFont="1" applyFill="1" applyBorder="1" applyAlignment="1" applyProtection="1">
      <alignment horizontal="center" vertical="center"/>
    </xf>
    <xf numFmtId="172" fontId="39" fillId="2" borderId="165" xfId="0" applyNumberFormat="1" applyFont="1" applyFill="1" applyBorder="1" applyAlignment="1" applyProtection="1">
      <alignment horizontal="center" vertical="center"/>
      <protection locked="0"/>
    </xf>
    <xf numFmtId="172" fontId="39" fillId="0" borderId="92" xfId="0" applyNumberFormat="1" applyFont="1" applyFill="1" applyBorder="1" applyAlignment="1" applyProtection="1">
      <alignment horizontal="center" vertical="center"/>
    </xf>
    <xf numFmtId="172" fontId="39" fillId="2" borderId="193" xfId="0" applyNumberFormat="1" applyFont="1" applyFill="1" applyBorder="1" applyAlignment="1" applyProtection="1">
      <alignment horizontal="center" vertical="center"/>
      <protection locked="0"/>
    </xf>
    <xf numFmtId="2" fontId="39" fillId="2" borderId="193" xfId="0" applyNumberFormat="1" applyFont="1" applyFill="1" applyBorder="1" applyAlignment="1" applyProtection="1">
      <alignment horizontal="center" vertical="center"/>
      <protection locked="0"/>
    </xf>
    <xf numFmtId="172" fontId="39" fillId="2" borderId="196" xfId="0" applyNumberFormat="1" applyFont="1" applyFill="1" applyBorder="1" applyAlignment="1" applyProtection="1">
      <alignment horizontal="center" vertical="center"/>
      <protection locked="0"/>
    </xf>
    <xf numFmtId="172" fontId="39" fillId="2" borderId="197" xfId="0" applyNumberFormat="1" applyFont="1" applyFill="1" applyBorder="1" applyAlignment="1" applyProtection="1">
      <alignment horizontal="center" vertical="center"/>
      <protection locked="0"/>
    </xf>
    <xf numFmtId="2" fontId="144" fillId="0" borderId="0" xfId="0" applyNumberFormat="1" applyFont="1" applyFill="1" applyBorder="1" applyAlignment="1" applyProtection="1">
      <alignment horizontal="center" vertical="center"/>
    </xf>
    <xf numFmtId="2" fontId="162" fillId="0" borderId="2" xfId="0" applyNumberFormat="1" applyFont="1" applyFill="1" applyBorder="1" applyAlignment="1" applyProtection="1">
      <alignment horizontal="center" vertical="center"/>
    </xf>
    <xf numFmtId="2" fontId="162" fillId="0" borderId="19" xfId="0" applyNumberFormat="1" applyFont="1" applyFill="1" applyBorder="1" applyAlignment="1" applyProtection="1">
      <alignment horizontal="center" vertical="center"/>
    </xf>
    <xf numFmtId="172" fontId="162" fillId="0" borderId="97" xfId="0" applyNumberFormat="1" applyFont="1" applyFill="1" applyBorder="1" applyAlignment="1" applyProtection="1">
      <alignment horizontal="center" vertical="center"/>
    </xf>
    <xf numFmtId="2" fontId="162" fillId="0" borderId="97" xfId="0" applyNumberFormat="1" applyFont="1" applyFill="1" applyBorder="1" applyAlignment="1" applyProtection="1">
      <alignment horizontal="center" vertical="center"/>
    </xf>
    <xf numFmtId="172" fontId="162" fillId="0" borderId="3" xfId="0" applyNumberFormat="1" applyFont="1" applyFill="1" applyBorder="1" applyAlignment="1" applyProtection="1">
      <alignment horizontal="center" vertical="center"/>
    </xf>
    <xf numFmtId="172" fontId="162" fillId="0" borderId="20" xfId="0" applyNumberFormat="1" applyFont="1" applyFill="1" applyBorder="1" applyAlignment="1" applyProtection="1">
      <alignment horizontal="center" vertical="center"/>
    </xf>
    <xf numFmtId="172" fontId="162" fillId="0" borderId="92" xfId="0" applyNumberFormat="1" applyFont="1" applyFill="1" applyBorder="1" applyAlignment="1" applyProtection="1">
      <alignment horizontal="center" vertical="center"/>
    </xf>
    <xf numFmtId="172" fontId="162" fillId="0" borderId="116" xfId="0" applyNumberFormat="1" applyFont="1" applyFill="1" applyBorder="1" applyAlignment="1" applyProtection="1">
      <alignment horizontal="center" vertical="center"/>
    </xf>
    <xf numFmtId="0" fontId="72" fillId="15" borderId="0" xfId="0" applyFont="1" applyFill="1" applyBorder="1" applyAlignment="1" applyProtection="1"/>
    <xf numFmtId="0" fontId="68" fillId="15" borderId="93" xfId="0" applyFont="1" applyFill="1" applyBorder="1" applyAlignment="1" applyProtection="1">
      <alignment horizontal="center" vertical="top" wrapText="1"/>
      <protection locked="0"/>
    </xf>
    <xf numFmtId="0" fontId="68" fillId="15" borderId="93" xfId="0" applyFont="1" applyFill="1" applyBorder="1" applyAlignment="1" applyProtection="1">
      <alignment horizontal="left" vertical="top" wrapText="1"/>
      <protection locked="0"/>
    </xf>
    <xf numFmtId="213" fontId="68" fillId="15" borderId="93" xfId="10" applyFont="1" applyFill="1" applyBorder="1" applyAlignment="1" applyProtection="1">
      <alignment vertical="top" wrapText="1"/>
      <protection locked="0"/>
    </xf>
    <xf numFmtId="213" fontId="68" fillId="15" borderId="93" xfId="10" applyFont="1" applyFill="1" applyBorder="1" applyAlignment="1" applyProtection="1">
      <alignment horizontal="right" vertical="top" wrapText="1"/>
      <protection locked="0"/>
    </xf>
    <xf numFmtId="0" fontId="68" fillId="15" borderId="93" xfId="0" applyFont="1" applyFill="1" applyBorder="1" applyAlignment="1" applyProtection="1">
      <alignment horizontal="right" vertical="top" wrapText="1"/>
      <protection locked="0"/>
    </xf>
    <xf numFmtId="0" fontId="26" fillId="0" borderId="0" xfId="0" quotePrefix="1" applyFont="1" applyFill="1" applyBorder="1" applyAlignment="1" applyProtection="1">
      <alignment horizontal="right"/>
    </xf>
    <xf numFmtId="0" fontId="27" fillId="0" borderId="0" xfId="0" quotePrefix="1" applyFont="1" applyFill="1" applyBorder="1" applyAlignment="1" applyProtection="1">
      <alignment horizontal="right"/>
    </xf>
    <xf numFmtId="2" fontId="27" fillId="0" borderId="0" xfId="0" applyNumberFormat="1" applyFont="1" applyFill="1" applyBorder="1" applyAlignment="1" applyProtection="1">
      <alignment horizontal="center"/>
    </xf>
    <xf numFmtId="172" fontId="171" fillId="0" borderId="37" xfId="0" applyNumberFormat="1" applyFont="1" applyFill="1" applyBorder="1" applyAlignment="1" applyProtection="1">
      <alignment horizontal="center" vertical="center"/>
    </xf>
    <xf numFmtId="2" fontId="171" fillId="0" borderId="37" xfId="0" applyNumberFormat="1" applyFont="1" applyFill="1" applyBorder="1" applyAlignment="1" applyProtection="1">
      <alignment horizontal="center" vertical="center"/>
    </xf>
    <xf numFmtId="172" fontId="171" fillId="0" borderId="102" xfId="0" applyNumberFormat="1" applyFont="1" applyFill="1" applyBorder="1" applyAlignment="1" applyProtection="1">
      <alignment horizontal="center" vertical="center"/>
    </xf>
    <xf numFmtId="172" fontId="171" fillId="0" borderId="2" xfId="0" applyNumberFormat="1" applyFont="1" applyFill="1" applyBorder="1" applyAlignment="1" applyProtection="1">
      <alignment horizontal="center" vertical="center"/>
    </xf>
    <xf numFmtId="2" fontId="171" fillId="0" borderId="2" xfId="0" applyNumberFormat="1" applyFont="1" applyFill="1" applyBorder="1" applyAlignment="1" applyProtection="1">
      <alignment horizontal="center" vertical="center"/>
    </xf>
    <xf numFmtId="172" fontId="171" fillId="0" borderId="3" xfId="0" applyNumberFormat="1" applyFont="1" applyFill="1" applyBorder="1" applyAlignment="1" applyProtection="1">
      <alignment horizontal="center" vertical="center"/>
    </xf>
    <xf numFmtId="227" fontId="39" fillId="0" borderId="11" xfId="0" applyNumberFormat="1" applyFont="1" applyFill="1" applyBorder="1" applyAlignment="1" applyProtection="1">
      <alignment horizontal="left" vertical="center" wrapText="1"/>
    </xf>
    <xf numFmtId="227" fontId="40" fillId="0" borderId="11" xfId="0" applyNumberFormat="1" applyFont="1" applyFill="1" applyBorder="1" applyAlignment="1" applyProtection="1">
      <alignment horizontal="center"/>
    </xf>
    <xf numFmtId="227" fontId="40" fillId="0" borderId="11" xfId="0" applyNumberFormat="1" applyFont="1" applyFill="1" applyBorder="1" applyAlignment="1" applyProtection="1"/>
    <xf numFmtId="1" fontId="39" fillId="0" borderId="32" xfId="0" applyNumberFormat="1" applyFont="1" applyFill="1" applyBorder="1" applyAlignment="1" applyProtection="1">
      <alignment horizontal="center" vertical="center"/>
    </xf>
    <xf numFmtId="213" fontId="68" fillId="12" borderId="93" xfId="10" applyFont="1" applyFill="1" applyBorder="1" applyAlignment="1" applyProtection="1">
      <alignment vertical="top" wrapText="1"/>
      <protection locked="0"/>
    </xf>
    <xf numFmtId="213" fontId="68" fillId="12" borderId="93" xfId="10" applyFont="1" applyFill="1" applyBorder="1" applyAlignment="1" applyProtection="1">
      <alignment horizontal="right" vertical="top" wrapText="1"/>
      <protection locked="0"/>
    </xf>
    <xf numFmtId="172" fontId="39" fillId="0" borderId="19" xfId="0" applyNumberFormat="1" applyFont="1" applyFill="1" applyBorder="1" applyProtection="1">
      <alignment vertical="center"/>
    </xf>
    <xf numFmtId="172" fontId="39" fillId="3" borderId="19" xfId="0" applyNumberFormat="1" applyFont="1" applyFill="1" applyBorder="1" applyAlignment="1" applyProtection="1">
      <alignment horizontal="center" vertical="center"/>
    </xf>
    <xf numFmtId="1" fontId="39" fillId="3" borderId="19" xfId="0" applyNumberFormat="1" applyFont="1" applyFill="1" applyBorder="1" applyAlignment="1" applyProtection="1">
      <alignment horizontal="center" vertical="center"/>
    </xf>
    <xf numFmtId="172" fontId="39" fillId="0" borderId="34" xfId="0" applyNumberFormat="1" applyFont="1" applyFill="1" applyBorder="1" applyAlignment="1" applyProtection="1">
      <alignment horizontal="center" vertical="center"/>
    </xf>
    <xf numFmtId="1" fontId="39" fillId="0" borderId="20" xfId="0" applyNumberFormat="1" applyFont="1" applyFill="1" applyBorder="1" applyAlignment="1" applyProtection="1">
      <alignment horizontal="center" vertical="center"/>
    </xf>
    <xf numFmtId="172" fontId="38" fillId="0" borderId="32" xfId="0" applyNumberFormat="1" applyFont="1" applyFill="1" applyBorder="1" applyAlignment="1" applyProtection="1">
      <alignment horizontal="center" vertical="center"/>
    </xf>
    <xf numFmtId="0" fontId="5" fillId="0" borderId="0" xfId="0" applyFont="1" applyFill="1" applyBorder="1" applyAlignment="1" applyProtection="1">
      <alignment vertical="center" wrapText="1"/>
      <protection locked="0"/>
    </xf>
    <xf numFmtId="0" fontId="39" fillId="0" borderId="198" xfId="0" applyFont="1" applyBorder="1">
      <alignment vertical="center"/>
    </xf>
    <xf numFmtId="0" fontId="39" fillId="0" borderId="88" xfId="0" applyFont="1" applyBorder="1">
      <alignment vertical="center"/>
    </xf>
    <xf numFmtId="0" fontId="39" fillId="0" borderId="199" xfId="0" applyFont="1" applyBorder="1">
      <alignment vertical="center"/>
    </xf>
    <xf numFmtId="0" fontId="39" fillId="0" borderId="200" xfId="0" applyFont="1" applyBorder="1">
      <alignment vertical="center"/>
    </xf>
    <xf numFmtId="0" fontId="39" fillId="0" borderId="201" xfId="0" applyFont="1" applyBorder="1">
      <alignment vertical="center"/>
    </xf>
    <xf numFmtId="0" fontId="39" fillId="0" borderId="202" xfId="0" applyFont="1" applyBorder="1">
      <alignment vertical="center"/>
    </xf>
    <xf numFmtId="0" fontId="39" fillId="0" borderId="203" xfId="0" applyFont="1" applyBorder="1">
      <alignment vertical="center"/>
    </xf>
    <xf numFmtId="0" fontId="39" fillId="0" borderId="204" xfId="0" applyFont="1" applyBorder="1">
      <alignment vertical="center"/>
    </xf>
    <xf numFmtId="0" fontId="39" fillId="0" borderId="205" xfId="0" applyFont="1" applyBorder="1">
      <alignment vertical="center"/>
    </xf>
    <xf numFmtId="3" fontId="39" fillId="0" borderId="193" xfId="0" applyNumberFormat="1" applyFont="1" applyFill="1" applyBorder="1" applyAlignment="1" applyProtection="1">
      <alignment horizontal="center" vertical="center"/>
    </xf>
    <xf numFmtId="3" fontId="39" fillId="0" borderId="196" xfId="0" applyNumberFormat="1" applyFont="1" applyFill="1" applyBorder="1" applyAlignment="1" applyProtection="1">
      <alignment horizontal="center" vertical="center"/>
    </xf>
    <xf numFmtId="172" fontId="39" fillId="0" borderId="193" xfId="0" applyNumberFormat="1" applyFont="1" applyFill="1" applyBorder="1" applyProtection="1">
      <alignment vertical="center"/>
    </xf>
    <xf numFmtId="172" fontId="39" fillId="0" borderId="193" xfId="0" applyNumberFormat="1" applyFont="1" applyFill="1" applyBorder="1" applyAlignment="1" applyProtection="1">
      <alignment horizontal="center" vertical="center"/>
    </xf>
    <xf numFmtId="172" fontId="39" fillId="0" borderId="196" xfId="0" applyNumberFormat="1" applyFont="1" applyFill="1" applyBorder="1" applyAlignment="1" applyProtection="1">
      <alignment horizontal="center" vertical="center"/>
    </xf>
    <xf numFmtId="172" fontId="39" fillId="0" borderId="206" xfId="0" applyNumberFormat="1" applyFont="1" applyFill="1" applyBorder="1" applyAlignment="1" applyProtection="1">
      <alignment horizontal="center" vertical="center"/>
    </xf>
    <xf numFmtId="0" fontId="145" fillId="0" borderId="0" xfId="0" applyFont="1">
      <alignment vertical="center"/>
    </xf>
    <xf numFmtId="0" fontId="39" fillId="0" borderId="40" xfId="0" applyFont="1" applyFill="1" applyBorder="1" applyAlignment="1" applyProtection="1">
      <alignment horizontal="center" vertical="center"/>
    </xf>
    <xf numFmtId="2" fontId="39" fillId="12" borderId="49" xfId="0" applyNumberFormat="1" applyFont="1" applyFill="1" applyBorder="1" applyAlignment="1" applyProtection="1">
      <alignment horizontal="center" vertical="center"/>
      <protection locked="0"/>
    </xf>
    <xf numFmtId="2" fontId="41" fillId="0" borderId="64" xfId="0" applyNumberFormat="1" applyFont="1" applyFill="1" applyBorder="1" applyAlignment="1" applyProtection="1">
      <alignment horizontal="center" vertical="center"/>
    </xf>
    <xf numFmtId="2" fontId="39" fillId="0" borderId="181" xfId="0" applyNumberFormat="1" applyFont="1" applyFill="1" applyBorder="1" applyProtection="1">
      <alignment vertical="center"/>
    </xf>
    <xf numFmtId="172" fontId="39" fillId="2" borderId="84" xfId="0" applyNumberFormat="1" applyFont="1" applyFill="1" applyBorder="1" applyAlignment="1" applyProtection="1">
      <alignment horizontal="center" vertical="center"/>
      <protection locked="0"/>
    </xf>
    <xf numFmtId="1" fontId="39" fillId="2" borderId="84" xfId="0" applyNumberFormat="1" applyFont="1" applyFill="1" applyBorder="1" applyAlignment="1" applyProtection="1">
      <alignment horizontal="center" vertical="center"/>
      <protection locked="0"/>
    </xf>
    <xf numFmtId="2" fontId="39" fillId="0" borderId="144" xfId="0" applyNumberFormat="1" applyFont="1" applyFill="1" applyBorder="1" applyProtection="1">
      <alignment vertical="center"/>
    </xf>
    <xf numFmtId="49" fontId="39" fillId="2" borderId="30" xfId="0" applyNumberFormat="1" applyFont="1" applyFill="1" applyBorder="1" applyProtection="1">
      <alignment vertical="center"/>
      <protection locked="0"/>
    </xf>
    <xf numFmtId="49" fontId="39" fillId="2" borderId="7" xfId="0" applyNumberFormat="1" applyFont="1" applyFill="1" applyBorder="1" applyAlignment="1" applyProtection="1">
      <alignment horizontal="center" vertical="center"/>
      <protection locked="0"/>
    </xf>
    <xf numFmtId="184" fontId="39" fillId="2" borderId="7" xfId="0" applyNumberFormat="1" applyFont="1" applyFill="1" applyBorder="1" applyAlignment="1" applyProtection="1">
      <alignment horizontal="center" vertical="center"/>
      <protection locked="0"/>
    </xf>
    <xf numFmtId="2" fontId="39" fillId="0" borderId="84" xfId="0" applyNumberFormat="1" applyFont="1" applyFill="1" applyBorder="1" applyProtection="1">
      <alignment vertical="center"/>
    </xf>
    <xf numFmtId="2" fontId="39" fillId="0" borderId="85" xfId="0" applyNumberFormat="1" applyFont="1" applyFill="1" applyBorder="1" applyAlignment="1" applyProtection="1">
      <alignment vertical="center" wrapText="1"/>
    </xf>
    <xf numFmtId="2" fontId="41" fillId="0" borderId="30" xfId="0" applyNumberFormat="1" applyFont="1" applyFill="1" applyBorder="1" applyProtection="1">
      <alignment vertical="center"/>
    </xf>
    <xf numFmtId="0" fontId="70" fillId="0" borderId="30" xfId="0" applyFont="1" applyFill="1" applyBorder="1" applyAlignment="1" applyProtection="1">
      <alignment horizontal="center" vertical="center"/>
    </xf>
    <xf numFmtId="172" fontId="151" fillId="0" borderId="0" xfId="0" applyNumberFormat="1" applyFont="1" applyFill="1" applyBorder="1" applyAlignment="1" applyProtection="1">
      <alignment horizontal="right" vertical="center"/>
    </xf>
    <xf numFmtId="1" fontId="39" fillId="0" borderId="127" xfId="0" applyNumberFormat="1" applyFont="1" applyFill="1" applyBorder="1" applyAlignment="1" applyProtection="1">
      <alignment horizontal="center" vertical="center"/>
    </xf>
    <xf numFmtId="1" fontId="39" fillId="0" borderId="165" xfId="0" applyNumberFormat="1" applyFont="1" applyFill="1" applyBorder="1" applyAlignment="1" applyProtection="1">
      <alignment horizontal="center" vertical="center"/>
    </xf>
    <xf numFmtId="172" fontId="39" fillId="0" borderId="127" xfId="0" applyNumberFormat="1" applyFont="1" applyFill="1" applyBorder="1" applyAlignment="1" applyProtection="1">
      <alignment horizontal="center" vertical="center"/>
    </xf>
    <xf numFmtId="172" fontId="39" fillId="0" borderId="165" xfId="0" applyNumberFormat="1" applyFont="1" applyFill="1" applyBorder="1" applyAlignment="1" applyProtection="1">
      <alignment horizontal="center" vertical="center"/>
    </xf>
    <xf numFmtId="172" fontId="39" fillId="0" borderId="97" xfId="0" applyNumberFormat="1" applyFont="1" applyFill="1" applyBorder="1" applyAlignment="1" applyProtection="1">
      <alignment horizontal="center" vertical="center"/>
    </xf>
    <xf numFmtId="172" fontId="100" fillId="26" borderId="0" xfId="0" applyNumberFormat="1" applyFont="1" applyFill="1" applyBorder="1" applyAlignment="1" applyProtection="1">
      <alignment horizontal="right" vertical="center"/>
    </xf>
    <xf numFmtId="0" fontId="173" fillId="0" borderId="55" xfId="0" applyFont="1" applyBorder="1" applyAlignment="1" applyProtection="1">
      <alignment horizontal="right" vertical="center"/>
    </xf>
    <xf numFmtId="199" fontId="5" fillId="0" borderId="5" xfId="0" applyNumberFormat="1" applyFont="1" applyBorder="1" applyProtection="1">
      <alignment vertical="center"/>
    </xf>
    <xf numFmtId="199" fontId="5" fillId="0" borderId="0" xfId="0" applyNumberFormat="1" applyFont="1" applyBorder="1" applyProtection="1">
      <alignment vertical="center"/>
    </xf>
    <xf numFmtId="195" fontId="155" fillId="0" borderId="66" xfId="0" applyNumberFormat="1" applyFont="1" applyBorder="1" applyAlignment="1" applyProtection="1">
      <alignment horizontal="center" vertical="center"/>
    </xf>
    <xf numFmtId="0" fontId="27" fillId="0" borderId="4" xfId="0" applyFont="1" applyFill="1" applyBorder="1" applyAlignment="1" applyProtection="1">
      <alignment horizontal="right" vertical="center"/>
    </xf>
    <xf numFmtId="0" fontId="4" fillId="0" borderId="0" xfId="0" applyFont="1" applyFill="1" applyBorder="1" applyAlignment="1">
      <alignment vertical="center" wrapText="1"/>
    </xf>
    <xf numFmtId="0" fontId="4" fillId="0" borderId="0" xfId="0" applyFont="1" applyFill="1" applyBorder="1">
      <alignment vertical="center"/>
    </xf>
    <xf numFmtId="1" fontId="26" fillId="0" borderId="0" xfId="0" applyNumberFormat="1" applyFont="1" applyBorder="1" applyProtection="1">
      <alignment vertical="center"/>
    </xf>
    <xf numFmtId="0" fontId="3" fillId="0" borderId="0" xfId="0" applyFont="1" applyFill="1" applyBorder="1">
      <alignment vertical="center"/>
    </xf>
    <xf numFmtId="0" fontId="2" fillId="0" borderId="0" xfId="0" applyFont="1" applyFill="1" applyBorder="1">
      <alignment vertical="center"/>
    </xf>
    <xf numFmtId="0" fontId="2" fillId="0" borderId="0" xfId="0" applyFont="1" applyFill="1" applyBorder="1" applyAlignment="1">
      <alignment vertical="center" wrapText="1"/>
    </xf>
    <xf numFmtId="0" fontId="0" fillId="0" borderId="0" xfId="0">
      <alignment vertical="center"/>
    </xf>
    <xf numFmtId="0" fontId="0" fillId="0" borderId="0" xfId="0" applyAlignment="1" applyProtection="1">
      <alignment horizontal="right"/>
    </xf>
    <xf numFmtId="0" fontId="39" fillId="0" borderId="5" xfId="0" applyFont="1" applyBorder="1" applyAlignment="1" applyProtection="1">
      <alignment horizontal="center"/>
    </xf>
    <xf numFmtId="0" fontId="39" fillId="0" borderId="4" xfId="0" applyFont="1" applyBorder="1" applyAlignment="1" applyProtection="1">
      <alignment horizontal="center"/>
    </xf>
    <xf numFmtId="0" fontId="39" fillId="0" borderId="71" xfId="0" applyFont="1" applyBorder="1" applyAlignment="1" applyProtection="1">
      <alignment horizontal="center"/>
    </xf>
    <xf numFmtId="0" fontId="0" fillId="0" borderId="0" xfId="0">
      <alignment vertical="center"/>
    </xf>
    <xf numFmtId="49" fontId="28" fillId="0" borderId="0" xfId="0" applyNumberFormat="1" applyFont="1" applyFill="1" applyBorder="1" applyAlignment="1" applyProtection="1">
      <alignment horizontal="left"/>
    </xf>
    <xf numFmtId="208" fontId="0" fillId="0" borderId="14" xfId="2" applyFont="1" applyBorder="1" applyAlignment="1" applyProtection="1">
      <alignment horizontal="center"/>
    </xf>
    <xf numFmtId="208" fontId="0" fillId="0" borderId="17" xfId="2" applyFont="1" applyBorder="1" applyAlignment="1" applyProtection="1">
      <alignment horizontal="center"/>
    </xf>
    <xf numFmtId="0" fontId="47" fillId="0" borderId="5" xfId="0" applyFont="1" applyBorder="1" applyAlignment="1">
      <alignment horizontal="center"/>
    </xf>
    <xf numFmtId="0" fontId="47" fillId="0" borderId="4" xfId="0" applyFont="1" applyBorder="1" applyAlignment="1">
      <alignment horizontal="center"/>
    </xf>
    <xf numFmtId="0" fontId="47" fillId="0" borderId="71" xfId="0" applyFont="1" applyBorder="1" applyAlignment="1">
      <alignment horizontal="center"/>
    </xf>
    <xf numFmtId="0" fontId="47" fillId="0" borderId="19" xfId="0" applyFont="1" applyBorder="1" applyAlignment="1">
      <alignment horizontal="center"/>
    </xf>
    <xf numFmtId="0" fontId="47" fillId="0" borderId="0" xfId="0" applyFont="1" applyBorder="1" applyAlignment="1">
      <alignment horizontal="center"/>
    </xf>
    <xf numFmtId="0" fontId="47" fillId="0" borderId="55" xfId="0" applyFont="1" applyBorder="1" applyAlignment="1">
      <alignment horizontal="center"/>
    </xf>
    <xf numFmtId="0" fontId="26" fillId="0" borderId="5" xfId="0" applyFont="1" applyBorder="1" applyAlignment="1" applyProtection="1">
      <alignment horizontal="center" vertical="center"/>
    </xf>
    <xf numFmtId="0" fontId="0" fillId="0" borderId="4" xfId="0" applyBorder="1">
      <alignment vertical="center"/>
    </xf>
    <xf numFmtId="0" fontId="0" fillId="0" borderId="71" xfId="0" applyBorder="1">
      <alignment vertical="center"/>
    </xf>
    <xf numFmtId="0" fontId="0" fillId="0" borderId="7" xfId="0" applyBorder="1">
      <alignment vertical="center"/>
    </xf>
    <xf numFmtId="0" fontId="0" fillId="0" borderId="30" xfId="0" applyBorder="1">
      <alignment vertical="center"/>
    </xf>
    <xf numFmtId="0" fontId="0" fillId="0" borderId="64" xfId="0" applyBorder="1">
      <alignment vertical="center"/>
    </xf>
    <xf numFmtId="0" fontId="39" fillId="0" borderId="15" xfId="0" applyFont="1" applyFill="1" applyBorder="1" applyAlignment="1" applyProtection="1">
      <alignment horizontal="center" vertical="center"/>
    </xf>
    <xf numFmtId="0" fontId="39" fillId="0" borderId="14" xfId="0" applyFont="1" applyFill="1" applyBorder="1" applyAlignment="1" applyProtection="1">
      <alignment horizontal="center" vertical="center"/>
    </xf>
    <xf numFmtId="0" fontId="39" fillId="0" borderId="166" xfId="0" applyFont="1" applyFill="1" applyBorder="1" applyAlignment="1" applyProtection="1">
      <alignment horizontal="center" vertical="center"/>
    </xf>
    <xf numFmtId="0" fontId="174" fillId="27" borderId="207" xfId="0" applyFont="1" applyFill="1" applyBorder="1" applyAlignment="1" applyProtection="1">
      <alignment horizontal="left"/>
      <protection locked="0"/>
    </xf>
    <xf numFmtId="0" fontId="174" fillId="27" borderId="207" xfId="0" applyFont="1" applyFill="1" applyBorder="1" applyAlignment="1" applyProtection="1">
      <alignment horizontal="right"/>
      <protection locked="0"/>
    </xf>
    <xf numFmtId="0" fontId="174" fillId="28" borderId="207" xfId="0" applyFont="1" applyFill="1" applyBorder="1" applyAlignment="1" applyProtection="1">
      <alignment horizontal="right"/>
      <protection locked="0"/>
    </xf>
    <xf numFmtId="0" fontId="0" fillId="29" borderId="207" xfId="0" applyFill="1" applyBorder="1" applyAlignment="1" applyProtection="1">
      <protection locked="0"/>
    </xf>
    <xf numFmtId="0" fontId="40" fillId="2" borderId="30" xfId="0" applyFont="1" applyFill="1" applyBorder="1" applyAlignment="1" applyProtection="1">
      <protection locked="0"/>
    </xf>
    <xf numFmtId="0" fontId="28" fillId="2" borderId="127" xfId="0" applyFont="1" applyFill="1" applyBorder="1" applyProtection="1">
      <alignment vertical="center"/>
      <protection locked="0"/>
    </xf>
    <xf numFmtId="0" fontId="28" fillId="3" borderId="130" xfId="0" applyFont="1" applyFill="1" applyBorder="1" applyProtection="1">
      <alignment vertical="center"/>
    </xf>
    <xf numFmtId="198" fontId="28" fillId="2" borderId="81" xfId="0" applyNumberFormat="1" applyFont="1" applyFill="1" applyBorder="1" applyProtection="1">
      <alignment vertical="center"/>
      <protection locked="0"/>
    </xf>
    <xf numFmtId="198" fontId="28" fillId="8" borderId="80" xfId="0" applyNumberFormat="1" applyFont="1" applyFill="1" applyBorder="1" applyProtection="1">
      <alignment vertical="center"/>
    </xf>
  </cellXfs>
  <cellStyles count="20">
    <cellStyle name="%_0.0" xfId="15"/>
    <cellStyle name="1_Übers&amp;Ergeb" xfId="4"/>
    <cellStyle name="40 % - Akzent2 2" xfId="13"/>
    <cellStyle name="Einrücken" xfId="3"/>
    <cellStyle name="Hinweis" xfId="6"/>
    <cellStyle name="Prozent 2" xfId="11"/>
    <cellStyle name="SMi_0" xfId="18"/>
    <cellStyle name="SMi_0.0" xfId="16"/>
    <cellStyle name="SMi_0.00" xfId="17"/>
    <cellStyle name="SMi_0.000" xfId="19"/>
    <cellStyle name="Standard" xfId="0" builtinId="0" customBuiltin="1"/>
    <cellStyle name="Standard 2" xfId="1"/>
    <cellStyle name="Standard 3" xfId="12"/>
    <cellStyle name="txtCHF" xfId="5"/>
    <cellStyle name="Zahl_0" xfId="2"/>
    <cellStyle name="Zahl_0.0" xfId="7"/>
    <cellStyle name="Zahl_0.00" xfId="9"/>
    <cellStyle name="Zahl_0.00_mitNull" xfId="10"/>
    <cellStyle name="Zahl_0.0000" xfId="8"/>
    <cellStyle name="Zahl_0_mitNull" xfId="14"/>
  </cellStyles>
  <dxfs count="92">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ill>
        <patternFill>
          <bgColor indexed="53"/>
        </patternFill>
      </fill>
    </dxf>
    <dxf>
      <font>
        <b/>
        <i val="0"/>
        <color rgb="FFFF0000"/>
      </font>
    </dxf>
    <dxf>
      <fill>
        <patternFill>
          <bgColor indexed="53"/>
        </patternFill>
      </fill>
    </dxf>
    <dxf>
      <fill>
        <patternFill>
          <bgColor indexed="50"/>
        </patternFill>
      </fill>
    </dxf>
    <dxf>
      <fill>
        <patternFill>
          <bgColor indexed="53"/>
        </patternFill>
      </fill>
    </dxf>
    <dxf>
      <fill>
        <patternFill>
          <bgColor indexed="53"/>
        </patternFill>
      </fill>
    </dxf>
    <dxf>
      <fill>
        <patternFill>
          <bgColor indexed="53"/>
        </patternFill>
      </fill>
    </dxf>
    <dxf>
      <font>
        <condense val="0"/>
        <extend val="0"/>
        <color indexed="10"/>
      </font>
    </dxf>
    <dxf>
      <font>
        <b/>
        <i val="0"/>
        <condense val="0"/>
        <extend val="0"/>
        <color indexed="10"/>
      </font>
      <fill>
        <patternFill patternType="none">
          <bgColor indexed="65"/>
        </patternFill>
      </fill>
    </dxf>
    <dxf>
      <font>
        <condense val="0"/>
        <extend val="0"/>
        <color indexed="8"/>
      </font>
    </dxf>
    <dxf>
      <font>
        <condense val="0"/>
        <extend val="0"/>
        <color indexed="10"/>
      </font>
    </dxf>
    <dxf>
      <fill>
        <patternFill>
          <bgColor indexed="53"/>
        </patternFill>
      </fill>
    </dxf>
    <dxf>
      <font>
        <condense val="0"/>
        <extend val="0"/>
        <color indexed="10"/>
      </font>
    </dxf>
    <dxf>
      <font>
        <condense val="0"/>
        <extend val="0"/>
        <color indexed="10"/>
      </font>
    </dxf>
    <dxf>
      <font>
        <condense val="0"/>
        <extend val="0"/>
        <color indexed="10"/>
      </font>
    </dxf>
    <dxf>
      <font>
        <b/>
        <i val="0"/>
        <condense val="0"/>
        <extend val="0"/>
        <color indexed="10"/>
      </font>
    </dxf>
    <dxf>
      <font>
        <b/>
        <i val="0"/>
        <condense val="0"/>
        <extend val="0"/>
        <color indexed="10"/>
      </font>
    </dxf>
    <dxf>
      <fill>
        <patternFill>
          <bgColor indexed="53"/>
        </patternFill>
      </fill>
    </dxf>
    <dxf>
      <fill>
        <patternFill>
          <bgColor indexed="53"/>
        </patternFill>
      </fill>
    </dxf>
    <dxf>
      <font>
        <b/>
        <i val="0"/>
        <condense val="0"/>
        <extend val="0"/>
        <color indexed="10"/>
      </font>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val="0"/>
        <i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D5FFFF"/>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CCCC"/>
      <color rgb="FFCCECFF"/>
      <color rgb="FFFFFFCC"/>
      <color rgb="FFFFCCFF"/>
      <color rgb="FFFF99FF"/>
      <color rgb="FFE4D2F2"/>
      <color rgb="FFCCCCFF"/>
      <color rgb="FFC0C0C0"/>
      <color rgb="FFD3B5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dialogsheet" Target="dialogsheets/sheet1.xml"/><Relationship Id="rId47" Type="http://schemas.openxmlformats.org/officeDocument/2006/relationships/dialogsheet" Target="dialogsheets/sheet6.xml"/><Relationship Id="rId50" Type="http://schemas.openxmlformats.org/officeDocument/2006/relationships/dialogsheet" Target="dialogsheets/sheet9.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dialogsheet" Target="dialogsheets/sheet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dialogsheet" Target="dialogsheets/sheet4.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dialogsheet" Target="dialogsheets/sheet8.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dialogsheet" Target="dialogsheets/sheet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dialogsheet" Target="dialogsheets/sheet2.xml"/><Relationship Id="rId48" Type="http://schemas.openxmlformats.org/officeDocument/2006/relationships/dialogsheet" Target="dialogsheets/sheet7.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Label" fmlaTxbx="Texte!A164"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H$9" lockText="1" noThreeD="1"/>
</file>

<file path=xl/ctrlProps/ctrlProp6.xml><?xml version="1.0" encoding="utf-8"?>
<formControlPr xmlns="http://schemas.microsoft.com/office/spreadsheetml/2009/9/main" objectType="Drop" dropLines="3" dropStyle="combo" dx="22" fmlaRange="Texte!$A$3:$A$5" sel="1" val="0"/>
</file>

<file path=xl/ctrlProps/ctrlProp7.xml><?xml version="1.0" encoding="utf-8"?>
<formControlPr xmlns="http://schemas.microsoft.com/office/spreadsheetml/2009/9/main" objectType="CheckBox" fmlaLink="$T$10" lockText="1" noThreeD="1"/>
</file>

<file path=xl/ctrlProps/ctrlProp8.xml><?xml version="1.0" encoding="utf-8"?>
<formControlPr xmlns="http://schemas.microsoft.com/office/spreadsheetml/2009/9/main" objectType="CheckBox" fmlaLink="$T$11" lockText="1" noThreeD="1"/>
</file>

<file path=xl/ctrlProps/ctrlProp9.xml><?xml version="1.0" encoding="utf-8"?>
<formControlPr xmlns="http://schemas.microsoft.com/office/spreadsheetml/2009/9/main" objectType="CheckBox" fmlaLink="$T$13" lockText="1" noThreeD="1"/>
</file>

<file path=xl/ctrlProps/ctrlProp10.xml><?xml version="1.0" encoding="utf-8"?>
<formControlPr xmlns="http://schemas.microsoft.com/office/spreadsheetml/2009/9/main" objectType="CheckBox" fmlaLink="$T$17" lockText="1" noThreeD="1"/>
</file>

<file path=xl/ctrlProps/ctrlProp11.xml><?xml version="1.0" encoding="utf-8"?>
<formControlPr xmlns="http://schemas.microsoft.com/office/spreadsheetml/2009/9/main" objectType="CheckBox" fmlaLink="$T$18" lockText="1" noThreeD="1"/>
</file>

<file path=xl/ctrlProps/ctrlProp12.xml><?xml version="1.0" encoding="utf-8"?>
<formControlPr xmlns="http://schemas.microsoft.com/office/spreadsheetml/2009/9/main" objectType="CheckBox" fmlaLink="$T$21" lockText="1" noThreeD="1"/>
</file>

<file path=xl/ctrlProps/ctrlProp13.xml><?xml version="1.0" encoding="utf-8"?>
<formControlPr xmlns="http://schemas.microsoft.com/office/spreadsheetml/2009/9/main" objectType="CheckBox" fmlaLink="$T$26" lockText="1" noThreeD="1"/>
</file>

<file path=xl/ctrlProps/ctrlProp14.xml><?xml version="1.0" encoding="utf-8"?>
<formControlPr xmlns="http://schemas.microsoft.com/office/spreadsheetml/2009/9/main" objectType="CheckBox" fmlaLink="$T$48" lockText="1" noThreeD="1"/>
</file>

<file path=xl/ctrlProps/ctrlProp15.xml><?xml version="1.0" encoding="utf-8"?>
<formControlPr xmlns="http://schemas.microsoft.com/office/spreadsheetml/2009/9/main" objectType="CheckBox" fmlaLink="$X$29" lockText="1" noThreeD="1"/>
</file>

<file path=xl/ctrlProps/ctrlProp16.xml><?xml version="1.0" encoding="utf-8"?>
<formControlPr xmlns="http://schemas.microsoft.com/office/spreadsheetml/2009/9/main" objectType="CheckBox" fmlaLink="$W$29" lockText="1" noThreeD="1"/>
</file>

<file path=xl/ctrlProps/ctrlProp17.xml><?xml version="1.0" encoding="utf-8"?>
<formControlPr xmlns="http://schemas.microsoft.com/office/spreadsheetml/2009/9/main" objectType="CheckBox" fmlaLink="$W$9" lockText="1" noThreeD="1"/>
</file>

<file path=xl/ctrlProps/ctrlProp18.xml><?xml version="1.0" encoding="utf-8"?>
<formControlPr xmlns="http://schemas.microsoft.com/office/spreadsheetml/2009/9/main" objectType="CheckBox" fmlaLink="$W$10" lockText="1" noThreeD="1"/>
</file>

<file path=xl/ctrlProps/ctrlProp19.xml><?xml version="1.0" encoding="utf-8"?>
<formControlPr xmlns="http://schemas.microsoft.com/office/spreadsheetml/2009/9/main" objectType="CheckBox" fmlaLink="$W$12" lockText="1" noThreeD="1"/>
</file>

<file path=xl/ctrlProps/ctrlProp20.xml><?xml version="1.0" encoding="utf-8"?>
<formControlPr xmlns="http://schemas.microsoft.com/office/spreadsheetml/2009/9/main" objectType="CheckBox" fmlaLink="$W$14" lockText="1" noThreeD="1"/>
</file>

<file path=xl/ctrlProps/ctrlProp21.xml><?xml version="1.0" encoding="utf-8"?>
<formControlPr xmlns="http://schemas.microsoft.com/office/spreadsheetml/2009/9/main" objectType="CheckBox" fmlaLink="$W$15" lockText="1" noThreeD="1"/>
</file>

<file path=xl/ctrlProps/ctrlProp22.xml><?xml version="1.0" encoding="utf-8"?>
<formControlPr xmlns="http://schemas.microsoft.com/office/spreadsheetml/2009/9/main" objectType="CheckBox" fmlaLink="$W$16" lockText="1" noThreeD="1"/>
</file>

<file path=xl/ctrlProps/ctrlProp23.xml><?xml version="1.0" encoding="utf-8"?>
<formControlPr xmlns="http://schemas.microsoft.com/office/spreadsheetml/2009/9/main" objectType="CheckBox" fmlaLink="$W$17" lockText="1" noThreeD="1"/>
</file>

<file path=xl/ctrlProps/ctrlProp24.xml><?xml version="1.0" encoding="utf-8"?>
<formControlPr xmlns="http://schemas.microsoft.com/office/spreadsheetml/2009/9/main" objectType="CheckBox" fmlaLink="$W$18" lockText="1" noThreeD="1"/>
</file>

<file path=xl/ctrlProps/ctrlProp25.xml><?xml version="1.0" encoding="utf-8"?>
<formControlPr xmlns="http://schemas.microsoft.com/office/spreadsheetml/2009/9/main" objectType="CheckBox" fmlaLink="$W$26" lockText="1" noThreeD="1"/>
</file>

<file path=xl/ctrlProps/ctrlProp26.xml><?xml version="1.0" encoding="utf-8"?>
<formControlPr xmlns="http://schemas.microsoft.com/office/spreadsheetml/2009/9/main" objectType="CheckBox" fmlaLink="$W$27" lockText="1" noThreeD="1"/>
</file>

<file path=xl/ctrlProps/ctrlProp27.xml><?xml version="1.0" encoding="utf-8"?>
<formControlPr xmlns="http://schemas.microsoft.com/office/spreadsheetml/2009/9/main" objectType="CheckBox" fmlaLink="$W$30" lockText="1" noThreeD="1"/>
</file>

<file path=xl/ctrlProps/ctrlProp28.xml><?xml version="1.0" encoding="utf-8"?>
<formControlPr xmlns="http://schemas.microsoft.com/office/spreadsheetml/2009/9/main" objectType="CheckBox" fmlaLink="$W$33" lockText="1" noThreeD="1"/>
</file>

<file path=xl/ctrlProps/ctrlProp29.xml><?xml version="1.0" encoding="utf-8"?>
<formControlPr xmlns="http://schemas.microsoft.com/office/spreadsheetml/2009/9/main" objectType="CheckBox" fmlaLink="$W$34" lockText="1" noThreeD="1"/>
</file>

<file path=xl/ctrlProps/ctrlProp30.xml><?xml version="1.0" encoding="utf-8"?>
<formControlPr xmlns="http://schemas.microsoft.com/office/spreadsheetml/2009/9/main" objectType="CheckBox" fmlaLink="$W$35" lockText="1" noThreeD="1"/>
</file>

<file path=xl/ctrlProps/ctrlProp31.xml><?xml version="1.0" encoding="utf-8"?>
<formControlPr xmlns="http://schemas.microsoft.com/office/spreadsheetml/2009/9/main" objectType="CheckBox" fmlaLink="$W$36" lockText="1" noThreeD="1"/>
</file>

<file path=xl/ctrlProps/ctrlProp32.xml><?xml version="1.0" encoding="utf-8"?>
<formControlPr xmlns="http://schemas.microsoft.com/office/spreadsheetml/2009/9/main" objectType="CheckBox" fmlaLink="$W$37" lockText="1" noThreeD="1"/>
</file>

<file path=xl/ctrlProps/ctrlProp33.xml><?xml version="1.0" encoding="utf-8"?>
<formControlPr xmlns="http://schemas.microsoft.com/office/spreadsheetml/2009/9/main" objectType="CheckBox" fmlaLink="$W$40" lockText="1" noThreeD="1"/>
</file>

<file path=xl/ctrlProps/ctrlProp34.xml><?xml version="1.0" encoding="utf-8"?>
<formControlPr xmlns="http://schemas.microsoft.com/office/spreadsheetml/2009/9/main" objectType="CheckBox" fmlaLink="$W$44" lockText="1" noThreeD="1"/>
</file>

<file path=xl/ctrlProps/ctrlProp35.xml><?xml version="1.0" encoding="utf-8"?>
<formControlPr xmlns="http://schemas.microsoft.com/office/spreadsheetml/2009/9/main" objectType="CheckBox" fmlaLink="$W$52" lockText="1" noThreeD="1"/>
</file>

<file path=xl/ctrlProps/ctrlProp36.xml><?xml version="1.0" encoding="utf-8"?>
<formControlPr xmlns="http://schemas.microsoft.com/office/spreadsheetml/2009/9/main" objectType="CheckBox" fmlaLink="$W$53" lockText="1" noThreeD="1"/>
</file>

<file path=xl/ctrlProps/ctrlProp37.xml><?xml version="1.0" encoding="utf-8"?>
<formControlPr xmlns="http://schemas.microsoft.com/office/spreadsheetml/2009/9/main" objectType="CheckBox" fmlaLink="$W$64" lockText="1" noThreeD="1"/>
</file>

<file path=xl/ctrlProps/ctrlProp38.xml><?xml version="1.0" encoding="utf-8"?>
<formControlPr xmlns="http://schemas.microsoft.com/office/spreadsheetml/2009/9/main" objectType="CheckBox" fmlaLink="$W$65" lockText="1" noThreeD="1"/>
</file>

<file path=xl/ctrlProps/ctrlProp39.xml><?xml version="1.0" encoding="utf-8"?>
<formControlPr xmlns="http://schemas.microsoft.com/office/spreadsheetml/2009/9/main" objectType="CheckBox" fmlaLink="$W$66" lockText="1" noThreeD="1"/>
</file>

<file path=xl/ctrlProps/ctrlProp40.xml><?xml version="1.0" encoding="utf-8"?>
<formControlPr xmlns="http://schemas.microsoft.com/office/spreadsheetml/2009/9/main" objectType="CheckBox" fmlaLink="$W$73" lockText="1" noThreeD="1"/>
</file>

<file path=xl/ctrlProps/ctrlProp41.xml><?xml version="1.0" encoding="utf-8"?>
<formControlPr xmlns="http://schemas.microsoft.com/office/spreadsheetml/2009/9/main" objectType="CheckBox" fmlaLink="$W$74" lockText="1" noThreeD="1"/>
</file>

<file path=xl/ctrlProps/ctrlProp42.xml><?xml version="1.0" encoding="utf-8"?>
<formControlPr xmlns="http://schemas.microsoft.com/office/spreadsheetml/2009/9/main" objectType="CheckBox" fmlaLink="$W$75" lockText="1" noThreeD="1"/>
</file>

<file path=xl/ctrlProps/ctrlProp43.xml><?xml version="1.0" encoding="utf-8"?>
<formControlPr xmlns="http://schemas.microsoft.com/office/spreadsheetml/2009/9/main" objectType="CheckBox" fmlaLink="$W$76" lockText="1" noThreeD="1"/>
</file>

<file path=xl/ctrlProps/ctrlProp44.xml><?xml version="1.0" encoding="utf-8"?>
<formControlPr xmlns="http://schemas.microsoft.com/office/spreadsheetml/2009/9/main" objectType="CheckBox" fmlaLink="$W$77" lockText="1" noThreeD="1"/>
</file>

<file path=xl/ctrlProps/ctrlProp45.xml><?xml version="1.0" encoding="utf-8"?>
<formControlPr xmlns="http://schemas.microsoft.com/office/spreadsheetml/2009/9/main" objectType="CheckBox" fmlaLink="$X$9" lockText="1" noThreeD="1"/>
</file>

<file path=xl/ctrlProps/ctrlProp46.xml><?xml version="1.0" encoding="utf-8"?>
<formControlPr xmlns="http://schemas.microsoft.com/office/spreadsheetml/2009/9/main" objectType="CheckBox" fmlaLink="$X$10" lockText="1" noThreeD="1"/>
</file>

<file path=xl/ctrlProps/ctrlProp47.xml><?xml version="1.0" encoding="utf-8"?>
<formControlPr xmlns="http://schemas.microsoft.com/office/spreadsheetml/2009/9/main" objectType="CheckBox" fmlaLink="$X$12" lockText="1" noThreeD="1"/>
</file>

<file path=xl/ctrlProps/ctrlProp48.xml><?xml version="1.0" encoding="utf-8"?>
<formControlPr xmlns="http://schemas.microsoft.com/office/spreadsheetml/2009/9/main" objectType="CheckBox" fmlaLink="$X$14" lockText="1" noThreeD="1"/>
</file>

<file path=xl/ctrlProps/ctrlProp49.xml><?xml version="1.0" encoding="utf-8"?>
<formControlPr xmlns="http://schemas.microsoft.com/office/spreadsheetml/2009/9/main" objectType="CheckBox" fmlaLink="$X$15" lockText="1" noThreeD="1"/>
</file>

<file path=xl/ctrlProps/ctrlProp50.xml><?xml version="1.0" encoding="utf-8"?>
<formControlPr xmlns="http://schemas.microsoft.com/office/spreadsheetml/2009/9/main" objectType="CheckBox" fmlaLink="$X$16" lockText="1" noThreeD="1"/>
</file>

<file path=xl/ctrlProps/ctrlProp51.xml><?xml version="1.0" encoding="utf-8"?>
<formControlPr xmlns="http://schemas.microsoft.com/office/spreadsheetml/2009/9/main" objectType="CheckBox" fmlaLink="$X$17" lockText="1" noThreeD="1"/>
</file>

<file path=xl/ctrlProps/ctrlProp52.xml><?xml version="1.0" encoding="utf-8"?>
<formControlPr xmlns="http://schemas.microsoft.com/office/spreadsheetml/2009/9/main" objectType="CheckBox" fmlaLink="$X$30" lockText="1" noThreeD="1"/>
</file>

<file path=xl/ctrlProps/ctrlProp53.xml><?xml version="1.0" encoding="utf-8"?>
<formControlPr xmlns="http://schemas.microsoft.com/office/spreadsheetml/2009/9/main" objectType="CheckBox" fmlaLink="$X$44" lockText="1" noThreeD="1"/>
</file>

<file path=xl/ctrlProps/ctrlProp54.xml><?xml version="1.0" encoding="utf-8"?>
<formControlPr xmlns="http://schemas.microsoft.com/office/spreadsheetml/2009/9/main" objectType="CheckBox" fmlaLink="$X$64" lockText="1" noThreeD="1"/>
</file>

<file path=xl/ctrlProps/ctrlProp55.xml><?xml version="1.0" encoding="utf-8"?>
<formControlPr xmlns="http://schemas.microsoft.com/office/spreadsheetml/2009/9/main" objectType="CheckBox" fmlaLink="$X$65" lockText="1" noThreeD="1"/>
</file>

<file path=xl/ctrlProps/ctrlProp56.xml><?xml version="1.0" encoding="utf-8"?>
<formControlPr xmlns="http://schemas.microsoft.com/office/spreadsheetml/2009/9/main" objectType="CheckBox" fmlaLink="$X$68" lockText="1" noThreeD="1"/>
</file>

<file path=xl/ctrlProps/ctrlProp57.xml><?xml version="1.0" encoding="utf-8"?>
<formControlPr xmlns="http://schemas.microsoft.com/office/spreadsheetml/2009/9/main" objectType="CheckBox" fmlaLink="$X$66" lockText="1" noThreeD="1"/>
</file>

<file path=xl/ctrlProps/ctrlProp58.xml><?xml version="1.0" encoding="utf-8"?>
<formControlPr xmlns="http://schemas.microsoft.com/office/spreadsheetml/2009/9/main" objectType="CheckBox" fmlaLink="$X$73" lockText="1" noThreeD="1"/>
</file>

<file path=xl/ctrlProps/ctrlProp59.xml><?xml version="1.0" encoding="utf-8"?>
<formControlPr xmlns="http://schemas.microsoft.com/office/spreadsheetml/2009/9/main" objectType="CheckBox" fmlaLink="$X$74" lockText="1" noThreeD="1"/>
</file>

<file path=xl/ctrlProps/ctrlProp60.xml><?xml version="1.0" encoding="utf-8"?>
<formControlPr xmlns="http://schemas.microsoft.com/office/spreadsheetml/2009/9/main" objectType="CheckBox" fmlaLink="$X$75" lockText="1" noThreeD="1"/>
</file>

<file path=xl/ctrlProps/ctrlProp61.xml><?xml version="1.0" encoding="utf-8"?>
<formControlPr xmlns="http://schemas.microsoft.com/office/spreadsheetml/2009/9/main" objectType="CheckBox" fmlaLink="$X$76" lockText="1" noThreeD="1"/>
</file>

<file path=xl/ctrlProps/ctrlProp62.xml><?xml version="1.0" encoding="utf-8"?>
<formControlPr xmlns="http://schemas.microsoft.com/office/spreadsheetml/2009/9/main" objectType="CheckBox" fmlaLink="$X$77" lockText="1" noThreeD="1"/>
</file>

<file path=xl/ctrlProps/ctrlProp63.xml><?xml version="1.0" encoding="utf-8"?>
<formControlPr xmlns="http://schemas.microsoft.com/office/spreadsheetml/2009/9/main" objectType="CheckBox" fmlaLink="$W$25" lockText="1" noThreeD="1"/>
</file>

<file path=xl/ctrlProps/ctrlProp64.xml><?xml version="1.0" encoding="utf-8"?>
<formControlPr xmlns="http://schemas.microsoft.com/office/spreadsheetml/2009/9/main" objectType="CheckBox" fmlaLink="$W$68" lockText="1" noThreeD="1"/>
</file>

<file path=xl/ctrlProps/ctrlProp65.xml><?xml version="1.0" encoding="utf-8"?>
<formControlPr xmlns="http://schemas.microsoft.com/office/spreadsheetml/2009/9/main" objectType="CheckBox" fmlaLink="$W$67" lockText="1" noThreeD="1"/>
</file>

<file path=xl/ctrlProps/ctrlProp66.xml><?xml version="1.0" encoding="utf-8"?>
<formControlPr xmlns="http://schemas.microsoft.com/office/spreadsheetml/2009/9/main" objectType="CheckBox" fmlaLink="$X$67" lockText="1" noThreeD="1"/>
</file>

<file path=xl/ctrlProps/ctrlProp67.xml><?xml version="1.0" encoding="utf-8"?>
<formControlPr xmlns="http://schemas.microsoft.com/office/spreadsheetml/2009/9/main" objectType="CheckBox" fmlaLink="$W$69" lockText="1" noThreeD="1"/>
</file>

<file path=xl/ctrlProps/ctrlProp68.xml><?xml version="1.0" encoding="utf-8"?>
<formControlPr xmlns="http://schemas.microsoft.com/office/spreadsheetml/2009/9/main" objectType="CheckBox" fmlaLink="$X$69" lockText="1" noThreeD="1"/>
</file>

<file path=xl/ctrlProps/ctrlProp69.xml><?xml version="1.0" encoding="utf-8"?>
<formControlPr xmlns="http://schemas.microsoft.com/office/spreadsheetml/2009/9/main" objectType="CheckBox" fmlaLink="$W$41" lockText="1" noThreeD="1"/>
</file>

<file path=xl/ctrlProps/ctrlProp70.xml><?xml version="1.0" encoding="utf-8"?>
<formControlPr xmlns="http://schemas.microsoft.com/office/spreadsheetml/2009/9/main" objectType="CheckBox" fmlaLink="$W$45" lockText="1" noThreeD="1"/>
</file>

<file path=xl/ctrlProps/ctrlProp71.xml><?xml version="1.0" encoding="utf-8"?>
<formControlPr xmlns="http://schemas.microsoft.com/office/spreadsheetml/2009/9/main" objectType="CheckBox" fmlaLink="$X$45" lockText="1" noThreeD="1"/>
</file>

<file path=xl/ctrlProps/ctrlProp72.xml><?xml version="1.0" encoding="utf-8"?>
<formControlPr xmlns="http://schemas.microsoft.com/office/spreadsheetml/2009/9/main" objectType="CheckBox" fmlaLink="$W$54" lockText="1" noThreeD="1"/>
</file>

<file path=xl/ctrlProps/ctrlProp73.xml><?xml version="1.0" encoding="utf-8"?>
<formControlPr xmlns="http://schemas.microsoft.com/office/spreadsheetml/2009/9/main" objectType="CheckBox" fmlaLink="$W$55" lockText="1" noThreeD="1"/>
</file>

<file path=xl/ctrlProps/ctrlProp74.xml><?xml version="1.0" encoding="utf-8"?>
<formControlPr xmlns="http://schemas.microsoft.com/office/spreadsheetml/2009/9/main" objectType="CheckBox" fmlaLink="$X$61" lockText="1" noThreeD="1"/>
</file>

<file path=xl/ctrlProps/ctrlProp75.xml><?xml version="1.0" encoding="utf-8"?>
<formControlPr xmlns="http://schemas.microsoft.com/office/spreadsheetml/2009/9/main" objectType="CheckBox" checked="Checked" fmlaLink="$W$63" lockText="1" noThreeD="1"/>
</file>

<file path=xl/ctrlProps/ctrlProp76.xml><?xml version="1.0" encoding="utf-8"?>
<formControlPr xmlns="http://schemas.microsoft.com/office/spreadsheetml/2009/9/main" objectType="Label" fmlaTxbx="Texte!A402" lockText="1"/>
</file>

<file path=xl/ctrlProps/ctrlProp77.xml><?xml version="1.0" encoding="utf-8"?>
<formControlPr xmlns="http://schemas.microsoft.com/office/spreadsheetml/2009/9/main" objectType="CheckBox" fmlaLink="$W$70" lockText="1" noThreeD="1"/>
</file>

<file path=xl/ctrlProps/ctrlProp78.xml><?xml version="1.0" encoding="utf-8"?>
<formControlPr xmlns="http://schemas.microsoft.com/office/spreadsheetml/2009/9/main" objectType="CheckBox" fmlaLink="$W$31" lockText="1" noThreeD="1"/>
</file>

<file path=xl/ctrlProps/ctrlProp79.xml><?xml version="1.0" encoding="utf-8"?>
<formControlPr xmlns="http://schemas.microsoft.com/office/spreadsheetml/2009/9/main" objectType="CheckBox" fmlaLink="$X$31" lockText="1" noThreeD="1"/>
</file>

<file path=xl/ctrlProps/ctrlProp80.xml><?xml version="1.0" encoding="utf-8"?>
<formControlPr xmlns="http://schemas.microsoft.com/office/spreadsheetml/2009/9/main" objectType="CheckBox" fmlaLink="$X$33" lockText="1" noThreeD="1"/>
</file>

<file path=xl/ctrlProps/ctrlProp81.xml><?xml version="1.0" encoding="utf-8"?>
<formControlPr xmlns="http://schemas.microsoft.com/office/spreadsheetml/2009/9/main" objectType="CheckBox" fmlaLink="$X$36" lockText="1" noThreeD="1"/>
</file>

<file path=xl/ctrlProps/ctrlProp82.xml><?xml version="1.0" encoding="utf-8"?>
<formControlPr xmlns="http://schemas.microsoft.com/office/spreadsheetml/2009/9/main" objectType="CheckBox" fmlaLink="$X$60" lockText="1" noThreeD="1"/>
</file>

<file path=xl/ctrlProps/ctrlProp83.xml><?xml version="1.0" encoding="utf-8"?>
<formControlPr xmlns="http://schemas.microsoft.com/office/spreadsheetml/2009/9/main" objectType="CheckBox" fmlaLink="$W$20" lockText="1" noThreeD="1"/>
</file>

<file path=xl/ctrlProps/ctrlProp84.xml><?xml version="1.0" encoding="utf-8"?>
<formControlPr xmlns="http://schemas.microsoft.com/office/spreadsheetml/2009/9/main" objectType="CheckBox" fmlaLink="$X$20" lockText="1" noThreeD="1"/>
</file>

<file path=xl/ctrlProps/ctrlProp85.xml><?xml version="1.0" encoding="utf-8"?>
<formControlPr xmlns="http://schemas.microsoft.com/office/spreadsheetml/2009/9/main" objectType="CheckBox" fmlaLink="$W$23" lockText="1" noThreeD="1"/>
</file>

<file path=xl/ctrlProps/ctrlProp86.xml><?xml version="1.0" encoding="utf-8"?>
<formControlPr xmlns="http://schemas.microsoft.com/office/spreadsheetml/2009/9/main" objectType="CheckBox" fmlaLink="$X$23" lockText="1" noThreeD="1"/>
</file>

<file path=xl/ctrlProps/ctrlProp87.xml><?xml version="1.0" encoding="utf-8"?>
<formControlPr xmlns="http://schemas.microsoft.com/office/spreadsheetml/2009/9/main" objectType="CheckBox" fmlaLink="$W$24" lockText="1" noThreeD="1"/>
</file>

<file path=xl/ctrlProps/ctrlProp88.xml><?xml version="1.0" encoding="utf-8"?>
<formControlPr xmlns="http://schemas.microsoft.com/office/spreadsheetml/2009/9/main" objectType="CheckBox" fmlaLink="$X$24" lockText="1" noThreeD="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W$38" lockText="1" noThreeD="1"/>
</file>

<file path=xl/ctrlProps/ctrlProp91.xml><?xml version="1.0" encoding="utf-8"?>
<formControlPr xmlns="http://schemas.microsoft.com/office/spreadsheetml/2009/9/main" objectType="CheckBox" fmlaLink="$W$71" lockText="1" noThreeD="1"/>
</file>

<file path=xl/ctrlProps/ctrlProp92.xml><?xml version="1.0" encoding="utf-8"?>
<formControlPr xmlns="http://schemas.microsoft.com/office/spreadsheetml/2009/9/main" objectType="CheckBox" fmlaLink="$X$71" lockText="1" noThreeD="1"/>
</file>

<file path=xl/ctrlProps/ctrlProp93.xml><?xml version="1.0" encoding="utf-8"?>
<formControlPr xmlns="http://schemas.microsoft.com/office/spreadsheetml/2009/9/main" objectType="CheckBox" fmlaLink="$X$70" lockText="1" noThreeD="1"/>
</file>

<file path=xl/ctrlProps/ctrlProp94.xml><?xml version="1.0" encoding="utf-8"?>
<formControlPr xmlns="http://schemas.microsoft.com/office/spreadsheetml/2009/9/main" objectType="CheckBox" fmlaLink="$W$11" lockText="1" noThreeD="1"/>
</file>

<file path=xl/ctrlProps/ctrlProp95.xml><?xml version="1.0" encoding="utf-8"?>
<formControlPr xmlns="http://schemas.microsoft.com/office/spreadsheetml/2009/9/main" objectType="CheckBox" fmlaLink="$W$13" lockText="1" noThreeD="1"/>
</file>

<file path=xl/ctrlProps/ctrlProp96.xml><?xml version="1.0" encoding="utf-8"?>
<formControlPr xmlns="http://schemas.microsoft.com/office/spreadsheetml/2009/9/main" objectType="CheckBox" fmlaLink="$X$13" lockText="1" noThreeD="1"/>
</file>

<file path=xl/ctrlProps/ctrlProp97.xml><?xml version="1.0" encoding="utf-8"?>
<formControlPr xmlns="http://schemas.microsoft.com/office/spreadsheetml/2009/9/main" objectType="CheckBox" fmlaLink="$W$78" lockText="1" noThreeD="1"/>
</file>

<file path=xl/ctrlProps/ctrlProp98.xml><?xml version="1.0" encoding="utf-8"?>
<formControlPr xmlns="http://schemas.microsoft.com/office/spreadsheetml/2009/9/main" objectType="CheckBox" fmlaLink="$W$79" lockText="1" noThreeD="1"/>
</file>

<file path=xl/ctrlProps/ctrlProp99.xml><?xml version="1.0" encoding="utf-8"?>
<formControlPr xmlns="http://schemas.microsoft.com/office/spreadsheetml/2009/9/main" objectType="CheckBox" fmlaLink="$X$78" lockText="1" noThreeD="1"/>
</file>

<file path=xl/ctrlProps/ctrlProp100.xml><?xml version="1.0" encoding="utf-8"?>
<formControlPr xmlns="http://schemas.microsoft.com/office/spreadsheetml/2009/9/main" objectType="CheckBox" fmlaLink="$X$79" lockText="1" noThreeD="1"/>
</file>

<file path=xl/ctrlProps/ctrlProp101.xml><?xml version="1.0" encoding="utf-8"?>
<formControlPr xmlns="http://schemas.microsoft.com/office/spreadsheetml/2009/9/main" objectType="CheckBox" fmlaLink="$W$19" lockText="1" noThreeD="1"/>
</file>

<file path=xl/ctrlProps/ctrlProp102.xml><?xml version="1.0" encoding="utf-8"?>
<formControlPr xmlns="http://schemas.microsoft.com/office/spreadsheetml/2009/9/main" objectType="CheckBox" fmlaLink="$X$19" lockText="1" noThreeD="1"/>
</file>

<file path=xl/ctrlProps/ctrlProp103.xml><?xml version="1.0" encoding="utf-8"?>
<formControlPr xmlns="http://schemas.microsoft.com/office/spreadsheetml/2009/9/main" objectType="CheckBox" fmlaLink="$W$21" lockText="1" noThreeD="1"/>
</file>

<file path=xl/ctrlProps/ctrlProp104.xml><?xml version="1.0" encoding="utf-8"?>
<formControlPr xmlns="http://schemas.microsoft.com/office/spreadsheetml/2009/9/main" objectType="CheckBox" fmlaLink="$X$21" lockText="1" noThreeD="1"/>
</file>

<file path=xl/ctrlProps/ctrlProp105.xml><?xml version="1.0" encoding="utf-8"?>
<formControlPr xmlns="http://schemas.microsoft.com/office/spreadsheetml/2009/9/main" objectType="CheckBox" fmlaLink="$W$22" lockText="1" noThreeD="1"/>
</file>

<file path=xl/ctrlProps/ctrlProp106.xml><?xml version="1.0" encoding="utf-8"?>
<formControlPr xmlns="http://schemas.microsoft.com/office/spreadsheetml/2009/9/main" objectType="CheckBox" fmlaLink="$X$22" lockText="1" noThreeD="1"/>
</file>

<file path=xl/ctrlProps/ctrlProp107.xml><?xml version="1.0" encoding="utf-8"?>
<formControlPr xmlns="http://schemas.microsoft.com/office/spreadsheetml/2009/9/main" objectType="CheckBox" fmlaLink="$W$28" lockText="1" noThreeD="1"/>
</file>

<file path=xl/ctrlProps/ctrlProp108.xml><?xml version="1.0" encoding="utf-8"?>
<formControlPr xmlns="http://schemas.microsoft.com/office/spreadsheetml/2009/9/main" objectType="CheckBox" fmlaLink="$X$28" lockText="1" noThreeD="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CheckBox" fmlaLink="D_Tierb!AH11" lockText="1" noThreeD="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CheckBox" fmlaLink="D_Tierb!AH9"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CheckBox" fmlaLink="$R$8" lockText="1" noThreeD="1"/>
</file>

<file path=xl/ctrlProps/ctrlProp129.xml><?xml version="1.0" encoding="utf-8"?>
<formControlPr xmlns="http://schemas.microsoft.com/office/spreadsheetml/2009/9/main" objectType="CheckBox" fmlaLink="$T$24" lockText="1" noThreeD="1"/>
</file>

<file path=xl/ctrlProps/ctrlProp130.xml><?xml version="1.0" encoding="utf-8"?>
<formControlPr xmlns="http://schemas.microsoft.com/office/spreadsheetml/2009/9/main" objectType="CheckBox" fmlaLink="$Y$11" lockText="1" noThreeD="1"/>
</file>

<file path=xl/ctrlProps/ctrlProp131.xml><?xml version="1.0" encoding="utf-8"?>
<formControlPr xmlns="http://schemas.microsoft.com/office/spreadsheetml/2009/9/main" objectType="CheckBox" fmlaLink="$Y$50" lockText="1" noThreeD="1"/>
</file>

<file path=xl/ctrlProps/ctrlProp132.xml><?xml version="1.0" encoding="utf-8"?>
<formControlPr xmlns="http://schemas.microsoft.com/office/spreadsheetml/2009/9/main" objectType="CheckBox" fmlaLink="D_Tierb!AH9" lockText="1" noThreeD="1"/>
</file>

<file path=xl/ctrlProps/ctrlProp133.xml><?xml version="1.0" encoding="utf-8"?>
<formControlPr xmlns="http://schemas.microsoft.com/office/spreadsheetml/2009/9/main" objectType="CheckBox" fmlaLink="D_Tierb!AH11" lockText="1" noThreeD="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CheckBox" fmlaLink="$Y$77" lockText="1" noThreeD="1"/>
</file>

<file path=xl/ctrlProps/ctrlProp138.xml><?xml version="1.0" encoding="utf-8"?>
<formControlPr xmlns="http://schemas.microsoft.com/office/spreadsheetml/2009/9/main" objectType="CheckBox" fmlaLink="$Z$115" lockText="1" noThreeD="1"/>
</file>

<file path=xl/ctrlProps/ctrlProp139.xml><?xml version="1.0" encoding="utf-8"?>
<formControlPr xmlns="http://schemas.microsoft.com/office/spreadsheetml/2009/9/main" objectType="CheckBox" fmlaLink="$Z$113" lockText="1" noThreeD="1"/>
</file>

<file path=xl/ctrlProps/ctrlProp140.xml><?xml version="1.0" encoding="utf-8"?>
<formControlPr xmlns="http://schemas.microsoft.com/office/spreadsheetml/2009/9/main" objectType="CheckBox" fmlaLink="$P$64" lockText="1" noThreeD="1"/>
</file>

<file path=xl/dialogsheets/_rels/sheet1.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42.bin"/></Relationships>
</file>

<file path=xl/dialogsheets/_rels/sheet2.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43.bin"/></Relationships>
</file>

<file path=xl/dialogsheets/_rels/sheet3.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44.bin"/></Relationships>
</file>

<file path=xl/dialogsheets/_rels/sheet4.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45.bin"/></Relationships>
</file>

<file path=xl/dialogsheets/_rels/sheet5.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46.bin"/></Relationships>
</file>

<file path=xl/dialogsheets/_rels/sheet6.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47.bin"/></Relationships>
</file>

<file path=xl/dialogsheets/_rels/sheet7.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48.bin"/></Relationships>
</file>

<file path=xl/dialogsheets/_rels/sheet8.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49.bin"/></Relationships>
</file>

<file path=xl/dialogsheets/_rels/sheet9.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50.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44</oddFooter>
  </headerFooter>
  <legacyDrawing r:id="rId2"/>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5.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6.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7.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8.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ageMargins left="0.78740157499999996" right="0.78740157499999996" top="0.98425196900000012" bottom="0.98425196900000012" header="0.49212598450000006" footer="0.49212598450000006"/>
  <pageSetup paperSize="9" orientation="portrait" horizontalDpi="300" verticalDpi="300" r:id="rId1"/>
  <headerFooter alignWithMargins="0">
    <oddHeader>&amp;C&amp;A</oddHeader>
    <oddFooter>&amp;CSeite &amp;P</oddFooter>
  </headerFooter>
  <legacyDrawing r:id="rId2"/>
</dialogsheet>
</file>

<file path=xl/dialogsheets/sheet9.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r:id="rId1"/>
  <headerFooter alignWithMargins="0">
    <oddFooter>&amp;L&amp;A&amp;CSeite &amp;P&amp;R&amp;F  &amp;D</oddFooter>
  </headerFooter>
  <legacyDrawing r:id="rId2"/>
</dialogsheet>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emf"/></Relationships>
</file>

<file path=xl/drawings/_rels/drawing1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2.xml.rels><?xml version="1.0" encoding="UTF-8" standalone="yes"?>
<Relationships xmlns="http://schemas.openxmlformats.org/package/2006/relationships"><Relationship Id="rId1" Type="http://schemas.openxmlformats.org/officeDocument/2006/relationships/image" Target="../media/image1.emf"/></Relationships>
</file>

<file path=xl/drawings/_rels/drawing13.xml.rels><?xml version="1.0" encoding="UTF-8" standalone="yes"?>
<Relationships xmlns="http://schemas.openxmlformats.org/package/2006/relationships"><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emf"/></Relationships>
</file>

<file path=xl/drawings/_rels/drawing16.xml.rels><?xml version="1.0" encoding="UTF-8" standalone="yes"?>
<Relationships xmlns="http://schemas.openxmlformats.org/package/2006/relationships"><Relationship Id="rId1" Type="http://schemas.openxmlformats.org/officeDocument/2006/relationships/image" Target="../media/image1.emf"/></Relationships>
</file>

<file path=xl/drawings/_rels/drawing17.xml.rels><?xml version="1.0" encoding="UTF-8" standalone="yes"?>
<Relationships xmlns="http://schemas.openxmlformats.org/package/2006/relationships"><Relationship Id="rId1" Type="http://schemas.openxmlformats.org/officeDocument/2006/relationships/image" Target="../media/image1.emf"/></Relationships>
</file>

<file path=xl/drawings/_rels/drawing18.xml.rels><?xml version="1.0" encoding="UTF-8" standalone="yes"?>
<Relationships xmlns="http://schemas.openxmlformats.org/package/2006/relationships"><Relationship Id="rId1" Type="http://schemas.openxmlformats.org/officeDocument/2006/relationships/image" Target="../media/image1.emf"/></Relationships>
</file>

<file path=xl/drawings/_rels/drawing19.xml.rels><?xml version="1.0" encoding="UTF-8" standalone="yes"?>
<Relationships xmlns="http://schemas.openxmlformats.org/package/2006/relationships"><Relationship Id="rId1" Type="http://schemas.openxmlformats.org/officeDocument/2006/relationships/image" Target="../media/image1.emf"/></Relationships>
</file>

<file path=xl/drawings/_rels/drawing20.xml.rels><?xml version="1.0" encoding="UTF-8" standalone="yes"?>
<Relationships xmlns="http://schemas.openxmlformats.org/package/2006/relationships"><Relationship Id="rId1" Type="http://schemas.openxmlformats.org/officeDocument/2006/relationships/image" Target="../media/image1.emf"/></Relationships>
</file>

<file path=xl/drawings/_rels/drawing2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2.xml.rels><?xml version="1.0" encoding="UTF-8" standalone="yes"?>
<Relationships xmlns="http://schemas.openxmlformats.org/package/2006/relationships"><Relationship Id="rId1" Type="http://schemas.openxmlformats.org/officeDocument/2006/relationships/image" Target="../media/image1.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emf"/></Relationships>
</file>

<file path=xl/drawings/_rels/drawing24.xml.rels><?xml version="1.0" encoding="UTF-8" standalone="yes"?>
<Relationships xmlns="http://schemas.openxmlformats.org/package/2006/relationships"><Relationship Id="rId1" Type="http://schemas.openxmlformats.org/officeDocument/2006/relationships/image" Target="../media/image1.emf"/></Relationships>
</file>

<file path=xl/drawings/_rels/drawing25.xml.rels><?xml version="1.0" encoding="UTF-8" standalone="yes"?>
<Relationships xmlns="http://schemas.openxmlformats.org/package/2006/relationships"><Relationship Id="rId1" Type="http://schemas.openxmlformats.org/officeDocument/2006/relationships/image" Target="../media/image1.emf"/></Relationships>
</file>

<file path=xl/drawings/_rels/drawing26.xml.rels><?xml version="1.0" encoding="UTF-8" standalone="yes"?>
<Relationships xmlns="http://schemas.openxmlformats.org/package/2006/relationships"><Relationship Id="rId1" Type="http://schemas.openxmlformats.org/officeDocument/2006/relationships/image" Target="../media/image1.emf"/></Relationships>
</file>

<file path=xl/drawings/_rels/drawing27.xml.rels><?xml version="1.0" encoding="UTF-8" standalone="yes"?>
<Relationships xmlns="http://schemas.openxmlformats.org/package/2006/relationships"><Relationship Id="rId1" Type="http://schemas.openxmlformats.org/officeDocument/2006/relationships/image" Target="../media/image1.emf"/></Relationships>
</file>

<file path=xl/drawings/_rels/drawing28.xml.rels><?xml version="1.0" encoding="UTF-8" standalone="yes"?>
<Relationships xmlns="http://schemas.openxmlformats.org/package/2006/relationships"><Relationship Id="rId1" Type="http://schemas.openxmlformats.org/officeDocument/2006/relationships/image" Target="../media/image1.emf"/></Relationships>
</file>

<file path=xl/drawings/_rels/drawing29.xml.rels><?xml version="1.0" encoding="UTF-8" standalone="yes"?>
<Relationships xmlns="http://schemas.openxmlformats.org/package/2006/relationships"><Relationship Id="rId1" Type="http://schemas.openxmlformats.org/officeDocument/2006/relationships/image" Target="../media/image1.emf"/></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2</xdr:col>
      <xdr:colOff>85725</xdr:colOff>
      <xdr:row>1</xdr:row>
      <xdr:rowOff>123825</xdr:rowOff>
    </xdr:to>
    <xdr:pic>
      <xdr:nvPicPr>
        <xdr:cNvPr id="1045" name="Logo">
          <a:extLst>
            <a:ext uri="{FF2B5EF4-FFF2-40B4-BE49-F238E27FC236}">
              <a16:creationId xmlns:a16="http://schemas.microsoft.com/office/drawing/2014/main" id="{00000000-0008-0000-0100-00001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1000125</xdr:colOff>
          <xdr:row>8</xdr:row>
          <xdr:rowOff>38100</xdr:rowOff>
        </xdr:from>
        <xdr:to>
          <xdr:col>10</xdr:col>
          <xdr:colOff>19050</xdr:colOff>
          <xdr:row>9</xdr:row>
          <xdr:rowOff>0</xdr:rowOff>
        </xdr:to>
        <xdr:sp macro="" textlink="">
          <xdr:nvSpPr>
            <xdr:cNvPr id="4160" name="lbl_ZvStand"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CH" sz="800" b="0" i="0" u="none" strike="noStrike" baseline="0">
                  <a:solidFill>
                    <a:srgbClr val="000000"/>
                  </a:solidFill>
                  <a:latin typeface="Segoe UI"/>
                  <a:cs typeface="Segoe UI"/>
                </a:rPr>
                <a:t>verheiratet </a:t>
              </a:r>
            </a:p>
          </xdr:txBody>
        </xdr:sp>
        <xdr:clientData/>
      </xdr:twoCellAnchor>
    </mc:Choice>
    <mc:Fallback/>
  </mc:AlternateContent>
  <xdr:twoCellAnchor editAs="oneCell">
    <xdr:from>
      <xdr:col>1</xdr:col>
      <xdr:colOff>0</xdr:colOff>
      <xdr:row>0</xdr:row>
      <xdr:rowOff>85725</xdr:rowOff>
    </xdr:from>
    <xdr:to>
      <xdr:col>1</xdr:col>
      <xdr:colOff>1428750</xdr:colOff>
      <xdr:row>0</xdr:row>
      <xdr:rowOff>514350</xdr:rowOff>
    </xdr:to>
    <xdr:pic>
      <xdr:nvPicPr>
        <xdr:cNvPr id="4322" name="Logo">
          <a:extLst>
            <a:ext uri="{FF2B5EF4-FFF2-40B4-BE49-F238E27FC236}">
              <a16:creationId xmlns:a16="http://schemas.microsoft.com/office/drawing/2014/main" id="{00000000-0008-0000-0400-0000E2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oneCellAnchor>
    <xdr:from>
      <xdr:col>2</xdr:col>
      <xdr:colOff>1085850</xdr:colOff>
      <xdr:row>1</xdr:row>
      <xdr:rowOff>0</xdr:rowOff>
    </xdr:from>
    <xdr:ext cx="676275" cy="247650"/>
    <xdr:sp macro="" textlink="Texte!A8">
      <xdr:nvSpPr>
        <xdr:cNvPr id="2" name="txtSprache">
          <a:extLst>
            <a:ext uri="{FF2B5EF4-FFF2-40B4-BE49-F238E27FC236}">
              <a16:creationId xmlns:a16="http://schemas.microsoft.com/office/drawing/2014/main" id="{00000000-0008-0000-0400-000002000000}"/>
            </a:ext>
          </a:extLst>
        </xdr:cNvPr>
        <xdr:cNvSpPr txBox="1">
          <a:spLocks noChangeArrowheads="1" noTextEdit="1"/>
        </xdr:cNvSpPr>
      </xdr:nvSpPr>
      <xdr:spPr bwMode="auto">
        <a:xfrm>
          <a:off x="2619375" y="533400"/>
          <a:ext cx="676275" cy="247650"/>
        </a:xfrm>
        <a:prstGeom prst="rect">
          <a:avLst/>
        </a:prstGeom>
        <a:solidFill>
          <a:srgbClr val="FFFFFF"/>
        </a:solidFill>
        <a:ln w="9525">
          <a:noFill/>
          <a:miter lim="800000"/>
          <a:headEnd/>
          <a:tailEnd/>
        </a:ln>
      </xdr:spPr>
      <xdr:txBody>
        <a:bodyPr vertOverflow="clip" wrap="square" lIns="27432" tIns="22860" rIns="0" bIns="0" anchor="ctr" anchorCtr="0" upright="1">
          <a:noAutofit/>
        </a:bodyPr>
        <a:lstStyle/>
        <a:p>
          <a:pPr algn="l" rtl="0">
            <a:defRPr sz="1000"/>
          </a:pPr>
          <a:fld id="{1665C977-6B81-4964-ADCB-B834CEFEC9CC}" type="TxLink">
            <a:rPr lang="de-DE" sz="1100" b="1" i="0" u="none" strike="noStrike" baseline="0">
              <a:solidFill>
                <a:srgbClr val="000000"/>
              </a:solidFill>
              <a:latin typeface="Arial"/>
              <a:cs typeface="Arial"/>
            </a:rPr>
            <a:pPr algn="l" rtl="0">
              <a:defRPr sz="1000"/>
            </a:pPr>
            <a:t>Sprache:</a:t>
          </a:fld>
          <a:endParaRPr lang="de-DE" sz="1100" b="1" i="0" u="none" strike="noStrike" baseline="0">
            <a:solidFill>
              <a:srgbClr val="000000"/>
            </a:solidFill>
            <a:latin typeface="Arial"/>
            <a:cs typeface="Arial"/>
          </a:endParaRPr>
        </a:p>
      </xdr:txBody>
    </xdr:sp>
    <xdr:clientData fPrintsWithSheet="0"/>
  </xdr:oneCellAnchor>
  <mc:AlternateContent xmlns:mc="http://schemas.openxmlformats.org/markup-compatibility/2006">
    <mc:Choice xmlns:a14="http://schemas.microsoft.com/office/drawing/2010/main" Requires="a14">
      <xdr:twoCellAnchor editAs="oneCell">
        <xdr:from>
          <xdr:col>1</xdr:col>
          <xdr:colOff>9525</xdr:colOff>
          <xdr:row>4</xdr:row>
          <xdr:rowOff>104775</xdr:rowOff>
        </xdr:from>
        <xdr:to>
          <xdr:col>2</xdr:col>
          <xdr:colOff>847725</xdr:colOff>
          <xdr:row>6</xdr:row>
          <xdr:rowOff>85725</xdr:rowOff>
        </xdr:to>
        <xdr:sp macro="" textlink="">
          <xdr:nvSpPr>
            <xdr:cNvPr id="4097" name="Butt Datenübernahm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Datenübernahme aus Feldbuch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0</xdr:row>
          <xdr:rowOff>114300</xdr:rowOff>
        </xdr:from>
        <xdr:to>
          <xdr:col>11</xdr:col>
          <xdr:colOff>590550</xdr:colOff>
          <xdr:row>0</xdr:row>
          <xdr:rowOff>495300</xdr:rowOff>
        </xdr:to>
        <xdr:sp macro="" textlink="">
          <xdr:nvSpPr>
            <xdr:cNvPr id="4098" name="Butt SucheFehler"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Auto-Korrektur von Eingabefehlern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1</xdr:row>
          <xdr:rowOff>47625</xdr:rowOff>
        </xdr:from>
        <xdr:to>
          <xdr:col>11</xdr:col>
          <xdr:colOff>590550</xdr:colOff>
          <xdr:row>2</xdr:row>
          <xdr:rowOff>142875</xdr:rowOff>
        </xdr:to>
        <xdr:sp macro="" textlink="">
          <xdr:nvSpPr>
            <xdr:cNvPr id="4102" name="Butt Aktualisieren"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Alle Blätter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1562100</xdr:colOff>
          <xdr:row>8</xdr:row>
          <xdr:rowOff>19050</xdr:rowOff>
        </xdr:from>
        <xdr:to>
          <xdr:col>10</xdr:col>
          <xdr:colOff>66675</xdr:colOff>
          <xdr:row>9</xdr:row>
          <xdr:rowOff>0</xdr:rowOff>
        </xdr:to>
        <xdr:sp macro="" textlink="">
          <xdr:nvSpPr>
            <xdr:cNvPr id="4159" name="chk_ZvStand"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xdr:row>
          <xdr:rowOff>19050</xdr:rowOff>
        </xdr:from>
        <xdr:to>
          <xdr:col>4</xdr:col>
          <xdr:colOff>981075</xdr:colOff>
          <xdr:row>1</xdr:row>
          <xdr:rowOff>257175</xdr:rowOff>
        </xdr:to>
        <xdr:sp macro="" textlink="">
          <xdr:nvSpPr>
            <xdr:cNvPr id="4225" name="cboSprache" hidden="1">
              <a:extLst>
                <a:ext uri="{63B3BB69-23CF-44E3-9099-C40C66FF867C}">
                  <a14:compatExt spid="_x0000_s4225"/>
                </a:ext>
                <a:ext uri="{FF2B5EF4-FFF2-40B4-BE49-F238E27FC236}">
                  <a16:creationId xmlns:a16="http://schemas.microsoft.com/office/drawing/2014/main" id="{00000000-0008-0000-02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1</xdr:col>
      <xdr:colOff>1428750</xdr:colOff>
      <xdr:row>0</xdr:row>
      <xdr:rowOff>514350</xdr:rowOff>
    </xdr:to>
    <xdr:pic>
      <xdr:nvPicPr>
        <xdr:cNvPr id="5276" name="Logo">
          <a:extLst>
            <a:ext uri="{FF2B5EF4-FFF2-40B4-BE49-F238E27FC236}">
              <a16:creationId xmlns:a16="http://schemas.microsoft.com/office/drawing/2014/main" id="{00000000-0008-0000-0500-00009C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xdr:col>
      <xdr:colOff>19050</xdr:colOff>
      <xdr:row>2</xdr:row>
      <xdr:rowOff>9525</xdr:rowOff>
    </xdr:from>
    <xdr:to>
      <xdr:col>3</xdr:col>
      <xdr:colOff>0</xdr:colOff>
      <xdr:row>2</xdr:row>
      <xdr:rowOff>142875</xdr:rowOff>
    </xdr:to>
    <xdr:pic>
      <xdr:nvPicPr>
        <xdr:cNvPr id="5280" name="img_Check" descr="Höggli _2_">
          <a:extLst>
            <a:ext uri="{FF2B5EF4-FFF2-40B4-BE49-F238E27FC236}">
              <a16:creationId xmlns:a16="http://schemas.microsoft.com/office/drawing/2014/main" id="{00000000-0008-0000-0500-0000A01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71675" y="628650"/>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1866900</xdr:colOff>
          <xdr:row>9</xdr:row>
          <xdr:rowOff>0</xdr:rowOff>
        </xdr:from>
        <xdr:to>
          <xdr:col>3</xdr:col>
          <xdr:colOff>123825</xdr:colOff>
          <xdr:row>10</xdr:row>
          <xdr:rowOff>38100</xdr:rowOff>
        </xdr:to>
        <xdr:sp macro="" textlink="">
          <xdr:nvSpPr>
            <xdr:cNvPr id="5126" name="chk_WW"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10</xdr:row>
          <xdr:rowOff>0</xdr:rowOff>
        </xdr:from>
        <xdr:to>
          <xdr:col>3</xdr:col>
          <xdr:colOff>123825</xdr:colOff>
          <xdr:row>11</xdr:row>
          <xdr:rowOff>38100</xdr:rowOff>
        </xdr:to>
        <xdr:sp macro="" textlink="">
          <xdr:nvSpPr>
            <xdr:cNvPr id="5127" name="chk_FW"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12</xdr:row>
          <xdr:rowOff>0</xdr:rowOff>
        </xdr:from>
        <xdr:to>
          <xdr:col>3</xdr:col>
          <xdr:colOff>123825</xdr:colOff>
          <xdr:row>13</xdr:row>
          <xdr:rowOff>38100</xdr:rowOff>
        </xdr:to>
        <xdr:sp macro="" textlink="">
          <xdr:nvSpPr>
            <xdr:cNvPr id="5128" name="chk_WG"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16</xdr:row>
          <xdr:rowOff>0</xdr:rowOff>
        </xdr:from>
        <xdr:to>
          <xdr:col>3</xdr:col>
          <xdr:colOff>123825</xdr:colOff>
          <xdr:row>17</xdr:row>
          <xdr:rowOff>38100</xdr:rowOff>
        </xdr:to>
        <xdr:sp macro="" textlink="">
          <xdr:nvSpPr>
            <xdr:cNvPr id="5129" name="chk_WRP"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17</xdr:row>
          <xdr:rowOff>0</xdr:rowOff>
        </xdr:from>
        <xdr:to>
          <xdr:col>3</xdr:col>
          <xdr:colOff>123825</xdr:colOff>
          <xdr:row>18</xdr:row>
          <xdr:rowOff>38100</xdr:rowOff>
        </xdr:to>
        <xdr:sp macro="" textlink="">
          <xdr:nvSpPr>
            <xdr:cNvPr id="5130" name="chk_WRH"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20</xdr:row>
          <xdr:rowOff>0</xdr:rowOff>
        </xdr:from>
        <xdr:to>
          <xdr:col>3</xdr:col>
          <xdr:colOff>123825</xdr:colOff>
          <xdr:row>21</xdr:row>
          <xdr:rowOff>38100</xdr:rowOff>
        </xdr:to>
        <xdr:sp macro="" textlink="">
          <xdr:nvSpPr>
            <xdr:cNvPr id="5131" name="chk_WT"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25</xdr:row>
          <xdr:rowOff>0</xdr:rowOff>
        </xdr:from>
        <xdr:to>
          <xdr:col>3</xdr:col>
          <xdr:colOff>123825</xdr:colOff>
          <xdr:row>26</xdr:row>
          <xdr:rowOff>38100</xdr:rowOff>
        </xdr:to>
        <xdr:sp macro="" textlink="">
          <xdr:nvSpPr>
            <xdr:cNvPr id="5132" name="chk_Ra_Oel"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47</xdr:row>
          <xdr:rowOff>0</xdr:rowOff>
        </xdr:from>
        <xdr:to>
          <xdr:col>3</xdr:col>
          <xdr:colOff>123825</xdr:colOff>
          <xdr:row>48</xdr:row>
          <xdr:rowOff>38100</xdr:rowOff>
        </xdr:to>
        <xdr:sp macro="" textlink="">
          <xdr:nvSpPr>
            <xdr:cNvPr id="5133" name="chk_Ra_RME"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161924</xdr:colOff>
      <xdr:row>68</xdr:row>
      <xdr:rowOff>1</xdr:rowOff>
    </xdr:from>
    <xdr:to>
      <xdr:col>15</xdr:col>
      <xdr:colOff>428623</xdr:colOff>
      <xdr:row>69</xdr:row>
      <xdr:rowOff>1</xdr:rowOff>
    </xdr:to>
    <xdr:sp macro="" textlink="Texte!A347">
      <xdr:nvSpPr>
        <xdr:cNvPr id="17" name="Text Anmerk_6">
          <a:extLst>
            <a:ext uri="{FF2B5EF4-FFF2-40B4-BE49-F238E27FC236}">
              <a16:creationId xmlns:a16="http://schemas.microsoft.com/office/drawing/2014/main" id="{00000000-0008-0000-0500-000011000000}"/>
            </a:ext>
          </a:extLst>
        </xdr:cNvPr>
        <xdr:cNvSpPr txBox="1">
          <a:spLocks noChangeArrowheads="1" noTextEdit="1"/>
        </xdr:cNvSpPr>
      </xdr:nvSpPr>
      <xdr:spPr bwMode="auto">
        <a:xfrm>
          <a:off x="4952999" y="13087351"/>
          <a:ext cx="3962399" cy="161925"/>
        </a:xfrm>
        <a:prstGeom prst="rect">
          <a:avLst/>
        </a:prstGeom>
        <a:noFill/>
        <a:ln w="1">
          <a:noFill/>
          <a:miter lim="800000"/>
          <a:headEnd/>
          <a:tailEnd/>
        </a:ln>
      </xdr:spPr>
      <xdr:txBody>
        <a:bodyPr vertOverflow="clip" wrap="square" lIns="27432" tIns="22860" rIns="0" bIns="0" anchor="t" upright="1"/>
        <a:lstStyle/>
        <a:p>
          <a:pPr algn="l" rtl="0">
            <a:defRPr sz="1000"/>
          </a:pPr>
          <a:fld id="{E152AB7B-760D-454C-9DEA-8F57C0E17231}" type="TxLink">
            <a:rPr lang="en-US" sz="900" b="0" i="0" u="none" strike="noStrike" baseline="0">
              <a:solidFill>
                <a:srgbClr val="000000"/>
              </a:solidFill>
              <a:latin typeface="Arial"/>
              <a:cs typeface="Arial"/>
            </a:rPr>
            <a:pPr algn="l" rtl="0">
              <a:defRPr sz="1000"/>
            </a:pPr>
            <a:t>Edelkastanien</a:t>
          </a:fld>
          <a:endParaRPr lang="de-CH" sz="900" b="0" i="0" u="none" strike="noStrike" baseline="0">
            <a:solidFill>
              <a:srgbClr val="000000"/>
            </a:solidFill>
            <a:latin typeface="Arial"/>
            <a:cs typeface="Arial"/>
          </a:endParaRPr>
        </a:p>
      </xdr:txBody>
    </xdr:sp>
    <xdr:clientData/>
  </xdr:twoCellAnchor>
  <xdr:twoCellAnchor>
    <xdr:from>
      <xdr:col>10</xdr:col>
      <xdr:colOff>161924</xdr:colOff>
      <xdr:row>66</xdr:row>
      <xdr:rowOff>0</xdr:rowOff>
    </xdr:from>
    <xdr:to>
      <xdr:col>15</xdr:col>
      <xdr:colOff>428623</xdr:colOff>
      <xdr:row>67</xdr:row>
      <xdr:rowOff>152400</xdr:rowOff>
    </xdr:to>
    <xdr:sp macro="" textlink="Texte!A242">
      <xdr:nvSpPr>
        <xdr:cNvPr id="3" name="Text Anmerk_5">
          <a:extLst>
            <a:ext uri="{FF2B5EF4-FFF2-40B4-BE49-F238E27FC236}">
              <a16:creationId xmlns:a16="http://schemas.microsoft.com/office/drawing/2014/main" id="{00000000-0008-0000-0500-000003000000}"/>
            </a:ext>
          </a:extLst>
        </xdr:cNvPr>
        <xdr:cNvSpPr txBox="1">
          <a:spLocks noChangeArrowheads="1" noTextEdit="1"/>
        </xdr:cNvSpPr>
      </xdr:nvSpPr>
      <xdr:spPr bwMode="auto">
        <a:xfrm>
          <a:off x="4952999" y="12753975"/>
          <a:ext cx="3962399" cy="314325"/>
        </a:xfrm>
        <a:prstGeom prst="rect">
          <a:avLst/>
        </a:prstGeom>
        <a:noFill/>
        <a:ln w="1">
          <a:noFill/>
          <a:miter lim="800000"/>
          <a:headEnd/>
          <a:tailEnd/>
        </a:ln>
      </xdr:spPr>
      <xdr:txBody>
        <a:bodyPr vertOverflow="clip" wrap="square" lIns="27432" tIns="22860" rIns="0" bIns="0" anchor="t" upright="1"/>
        <a:lstStyle/>
        <a:p>
          <a:pPr algn="l" rtl="0">
            <a:defRPr sz="1000"/>
          </a:pPr>
          <a:fld id="{CE45995F-3A27-4553-BB0D-625621ADDF2B}" type="TxLink">
            <a:rPr lang="en-US" sz="900" b="0" i="0" u="none" strike="noStrike" baseline="0">
              <a:solidFill>
                <a:srgbClr val="000000"/>
              </a:solidFill>
              <a:latin typeface="Arial"/>
              <a:cs typeface="Arial"/>
            </a:rPr>
            <a:pPr algn="l" rtl="0">
              <a:defRPr sz="1000"/>
            </a:pPr>
            <a:t>Erfassung der sortenspezifischem N-Düngung in den gelben Zellen im Blatt "D_Fläche".</a:t>
          </a:fld>
          <a:endParaRPr lang="de-CH" sz="900" b="0" i="0" u="none" strike="noStrike" baseline="0">
            <a:solidFill>
              <a:srgbClr val="000000"/>
            </a:solidFill>
            <a:latin typeface="Arial"/>
            <a:cs typeface="Arial"/>
          </a:endParaRPr>
        </a:p>
      </xdr:txBody>
    </xdr:sp>
    <xdr:clientData/>
  </xdr:twoCellAnchor>
  <xdr:twoCellAnchor>
    <xdr:from>
      <xdr:col>10</xdr:col>
      <xdr:colOff>161924</xdr:colOff>
      <xdr:row>63</xdr:row>
      <xdr:rowOff>66675</xdr:rowOff>
    </xdr:from>
    <xdr:to>
      <xdr:col>15</xdr:col>
      <xdr:colOff>438149</xdr:colOff>
      <xdr:row>65</xdr:row>
      <xdr:rowOff>152400</xdr:rowOff>
    </xdr:to>
    <xdr:sp macro="" textlink="Texte!A346">
      <xdr:nvSpPr>
        <xdr:cNvPr id="2" name="Text Anmerk_4">
          <a:extLst>
            <a:ext uri="{FF2B5EF4-FFF2-40B4-BE49-F238E27FC236}">
              <a16:creationId xmlns:a16="http://schemas.microsoft.com/office/drawing/2014/main" id="{00000000-0008-0000-0500-000002000000}"/>
            </a:ext>
          </a:extLst>
        </xdr:cNvPr>
        <xdr:cNvSpPr txBox="1">
          <a:spLocks noChangeArrowheads="1" noTextEdit="1"/>
        </xdr:cNvSpPr>
      </xdr:nvSpPr>
      <xdr:spPr bwMode="auto">
        <a:xfrm>
          <a:off x="4952999" y="12277725"/>
          <a:ext cx="3971925" cy="466725"/>
        </a:xfrm>
        <a:prstGeom prst="rect">
          <a:avLst/>
        </a:prstGeom>
        <a:noFill/>
        <a:ln w="1">
          <a:noFill/>
          <a:miter lim="800000"/>
          <a:headEnd/>
          <a:tailEnd/>
        </a:ln>
      </xdr:spPr>
      <xdr:txBody>
        <a:bodyPr vertOverflow="clip" wrap="square" lIns="27432" tIns="22860" rIns="0" bIns="0" anchor="t" upright="1"/>
        <a:lstStyle/>
        <a:p>
          <a:pPr algn="l" rtl="0">
            <a:defRPr sz="1000"/>
          </a:pPr>
          <a:fld id="{75350F5C-BAC5-4E6F-ACEA-71B98C1F0C8F}" type="TxLink">
            <a:rPr lang="de-DE" sz="900" b="0" i="0" u="none" strike="noStrike" baseline="0">
              <a:solidFill>
                <a:srgbClr val="000000"/>
              </a:solidFill>
              <a:latin typeface="Arial"/>
              <a:cs typeface="Arial"/>
            </a:rPr>
            <a:pPr algn="l" rtl="0">
              <a:defRPr sz="1000"/>
            </a:pPr>
            <a:t>Solche Flächen sind im Blatt "D_Fläche" mit ha-Ertrag in den entsprechenden gelben Zellen einzutragen und werden dann nur mit dem Standard-N-Bedarf in die Suisse-Bilanz übertragen!</a:t>
          </a:fld>
          <a:endParaRPr lang="de-DE" sz="900" b="0" i="0" u="none" strike="noStrike" baseline="0">
            <a:solidFill>
              <a:srgbClr val="000000"/>
            </a:solidFill>
            <a:latin typeface="Arial"/>
            <a:cs typeface="Arial"/>
          </a:endParaRPr>
        </a:p>
      </xdr:txBody>
    </xdr:sp>
    <xdr:clientData/>
  </xdr:twoCellAnchor>
  <xdr:twoCellAnchor>
    <xdr:from>
      <xdr:col>10</xdr:col>
      <xdr:colOff>161924</xdr:colOff>
      <xdr:row>61</xdr:row>
      <xdr:rowOff>180975</xdr:rowOff>
    </xdr:from>
    <xdr:to>
      <xdr:col>15</xdr:col>
      <xdr:colOff>438149</xdr:colOff>
      <xdr:row>63</xdr:row>
      <xdr:rowOff>123825</xdr:rowOff>
    </xdr:to>
    <xdr:sp macro="" textlink="Texte!A345">
      <xdr:nvSpPr>
        <xdr:cNvPr id="5138" name="Text Anmerk_3">
          <a:extLst>
            <a:ext uri="{FF2B5EF4-FFF2-40B4-BE49-F238E27FC236}">
              <a16:creationId xmlns:a16="http://schemas.microsoft.com/office/drawing/2014/main" id="{00000000-0008-0000-0500-000012140000}"/>
            </a:ext>
          </a:extLst>
        </xdr:cNvPr>
        <xdr:cNvSpPr txBox="1">
          <a:spLocks noChangeArrowheads="1" noTextEdit="1"/>
        </xdr:cNvSpPr>
      </xdr:nvSpPr>
      <xdr:spPr bwMode="auto">
        <a:xfrm>
          <a:off x="4952999" y="12011025"/>
          <a:ext cx="3971925" cy="323850"/>
        </a:xfrm>
        <a:prstGeom prst="rect">
          <a:avLst/>
        </a:prstGeom>
        <a:noFill/>
        <a:ln w="1">
          <a:noFill/>
          <a:miter lim="800000"/>
          <a:headEnd/>
          <a:tailEnd/>
        </a:ln>
      </xdr:spPr>
      <xdr:txBody>
        <a:bodyPr vertOverflow="clip" wrap="square" lIns="27432" tIns="22860" rIns="0" bIns="0" anchor="t" upright="1"/>
        <a:lstStyle/>
        <a:p>
          <a:pPr algn="l" rtl="0">
            <a:defRPr sz="1000"/>
          </a:pPr>
          <a:fld id="{3795421A-3C30-4CEA-941C-24ABE5B0964D}" type="TxLink">
            <a:rPr lang="de-CH" sz="900" b="0" i="0" u="none" strike="noStrike" baseline="0">
              <a:solidFill>
                <a:srgbClr val="000000"/>
              </a:solidFill>
              <a:latin typeface="Arial"/>
              <a:cs typeface="Arial"/>
            </a:rPr>
            <a:pPr algn="l" rtl="0">
              <a:defRPr sz="1000"/>
            </a:pPr>
            <a:t>Nicht möglich für Kulturen in Nitrat-Projektgebieten nach Art 62a Gewässerschutzgesetz.</a:t>
          </a:fld>
          <a:endParaRPr lang="de-CH" sz="900" b="0" i="0" u="none" strike="noStrike" baseline="0">
            <a:solidFill>
              <a:srgbClr val="000000"/>
            </a:solidFill>
            <a:latin typeface="Arial"/>
            <a:cs typeface="Arial"/>
          </a:endParaRPr>
        </a:p>
      </xdr:txBody>
    </xdr:sp>
    <xdr:clientData/>
  </xdr:twoCellAnchor>
  <xdr:twoCellAnchor>
    <xdr:from>
      <xdr:col>10</xdr:col>
      <xdr:colOff>0</xdr:colOff>
      <xdr:row>59</xdr:row>
      <xdr:rowOff>0</xdr:rowOff>
    </xdr:from>
    <xdr:to>
      <xdr:col>15</xdr:col>
      <xdr:colOff>438150</xdr:colOff>
      <xdr:row>62</xdr:row>
      <xdr:rowOff>85725</xdr:rowOff>
    </xdr:to>
    <xdr:sp macro="" textlink="Texte!A344">
      <xdr:nvSpPr>
        <xdr:cNvPr id="5199" name="Text Anmerk_2">
          <a:extLst>
            <a:ext uri="{FF2B5EF4-FFF2-40B4-BE49-F238E27FC236}">
              <a16:creationId xmlns:a16="http://schemas.microsoft.com/office/drawing/2014/main" id="{00000000-0008-0000-0500-00004F140000}"/>
            </a:ext>
          </a:extLst>
        </xdr:cNvPr>
        <xdr:cNvSpPr txBox="1">
          <a:spLocks noChangeArrowheads="1"/>
        </xdr:cNvSpPr>
      </xdr:nvSpPr>
      <xdr:spPr bwMode="auto">
        <a:xfrm>
          <a:off x="4791075" y="11449050"/>
          <a:ext cx="41338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fld id="{03D78B9D-D1E4-4A53-AB70-3A9B9FDC1728}" type="TxLink">
            <a:rPr lang="de-CH" sz="900" b="0" i="0" u="none" strike="noStrike" baseline="0">
              <a:solidFill>
                <a:srgbClr val="000000"/>
              </a:solidFill>
              <a:latin typeface="Arial"/>
              <a:cs typeface="Arial"/>
            </a:rPr>
            <a:pPr algn="l" rtl="0">
              <a:defRPr sz="1000"/>
            </a:pPr>
            <a:t>        Nährstoffbedarf  in den Blättern GEM1 oder GEM2 erfassen.                    
***)   Nährstoffbedarf  in den Blättern GEM1 oder GEM2 erfassen. 
****)  Nährstoffbedarf im Blatt OB erfassen
*****) Baumschulen, Ziersträucher, Ziergehölze, Zierstauden</a:t>
          </a:fld>
          <a:endParaRPr lang="de-CH" sz="900" b="0" i="0" u="none" strike="noStrike" baseline="0">
            <a:solidFill>
              <a:srgbClr val="000000"/>
            </a:solidFill>
            <a:latin typeface="Arial"/>
            <a:cs typeface="Arial"/>
          </a:endParaRPr>
        </a:p>
      </xdr:txBody>
    </xdr:sp>
    <xdr:clientData/>
  </xdr:twoCellAnchor>
  <xdr:twoCellAnchor>
    <xdr:from>
      <xdr:col>10</xdr:col>
      <xdr:colOff>9525</xdr:colOff>
      <xdr:row>56</xdr:row>
      <xdr:rowOff>19050</xdr:rowOff>
    </xdr:from>
    <xdr:to>
      <xdr:col>16</xdr:col>
      <xdr:colOff>28575</xdr:colOff>
      <xdr:row>59</xdr:row>
      <xdr:rowOff>76200</xdr:rowOff>
    </xdr:to>
    <xdr:sp macro="" textlink="Texte!A343">
      <xdr:nvSpPr>
        <xdr:cNvPr id="5189" name="Text Anmerk_1">
          <a:extLst>
            <a:ext uri="{FF2B5EF4-FFF2-40B4-BE49-F238E27FC236}">
              <a16:creationId xmlns:a16="http://schemas.microsoft.com/office/drawing/2014/main" id="{00000000-0008-0000-0500-000045140000}"/>
            </a:ext>
          </a:extLst>
        </xdr:cNvPr>
        <xdr:cNvSpPr txBox="1">
          <a:spLocks noChangeArrowheads="1"/>
        </xdr:cNvSpPr>
      </xdr:nvSpPr>
      <xdr:spPr bwMode="auto">
        <a:xfrm>
          <a:off x="4800600" y="10896600"/>
          <a:ext cx="4162425" cy="628650"/>
        </a:xfrm>
        <a:prstGeom prst="rect">
          <a:avLst/>
        </a:prstGeom>
        <a:noFill/>
        <a:ln w="1">
          <a:noFill/>
          <a:miter lim="800000"/>
          <a:headEnd/>
          <a:tailEnd/>
        </a:ln>
      </xdr:spPr>
      <xdr:txBody>
        <a:bodyPr vertOverflow="clip" wrap="square" lIns="27432" tIns="22860" rIns="0" bIns="0" anchor="t" upright="1"/>
        <a:lstStyle/>
        <a:p>
          <a:pPr algn="l" rtl="0">
            <a:defRPr sz="1000"/>
          </a:pPr>
          <a:fld id="{443137D1-A376-4A23-BBEE-DE70B3B87BE0}" type="TxLink">
            <a:rPr lang="de-DE" sz="900" b="0" i="0" u="none" strike="noStrike" baseline="0">
              <a:solidFill>
                <a:srgbClr val="000000"/>
              </a:solidFill>
              <a:latin typeface="Arial"/>
              <a:cs typeface="Arial"/>
            </a:rPr>
            <a:pPr algn="l" rtl="0">
              <a:defRPr sz="1000"/>
            </a:pPr>
            <a:t>S  =  Spezialkulturen
*)      Die Nummern beziehen sich auf Formular A
         der landw. Betriebsstrukturerhebung.
**)    Nur Hauptkulturenfläche erfassen, Rest unter Zweit-, Drittkulturen; </a:t>
          </a:fld>
          <a:endParaRPr lang="de-DE" sz="900" b="0" i="0" u="none" strike="noStrike" baseline="0">
            <a:solidFill>
              <a:srgbClr val="000000"/>
            </a:solidFill>
            <a:latin typeface="Arial"/>
            <a:cs typeface="Arial"/>
          </a:endParaRPr>
        </a:p>
      </xdr:txBody>
    </xdr:sp>
    <xdr:clientData/>
  </xdr:twoCellAnchor>
  <xdr:oneCellAnchor>
    <xdr:from>
      <xdr:col>1</xdr:col>
      <xdr:colOff>19049</xdr:colOff>
      <xdr:row>53</xdr:row>
      <xdr:rowOff>190499</xdr:rowOff>
    </xdr:from>
    <xdr:ext cx="2520000" cy="206467"/>
    <xdr:sp macro="" textlink="Texte!A348">
      <xdr:nvSpPr>
        <xdr:cNvPr id="18" name="Text Anmerk_6">
          <a:extLst>
            <a:ext uri="{FF2B5EF4-FFF2-40B4-BE49-F238E27FC236}">
              <a16:creationId xmlns:a16="http://schemas.microsoft.com/office/drawing/2014/main" id="{00000000-0008-0000-0500-000012000000}"/>
            </a:ext>
          </a:extLst>
        </xdr:cNvPr>
        <xdr:cNvSpPr txBox="1">
          <a:spLocks noChangeArrowheads="1" noTextEdit="1"/>
        </xdr:cNvSpPr>
      </xdr:nvSpPr>
      <xdr:spPr bwMode="auto">
        <a:xfrm>
          <a:off x="76199" y="10496549"/>
          <a:ext cx="2520000" cy="206467"/>
        </a:xfrm>
        <a:prstGeom prst="rect">
          <a:avLst/>
        </a:prstGeom>
        <a:noFill/>
        <a:ln w="1">
          <a:noFill/>
          <a:miter lim="800000"/>
          <a:headEnd/>
          <a:tailEnd/>
        </a:ln>
      </xdr:spPr>
      <xdr:txBody>
        <a:bodyPr vertOverflow="clip" wrap="square" lIns="0" tIns="0" rIns="0" bIns="0" anchor="t" upright="1">
          <a:noAutofit/>
        </a:bodyPr>
        <a:lstStyle/>
        <a:p>
          <a:pPr algn="l" rtl="0">
            <a:defRPr sz="1000"/>
          </a:pPr>
          <a:fld id="{BA19431A-96A1-494C-AE2A-43E618D182A7}" type="TxLink">
            <a:rPr lang="en-US" sz="700" b="0" i="0" u="none" strike="noStrike" baseline="0">
              <a:solidFill>
                <a:schemeClr val="tx1"/>
              </a:solidFill>
              <a:latin typeface="Arial"/>
              <a:cs typeface="Arial"/>
            </a:rPr>
            <a:pPr algn="l" rtl="0">
              <a:defRPr sz="1000"/>
            </a:pPr>
            <a:t>ACKERSCHONSTREIFEN werden neu direkt im Blatt "Kennz" erfasst.</a:t>
          </a:fld>
          <a:endParaRPr lang="de-CH" sz="700" b="0" i="0" u="none" strike="noStrike" baseline="0">
            <a:solidFill>
              <a:schemeClr val="tx1"/>
            </a:solidFill>
            <a:latin typeface="Arial"/>
            <a:cs typeface="Arial"/>
          </a:endParaRP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95250</xdr:colOff>
          <xdr:row>27</xdr:row>
          <xdr:rowOff>190500</xdr:rowOff>
        </xdr:from>
        <xdr:to>
          <xdr:col>20</xdr:col>
          <xdr:colOff>0</xdr:colOff>
          <xdr:row>29</xdr:row>
          <xdr:rowOff>9525</xdr:rowOff>
        </xdr:to>
        <xdr:sp macro="" textlink="">
          <xdr:nvSpPr>
            <xdr:cNvPr id="6302" name="chk_BT_172" hidden="1">
              <a:extLst>
                <a:ext uri="{63B3BB69-23CF-44E3-9099-C40C66FF867C}">
                  <a14:compatExt spid="_x0000_s6302"/>
                </a:ext>
                <a:ext uri="{FF2B5EF4-FFF2-40B4-BE49-F238E27FC236}">
                  <a16:creationId xmlns:a16="http://schemas.microsoft.com/office/drawing/2014/main" id="{00000000-0008-0000-0400-00009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27</xdr:row>
          <xdr:rowOff>190500</xdr:rowOff>
        </xdr:from>
        <xdr:to>
          <xdr:col>19</xdr:col>
          <xdr:colOff>0</xdr:colOff>
          <xdr:row>29</xdr:row>
          <xdr:rowOff>9525</xdr:rowOff>
        </xdr:to>
        <xdr:sp macro="" textlink="">
          <xdr:nvSpPr>
            <xdr:cNvPr id="6158" name="chk_RW_172"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59</xdr:col>
      <xdr:colOff>133350</xdr:colOff>
      <xdr:row>31</xdr:row>
      <xdr:rowOff>66675</xdr:rowOff>
    </xdr:from>
    <xdr:to>
      <xdr:col>75</xdr:col>
      <xdr:colOff>361950</xdr:colOff>
      <xdr:row>57</xdr:row>
      <xdr:rowOff>47625</xdr:rowOff>
    </xdr:to>
    <xdr:sp macro="" textlink="">
      <xdr:nvSpPr>
        <xdr:cNvPr id="6477" name="txt_RV_d">
          <a:extLst>
            <a:ext uri="{FF2B5EF4-FFF2-40B4-BE49-F238E27FC236}">
              <a16:creationId xmlns:a16="http://schemas.microsoft.com/office/drawing/2014/main" id="{00000000-0008-0000-0600-00004D190000}"/>
            </a:ext>
          </a:extLst>
        </xdr:cNvPr>
        <xdr:cNvSpPr txBox="1">
          <a:spLocks noChangeArrowheads="1"/>
        </xdr:cNvSpPr>
      </xdr:nvSpPr>
      <xdr:spPr bwMode="auto">
        <a:xfrm>
          <a:off x="31784925" y="5905500"/>
          <a:ext cx="7934325" cy="3981450"/>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algn="l" rtl="0">
            <a:defRPr sz="1000"/>
          </a:pPr>
          <a:r>
            <a:rPr lang="de-CH" sz="1400" b="1" i="0" u="none" strike="noStrike" baseline="0">
              <a:solidFill>
                <a:srgbClr val="FF0000"/>
              </a:solidFill>
              <a:latin typeface="Arial"/>
              <a:cs typeface="Arial"/>
            </a:rPr>
            <a:t>                                        </a:t>
          </a:r>
        </a:p>
        <a:p>
          <a:pPr algn="l" rtl="0">
            <a:defRPr sz="1000"/>
          </a:pPr>
          <a:r>
            <a:rPr lang="de-CH" sz="1400" b="1" i="0" u="none" strike="noStrike" baseline="0">
              <a:solidFill>
                <a:srgbClr val="FF0000"/>
              </a:solidFill>
              <a:latin typeface="Arial"/>
              <a:cs typeface="Arial"/>
            </a:rPr>
            <a:t>                                            Erfassung des Rindviehbestandes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Sie können den Rindviehbestand auf zwei Arten erfassen: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1. Direkt auf diesem Blatt.</a:t>
          </a:r>
        </a:p>
        <a:p>
          <a:pPr algn="l" rtl="0">
            <a:defRPr sz="1000"/>
          </a:pPr>
          <a:r>
            <a:rPr lang="de-CH" sz="1000" b="1" i="0" u="none" strike="noStrike" baseline="0">
              <a:solidFill>
                <a:srgbClr val="FF0000"/>
              </a:solidFill>
              <a:latin typeface="Arial"/>
              <a:cs typeface="Arial"/>
            </a:rPr>
            <a:t>Wenn Sie den Rindviehbestand auf diesem Blatt erfassen, stehen Ihnen keine Jungviehbilanz und kein Deckungsbeitrag                       "Milchvieh und Aufzucht" zur Verfügung. Für die Erfolgsrechnung müssen Sie die Deckungsbeiträge für jede einzelne           Rindviehkategorie separat eingeben.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2. Via Jungviehbilanz</a:t>
          </a:r>
        </a:p>
        <a:p>
          <a:pPr algn="l" rtl="0">
            <a:defRPr sz="1000"/>
          </a:pPr>
          <a:r>
            <a:rPr lang="de-CH" sz="1000" b="1" i="0" u="none" strike="noStrike" baseline="0">
              <a:solidFill>
                <a:srgbClr val="FF0000"/>
              </a:solidFill>
              <a:latin typeface="Arial"/>
              <a:cs typeface="Arial"/>
            </a:rPr>
            <a:t>Wenn Sie die Option "Rindviehbestand aus Jungviehbilanz übernehmen" wählen, müssen Sie vorerst eine Jungviehbilanz erstellen. Die Tierzahlen werden dabei automatisch in die Blätter "Tierbestand", "Milchbilanz" und "Deckungsbeitrag Milchvieh u. Aufzucht" übertragen, was das Erstellen der Erfolgsrechnung wesentlich erleichtert.</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Die hier gewählte Erfassungsoption ist definitiv und kann in dieser Planungsvariante nicht mehr geändert werden!</a:t>
          </a:r>
        </a:p>
      </xdr:txBody>
    </xdr:sp>
    <xdr:clientData/>
  </xdr:twoCellAnchor>
  <xdr:twoCellAnchor editAs="oneCell">
    <xdr:from>
      <xdr:col>1</xdr:col>
      <xdr:colOff>9525</xdr:colOff>
      <xdr:row>0</xdr:row>
      <xdr:rowOff>85725</xdr:rowOff>
    </xdr:from>
    <xdr:to>
      <xdr:col>2</xdr:col>
      <xdr:colOff>523875</xdr:colOff>
      <xdr:row>0</xdr:row>
      <xdr:rowOff>514350</xdr:rowOff>
    </xdr:to>
    <xdr:pic>
      <xdr:nvPicPr>
        <xdr:cNvPr id="6772" name="Logo">
          <a:extLst>
            <a:ext uri="{FF2B5EF4-FFF2-40B4-BE49-F238E27FC236}">
              <a16:creationId xmlns:a16="http://schemas.microsoft.com/office/drawing/2014/main" id="{00000000-0008-0000-0600-0000741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59</xdr:col>
      <xdr:colOff>104775</xdr:colOff>
      <xdr:row>60</xdr:row>
      <xdr:rowOff>190500</xdr:rowOff>
    </xdr:from>
    <xdr:to>
      <xdr:col>75</xdr:col>
      <xdr:colOff>333375</xdr:colOff>
      <xdr:row>84</xdr:row>
      <xdr:rowOff>123825</xdr:rowOff>
    </xdr:to>
    <xdr:sp macro="" textlink="">
      <xdr:nvSpPr>
        <xdr:cNvPr id="6479" name="txt_RV_f">
          <a:extLst>
            <a:ext uri="{FF2B5EF4-FFF2-40B4-BE49-F238E27FC236}">
              <a16:creationId xmlns:a16="http://schemas.microsoft.com/office/drawing/2014/main" id="{00000000-0008-0000-0600-00004F190000}"/>
            </a:ext>
          </a:extLst>
        </xdr:cNvPr>
        <xdr:cNvSpPr txBox="1">
          <a:spLocks noChangeArrowheads="1"/>
        </xdr:cNvSpPr>
      </xdr:nvSpPr>
      <xdr:spPr bwMode="auto">
        <a:xfrm>
          <a:off x="31756350" y="10629900"/>
          <a:ext cx="7934325" cy="3981450"/>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algn="l" rtl="0">
            <a:defRPr sz="1000"/>
          </a:pPr>
          <a:r>
            <a:rPr lang="de-CH" sz="1400" b="1" i="0" u="none" strike="noStrike" baseline="0">
              <a:solidFill>
                <a:srgbClr val="FF0000"/>
              </a:solidFill>
              <a:latin typeface="Arial"/>
              <a:cs typeface="Arial"/>
            </a:rPr>
            <a:t>                                        </a:t>
          </a:r>
        </a:p>
        <a:p>
          <a:pPr algn="l" rtl="0">
            <a:defRPr sz="1000"/>
          </a:pPr>
          <a:r>
            <a:rPr lang="de-CH" sz="1400" b="1" i="0" u="none" strike="noStrike" baseline="0">
              <a:solidFill>
                <a:srgbClr val="FF0000"/>
              </a:solidFill>
              <a:latin typeface="Arial"/>
              <a:cs typeface="Arial"/>
            </a:rPr>
            <a:t>                                            Saisie des bovins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Vous pouvez saisir les bovins de deux manières: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1. Directement sur cette feuille.</a:t>
          </a:r>
        </a:p>
        <a:p>
          <a:pPr algn="l" rtl="0">
            <a:defRPr sz="1000"/>
          </a:pPr>
          <a:r>
            <a:rPr lang="de-CH" sz="1000" b="1" i="0" u="none" strike="noStrike" baseline="0">
              <a:solidFill>
                <a:srgbClr val="FF0000"/>
              </a:solidFill>
              <a:latin typeface="Arial"/>
              <a:cs typeface="Arial"/>
            </a:rPr>
            <a:t>Si vous saisissez les bovins directement sur cette feuille, vous ne disposerez pas du "bilan jeunes bovins" et du calcul de la "marge brute vaches laitières et remonte". Vous devrez également saisir séparèment les marges brutes de chaque catégoire de bovins dans le compte d'exploitation.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2. Par l'intermédiaire du bilan jeunes bovins.</a:t>
          </a:r>
        </a:p>
        <a:p>
          <a:pPr algn="l" rtl="0">
            <a:defRPr sz="1000"/>
          </a:pPr>
          <a:r>
            <a:rPr lang="de-CH" sz="1000" b="1" i="0" u="none" strike="noStrike" baseline="0">
              <a:solidFill>
                <a:srgbClr val="FF0000"/>
              </a:solidFill>
              <a:latin typeface="Arial"/>
              <a:cs typeface="Arial"/>
            </a:rPr>
            <a:t>Si vous choisissez l'option "reprendre l'effectif bovins du bilan jeunes bovins", vous devez d'abord élaborer un bilan jeunes bovins. Les nombres d'animaux sont alors reportés automatiquement dans les feuilles "Animaux", "Bilan lait", et "Marge brute vaches laitières et remonte", ceci facilite beaucoup la construction du compte d'exploitation.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L'option de saisie choisie ici est définitive et ne peut plus être changée dans cette variante de planification!</a:t>
          </a:r>
        </a:p>
      </xdr:txBody>
    </xdr:sp>
    <xdr:clientData/>
  </xdr:twoCellAnchor>
  <xdr:twoCellAnchor>
    <xdr:from>
      <xdr:col>59</xdr:col>
      <xdr:colOff>114300</xdr:colOff>
      <xdr:row>88</xdr:row>
      <xdr:rowOff>9525</xdr:rowOff>
    </xdr:from>
    <xdr:to>
      <xdr:col>75</xdr:col>
      <xdr:colOff>342900</xdr:colOff>
      <xdr:row>112</xdr:row>
      <xdr:rowOff>66675</xdr:rowOff>
    </xdr:to>
    <xdr:sp macro="" textlink="">
      <xdr:nvSpPr>
        <xdr:cNvPr id="6309" name="txt_RV_i">
          <a:extLst>
            <a:ext uri="{FF2B5EF4-FFF2-40B4-BE49-F238E27FC236}">
              <a16:creationId xmlns:a16="http://schemas.microsoft.com/office/drawing/2014/main" id="{00000000-0008-0000-0600-0000A5180000}"/>
            </a:ext>
          </a:extLst>
        </xdr:cNvPr>
        <xdr:cNvSpPr txBox="1">
          <a:spLocks noChangeArrowheads="1"/>
        </xdr:cNvSpPr>
      </xdr:nvSpPr>
      <xdr:spPr bwMode="auto">
        <a:xfrm>
          <a:off x="31613475" y="10877550"/>
          <a:ext cx="7915275" cy="3419475"/>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rtl="0" eaLnBrk="1" fontAlgn="auto" latinLnBrk="0" hangingPunct="1"/>
          <a:endParaRPr lang="de-CH" sz="1400" b="1" i="0" u="none" strike="noStrike" baseline="0">
            <a:solidFill>
              <a:srgbClr val="FF0000"/>
            </a:solidFill>
            <a:latin typeface="Arial" panose="020B0604020202020204" pitchFamily="34" charset="0"/>
            <a:cs typeface="Arial" panose="020B0604020202020204" pitchFamily="34" charset="0"/>
          </a:endParaRPr>
        </a:p>
        <a:p>
          <a:pPr rtl="0" eaLnBrk="1" fontAlgn="auto" latinLnBrk="0" hangingPunct="1"/>
          <a:r>
            <a:rPr lang="de-CH" sz="1400" b="1" i="0" u="none" strike="noStrike" baseline="0">
              <a:solidFill>
                <a:srgbClr val="FF0000"/>
              </a:solidFill>
              <a:latin typeface="Arial" panose="020B0604020202020204" pitchFamily="34" charset="0"/>
              <a:cs typeface="Arial" panose="020B0604020202020204" pitchFamily="34" charset="0"/>
            </a:rPr>
            <a:t>                                        </a:t>
          </a:r>
          <a:r>
            <a:rPr lang="de-CH" sz="1100" b="1" i="0" baseline="0">
              <a:solidFill>
                <a:srgbClr val="FF0000"/>
              </a:solidFill>
              <a:effectLst/>
              <a:latin typeface="Arial" panose="020B0604020202020204" pitchFamily="34" charset="0"/>
              <a:ea typeface="+mn-ea"/>
              <a:cs typeface="Arial" panose="020B0604020202020204" pitchFamily="34" charset="0"/>
            </a:rPr>
            <a:t> </a:t>
          </a:r>
          <a:r>
            <a:rPr lang="de-CH" sz="1400" b="1" i="0" baseline="0">
              <a:solidFill>
                <a:srgbClr val="FF0000"/>
              </a:solidFill>
              <a:effectLst/>
              <a:latin typeface="Arial" panose="020B0604020202020204" pitchFamily="34" charset="0"/>
              <a:ea typeface="+mn-ea"/>
              <a:cs typeface="Arial" panose="020B0604020202020204" pitchFamily="34" charset="0"/>
            </a:rPr>
            <a:t>Inserire i bovini</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I bovini si possono inserire in due modi:</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1. Direttamente in questo foglio.</a:t>
          </a:r>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Se si inseriscono i bovini direttamente in questo foglio, non sarà più possibile utilizzare né il «Bilancio del bestiame (animali giovani)» né calcolare «l'utile lordo delle vacche da latte con la loro rimonta». Bisognerà, inoltre, inserire separatamente gli utili lordi di ogni categoria di bovini nel bilancio aziendale.</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2. Indirettamente, attraverso il Bilancio del bestiame (animali giovani).</a:t>
          </a:r>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Scegliendo l'opzione «Riprendi l'inventario dei bovini dal bilancio del bestiame», bisognerà prima creare il bilancio del bestiame. Il numero di animali verrà, quindi, riportato automaticamente nei fogli «Bestiame», «Latte» e «UL vacche da latte con rimonta», facilitando notevolmente la redazione del bilancio aziendale.</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r>
            <a:rPr lang="de-CH" sz="1000" b="1" i="0" baseline="0">
              <a:solidFill>
                <a:srgbClr val="FF0000"/>
              </a:solidFill>
              <a:effectLst/>
              <a:latin typeface="Arial" panose="020B0604020202020204" pitchFamily="34" charset="0"/>
              <a:ea typeface="+mn-ea"/>
              <a:cs typeface="Arial" panose="020B0604020202020204" pitchFamily="34" charset="0"/>
            </a:rPr>
            <a:t>Una volta scelto, il metodo d'inserimento è definitivo e non si può più cambiare in questa variante pianificatoria!   </a:t>
          </a:r>
          <a:endParaRPr lang="de-CH" sz="1000" b="1" i="0" u="none" strike="noStrike" baseline="0">
            <a:solidFill>
              <a:srgbClr val="FF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18</xdr:col>
          <xdr:colOff>104775</xdr:colOff>
          <xdr:row>7</xdr:row>
          <xdr:rowOff>180975</xdr:rowOff>
        </xdr:from>
        <xdr:to>
          <xdr:col>19</xdr:col>
          <xdr:colOff>0</xdr:colOff>
          <xdr:row>9</xdr:row>
          <xdr:rowOff>0</xdr:rowOff>
        </xdr:to>
        <xdr:sp macro="" textlink="">
          <xdr:nvSpPr>
            <xdr:cNvPr id="6147" name="chk_RW_100"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190500</xdr:rowOff>
        </xdr:from>
        <xdr:to>
          <xdr:col>19</xdr:col>
          <xdr:colOff>0</xdr:colOff>
          <xdr:row>10</xdr:row>
          <xdr:rowOff>9525</xdr:rowOff>
        </xdr:to>
        <xdr:sp macro="" textlink="">
          <xdr:nvSpPr>
            <xdr:cNvPr id="6148" name="chk_RW_10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10</xdr:row>
          <xdr:rowOff>190500</xdr:rowOff>
        </xdr:from>
        <xdr:to>
          <xdr:col>19</xdr:col>
          <xdr:colOff>0</xdr:colOff>
          <xdr:row>12</xdr:row>
          <xdr:rowOff>9525</xdr:rowOff>
        </xdr:to>
        <xdr:sp macro="" textlink="">
          <xdr:nvSpPr>
            <xdr:cNvPr id="6149" name="chk_RW_112"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190500</xdr:rowOff>
        </xdr:from>
        <xdr:to>
          <xdr:col>19</xdr:col>
          <xdr:colOff>0</xdr:colOff>
          <xdr:row>14</xdr:row>
          <xdr:rowOff>9525</xdr:rowOff>
        </xdr:to>
        <xdr:sp macro="" textlink="">
          <xdr:nvSpPr>
            <xdr:cNvPr id="6150" name="chk_RW_120"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13</xdr:row>
          <xdr:rowOff>190500</xdr:rowOff>
        </xdr:from>
        <xdr:to>
          <xdr:col>19</xdr:col>
          <xdr:colOff>0</xdr:colOff>
          <xdr:row>15</xdr:row>
          <xdr:rowOff>9525</xdr:rowOff>
        </xdr:to>
        <xdr:sp macro="" textlink="">
          <xdr:nvSpPr>
            <xdr:cNvPr id="6151" name="chk_RW_124"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14</xdr:row>
          <xdr:rowOff>190500</xdr:rowOff>
        </xdr:from>
        <xdr:to>
          <xdr:col>19</xdr:col>
          <xdr:colOff>0</xdr:colOff>
          <xdr:row>16</xdr:row>
          <xdr:rowOff>9525</xdr:rowOff>
        </xdr:to>
        <xdr:sp macro="" textlink="">
          <xdr:nvSpPr>
            <xdr:cNvPr id="6152" name="chk_RW_12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190500</xdr:rowOff>
        </xdr:from>
        <xdr:to>
          <xdr:col>19</xdr:col>
          <xdr:colOff>0</xdr:colOff>
          <xdr:row>17</xdr:row>
          <xdr:rowOff>9525</xdr:rowOff>
        </xdr:to>
        <xdr:sp macro="" textlink="">
          <xdr:nvSpPr>
            <xdr:cNvPr id="6153" name="chk_RW_132"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16</xdr:row>
          <xdr:rowOff>190500</xdr:rowOff>
        </xdr:from>
        <xdr:to>
          <xdr:col>19</xdr:col>
          <xdr:colOff>0</xdr:colOff>
          <xdr:row>18</xdr:row>
          <xdr:rowOff>9525</xdr:rowOff>
        </xdr:to>
        <xdr:sp macro="" textlink="">
          <xdr:nvSpPr>
            <xdr:cNvPr id="6154" name="chk_RW_134"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24</xdr:row>
          <xdr:rowOff>190500</xdr:rowOff>
        </xdr:from>
        <xdr:to>
          <xdr:col>19</xdr:col>
          <xdr:colOff>0</xdr:colOff>
          <xdr:row>27</xdr:row>
          <xdr:rowOff>9525</xdr:rowOff>
        </xdr:to>
        <xdr:sp macro="" textlink="">
          <xdr:nvSpPr>
            <xdr:cNvPr id="6155" name="chk_RW_156"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26</xdr:row>
          <xdr:rowOff>0</xdr:rowOff>
        </xdr:from>
        <xdr:to>
          <xdr:col>19</xdr:col>
          <xdr:colOff>0</xdr:colOff>
          <xdr:row>27</xdr:row>
          <xdr:rowOff>19050</xdr:rowOff>
        </xdr:to>
        <xdr:sp macro="" textlink="">
          <xdr:nvSpPr>
            <xdr:cNvPr id="6156" name="chk_RW_164"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29</xdr:row>
          <xdr:rowOff>0</xdr:rowOff>
        </xdr:from>
        <xdr:to>
          <xdr:col>19</xdr:col>
          <xdr:colOff>0</xdr:colOff>
          <xdr:row>30</xdr:row>
          <xdr:rowOff>19050</xdr:rowOff>
        </xdr:to>
        <xdr:sp macro="" textlink="">
          <xdr:nvSpPr>
            <xdr:cNvPr id="6160" name="chk_RW_180"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31</xdr:row>
          <xdr:rowOff>190500</xdr:rowOff>
        </xdr:from>
        <xdr:to>
          <xdr:col>19</xdr:col>
          <xdr:colOff>0</xdr:colOff>
          <xdr:row>33</xdr:row>
          <xdr:rowOff>9525</xdr:rowOff>
        </xdr:to>
        <xdr:sp macro="" textlink="">
          <xdr:nvSpPr>
            <xdr:cNvPr id="6161" name="chk_RW_220"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32</xdr:row>
          <xdr:rowOff>190500</xdr:rowOff>
        </xdr:from>
        <xdr:to>
          <xdr:col>19</xdr:col>
          <xdr:colOff>0</xdr:colOff>
          <xdr:row>34</xdr:row>
          <xdr:rowOff>9525</xdr:rowOff>
        </xdr:to>
        <xdr:sp macro="" textlink="">
          <xdr:nvSpPr>
            <xdr:cNvPr id="6162" name="chk_RW_230"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33</xdr:row>
          <xdr:rowOff>190500</xdr:rowOff>
        </xdr:from>
        <xdr:to>
          <xdr:col>19</xdr:col>
          <xdr:colOff>0</xdr:colOff>
          <xdr:row>35</xdr:row>
          <xdr:rowOff>9525</xdr:rowOff>
        </xdr:to>
        <xdr:sp macro="" textlink="">
          <xdr:nvSpPr>
            <xdr:cNvPr id="6163" name="chk_RW_240"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34</xdr:row>
          <xdr:rowOff>190500</xdr:rowOff>
        </xdr:from>
        <xdr:to>
          <xdr:col>19</xdr:col>
          <xdr:colOff>0</xdr:colOff>
          <xdr:row>36</xdr:row>
          <xdr:rowOff>9525</xdr:rowOff>
        </xdr:to>
        <xdr:sp macro="" textlink="">
          <xdr:nvSpPr>
            <xdr:cNvPr id="6164" name="chk_RW_250"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35</xdr:row>
          <xdr:rowOff>190500</xdr:rowOff>
        </xdr:from>
        <xdr:to>
          <xdr:col>19</xdr:col>
          <xdr:colOff>0</xdr:colOff>
          <xdr:row>37</xdr:row>
          <xdr:rowOff>9525</xdr:rowOff>
        </xdr:to>
        <xdr:sp macro="" textlink="">
          <xdr:nvSpPr>
            <xdr:cNvPr id="6165" name="chk_RW_260"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38</xdr:row>
          <xdr:rowOff>190500</xdr:rowOff>
        </xdr:from>
        <xdr:to>
          <xdr:col>19</xdr:col>
          <xdr:colOff>0</xdr:colOff>
          <xdr:row>40</xdr:row>
          <xdr:rowOff>9525</xdr:rowOff>
        </xdr:to>
        <xdr:sp macro="" textlink="">
          <xdr:nvSpPr>
            <xdr:cNvPr id="6167" name="chk_RW_300"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43</xdr:row>
          <xdr:rowOff>0</xdr:rowOff>
        </xdr:from>
        <xdr:to>
          <xdr:col>19</xdr:col>
          <xdr:colOff>0</xdr:colOff>
          <xdr:row>44</xdr:row>
          <xdr:rowOff>19050</xdr:rowOff>
        </xdr:to>
        <xdr:sp macro="" textlink="">
          <xdr:nvSpPr>
            <xdr:cNvPr id="6169" name="chk_RW_400"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51</xdr:row>
          <xdr:rowOff>0</xdr:rowOff>
        </xdr:from>
        <xdr:to>
          <xdr:col>19</xdr:col>
          <xdr:colOff>0</xdr:colOff>
          <xdr:row>52</xdr:row>
          <xdr:rowOff>19050</xdr:rowOff>
        </xdr:to>
        <xdr:sp macro="" textlink="">
          <xdr:nvSpPr>
            <xdr:cNvPr id="6170" name="chk_RW_500" hidden="1">
              <a:extLst>
                <a:ext uri="{63B3BB69-23CF-44E3-9099-C40C66FF867C}">
                  <a14:compatExt spid="_x0000_s6170"/>
                </a:ext>
                <a:ext uri="{FF2B5EF4-FFF2-40B4-BE49-F238E27FC236}">
                  <a16:creationId xmlns:a16="http://schemas.microsoft.com/office/drawing/2014/main" id="{00000000-0008-0000-0400-00001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51</xdr:row>
          <xdr:rowOff>190500</xdr:rowOff>
        </xdr:from>
        <xdr:to>
          <xdr:col>19</xdr:col>
          <xdr:colOff>0</xdr:colOff>
          <xdr:row>53</xdr:row>
          <xdr:rowOff>9525</xdr:rowOff>
        </xdr:to>
        <xdr:sp macro="" textlink="">
          <xdr:nvSpPr>
            <xdr:cNvPr id="6171" name="chk_RW_510" hidden="1">
              <a:extLst>
                <a:ext uri="{63B3BB69-23CF-44E3-9099-C40C66FF867C}">
                  <a14:compatExt spid="_x0000_s6171"/>
                </a:ext>
                <a:ext uri="{FF2B5EF4-FFF2-40B4-BE49-F238E27FC236}">
                  <a16:creationId xmlns:a16="http://schemas.microsoft.com/office/drawing/2014/main" id="{00000000-0008-0000-0400-00001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62</xdr:row>
          <xdr:rowOff>190500</xdr:rowOff>
        </xdr:from>
        <xdr:to>
          <xdr:col>19</xdr:col>
          <xdr:colOff>0</xdr:colOff>
          <xdr:row>64</xdr:row>
          <xdr:rowOff>9525</xdr:rowOff>
        </xdr:to>
        <xdr:sp macro="" textlink="">
          <xdr:nvSpPr>
            <xdr:cNvPr id="6173" name="chk_RW_600" hidden="1">
              <a:extLst>
                <a:ext uri="{63B3BB69-23CF-44E3-9099-C40C66FF867C}">
                  <a14:compatExt spid="_x0000_s6173"/>
                </a:ext>
                <a:ext uri="{FF2B5EF4-FFF2-40B4-BE49-F238E27FC236}">
                  <a16:creationId xmlns:a16="http://schemas.microsoft.com/office/drawing/2014/main" id="{00000000-0008-0000-04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63</xdr:row>
          <xdr:rowOff>190500</xdr:rowOff>
        </xdr:from>
        <xdr:to>
          <xdr:col>19</xdr:col>
          <xdr:colOff>0</xdr:colOff>
          <xdr:row>65</xdr:row>
          <xdr:rowOff>9525</xdr:rowOff>
        </xdr:to>
        <xdr:sp macro="" textlink="">
          <xdr:nvSpPr>
            <xdr:cNvPr id="6174" name="chk_RW_610" hidden="1">
              <a:extLst>
                <a:ext uri="{63B3BB69-23CF-44E3-9099-C40C66FF867C}">
                  <a14:compatExt spid="_x0000_s6174"/>
                </a:ext>
                <a:ext uri="{FF2B5EF4-FFF2-40B4-BE49-F238E27FC236}">
                  <a16:creationId xmlns:a16="http://schemas.microsoft.com/office/drawing/2014/main" id="{00000000-0008-0000-04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64</xdr:row>
          <xdr:rowOff>190500</xdr:rowOff>
        </xdr:from>
        <xdr:to>
          <xdr:col>19</xdr:col>
          <xdr:colOff>0</xdr:colOff>
          <xdr:row>66</xdr:row>
          <xdr:rowOff>9525</xdr:rowOff>
        </xdr:to>
        <xdr:sp macro="" textlink="">
          <xdr:nvSpPr>
            <xdr:cNvPr id="6176" name="chk_RW_620" hidden="1">
              <a:extLst>
                <a:ext uri="{63B3BB69-23CF-44E3-9099-C40C66FF867C}">
                  <a14:compatExt spid="_x0000_s6176"/>
                </a:ext>
                <a:ext uri="{FF2B5EF4-FFF2-40B4-BE49-F238E27FC236}">
                  <a16:creationId xmlns:a16="http://schemas.microsoft.com/office/drawing/2014/main" id="{00000000-0008-0000-04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71</xdr:row>
          <xdr:rowOff>190500</xdr:rowOff>
        </xdr:from>
        <xdr:to>
          <xdr:col>19</xdr:col>
          <xdr:colOff>0</xdr:colOff>
          <xdr:row>73</xdr:row>
          <xdr:rowOff>9525</xdr:rowOff>
        </xdr:to>
        <xdr:sp macro="" textlink="">
          <xdr:nvSpPr>
            <xdr:cNvPr id="6177" name="chk_RW_700" hidden="1">
              <a:extLst>
                <a:ext uri="{63B3BB69-23CF-44E3-9099-C40C66FF867C}">
                  <a14:compatExt spid="_x0000_s6177"/>
                </a:ext>
                <a:ext uri="{FF2B5EF4-FFF2-40B4-BE49-F238E27FC236}">
                  <a16:creationId xmlns:a16="http://schemas.microsoft.com/office/drawing/2014/main" id="{00000000-0008-0000-04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72</xdr:row>
          <xdr:rowOff>190500</xdr:rowOff>
        </xdr:from>
        <xdr:to>
          <xdr:col>19</xdr:col>
          <xdr:colOff>0</xdr:colOff>
          <xdr:row>74</xdr:row>
          <xdr:rowOff>9525</xdr:rowOff>
        </xdr:to>
        <xdr:sp macro="" textlink="">
          <xdr:nvSpPr>
            <xdr:cNvPr id="6178" name="chk_RW_710" hidden="1">
              <a:extLst>
                <a:ext uri="{63B3BB69-23CF-44E3-9099-C40C66FF867C}">
                  <a14:compatExt spid="_x0000_s6178"/>
                </a:ext>
                <a:ext uri="{FF2B5EF4-FFF2-40B4-BE49-F238E27FC236}">
                  <a16:creationId xmlns:a16="http://schemas.microsoft.com/office/drawing/2014/main" id="{00000000-0008-0000-04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73</xdr:row>
          <xdr:rowOff>190500</xdr:rowOff>
        </xdr:from>
        <xdr:to>
          <xdr:col>19</xdr:col>
          <xdr:colOff>0</xdr:colOff>
          <xdr:row>75</xdr:row>
          <xdr:rowOff>9525</xdr:rowOff>
        </xdr:to>
        <xdr:sp macro="" textlink="">
          <xdr:nvSpPr>
            <xdr:cNvPr id="6179" name="chk_RW_720" hidden="1">
              <a:extLst>
                <a:ext uri="{63B3BB69-23CF-44E3-9099-C40C66FF867C}">
                  <a14:compatExt spid="_x0000_s6179"/>
                </a:ext>
                <a:ext uri="{FF2B5EF4-FFF2-40B4-BE49-F238E27FC236}">
                  <a16:creationId xmlns:a16="http://schemas.microsoft.com/office/drawing/2014/main" id="{00000000-0008-0000-04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74</xdr:row>
          <xdr:rowOff>190500</xdr:rowOff>
        </xdr:from>
        <xdr:to>
          <xdr:col>19</xdr:col>
          <xdr:colOff>0</xdr:colOff>
          <xdr:row>76</xdr:row>
          <xdr:rowOff>9525</xdr:rowOff>
        </xdr:to>
        <xdr:sp macro="" textlink="">
          <xdr:nvSpPr>
            <xdr:cNvPr id="6180" name="chk_RW_730" hidden="1">
              <a:extLst>
                <a:ext uri="{63B3BB69-23CF-44E3-9099-C40C66FF867C}">
                  <a14:compatExt spid="_x0000_s6180"/>
                </a:ext>
                <a:ext uri="{FF2B5EF4-FFF2-40B4-BE49-F238E27FC236}">
                  <a16:creationId xmlns:a16="http://schemas.microsoft.com/office/drawing/2014/main" id="{00000000-0008-0000-04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75</xdr:row>
          <xdr:rowOff>190500</xdr:rowOff>
        </xdr:from>
        <xdr:to>
          <xdr:col>19</xdr:col>
          <xdr:colOff>0</xdr:colOff>
          <xdr:row>77</xdr:row>
          <xdr:rowOff>9525</xdr:rowOff>
        </xdr:to>
        <xdr:sp macro="" textlink="">
          <xdr:nvSpPr>
            <xdr:cNvPr id="6181" name="chk_RW_740" hidden="1">
              <a:extLst>
                <a:ext uri="{63B3BB69-23CF-44E3-9099-C40C66FF867C}">
                  <a14:compatExt spid="_x0000_s6181"/>
                </a:ext>
                <a:ext uri="{FF2B5EF4-FFF2-40B4-BE49-F238E27FC236}">
                  <a16:creationId xmlns:a16="http://schemas.microsoft.com/office/drawing/2014/main" id="{00000000-0008-0000-0400-00002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xdr:row>
          <xdr:rowOff>180975</xdr:rowOff>
        </xdr:from>
        <xdr:to>
          <xdr:col>20</xdr:col>
          <xdr:colOff>0</xdr:colOff>
          <xdr:row>9</xdr:row>
          <xdr:rowOff>0</xdr:rowOff>
        </xdr:to>
        <xdr:sp macro="" textlink="">
          <xdr:nvSpPr>
            <xdr:cNvPr id="6182" name="chk_BT_100" hidden="1">
              <a:extLst>
                <a:ext uri="{63B3BB69-23CF-44E3-9099-C40C66FF867C}">
                  <a14:compatExt spid="_x0000_s6182"/>
                </a:ext>
                <a:ext uri="{FF2B5EF4-FFF2-40B4-BE49-F238E27FC236}">
                  <a16:creationId xmlns:a16="http://schemas.microsoft.com/office/drawing/2014/main" id="{00000000-0008-0000-04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8</xdr:row>
          <xdr:rowOff>190500</xdr:rowOff>
        </xdr:from>
        <xdr:to>
          <xdr:col>20</xdr:col>
          <xdr:colOff>0</xdr:colOff>
          <xdr:row>10</xdr:row>
          <xdr:rowOff>9525</xdr:rowOff>
        </xdr:to>
        <xdr:sp macro="" textlink="">
          <xdr:nvSpPr>
            <xdr:cNvPr id="6183" name="chk_BT_104" hidden="1">
              <a:extLst>
                <a:ext uri="{63B3BB69-23CF-44E3-9099-C40C66FF867C}">
                  <a14:compatExt spid="_x0000_s6183"/>
                </a:ext>
                <a:ext uri="{FF2B5EF4-FFF2-40B4-BE49-F238E27FC236}">
                  <a16:creationId xmlns:a16="http://schemas.microsoft.com/office/drawing/2014/main" id="{00000000-0008-0000-04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10</xdr:row>
          <xdr:rowOff>190500</xdr:rowOff>
        </xdr:from>
        <xdr:to>
          <xdr:col>20</xdr:col>
          <xdr:colOff>0</xdr:colOff>
          <xdr:row>12</xdr:row>
          <xdr:rowOff>9525</xdr:rowOff>
        </xdr:to>
        <xdr:sp macro="" textlink="">
          <xdr:nvSpPr>
            <xdr:cNvPr id="6184" name="chk_BT_112" hidden="1">
              <a:extLst>
                <a:ext uri="{63B3BB69-23CF-44E3-9099-C40C66FF867C}">
                  <a14:compatExt spid="_x0000_s6184"/>
                </a:ext>
                <a:ext uri="{FF2B5EF4-FFF2-40B4-BE49-F238E27FC236}">
                  <a16:creationId xmlns:a16="http://schemas.microsoft.com/office/drawing/2014/main" id="{00000000-0008-0000-04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12</xdr:row>
          <xdr:rowOff>190500</xdr:rowOff>
        </xdr:from>
        <xdr:to>
          <xdr:col>20</xdr:col>
          <xdr:colOff>0</xdr:colOff>
          <xdr:row>14</xdr:row>
          <xdr:rowOff>9525</xdr:rowOff>
        </xdr:to>
        <xdr:sp macro="" textlink="">
          <xdr:nvSpPr>
            <xdr:cNvPr id="6185" name="chk_BT_120" hidden="1">
              <a:extLst>
                <a:ext uri="{63B3BB69-23CF-44E3-9099-C40C66FF867C}">
                  <a14:compatExt spid="_x0000_s6185"/>
                </a:ext>
                <a:ext uri="{FF2B5EF4-FFF2-40B4-BE49-F238E27FC236}">
                  <a16:creationId xmlns:a16="http://schemas.microsoft.com/office/drawing/2014/main" id="{00000000-0008-0000-04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13</xdr:row>
          <xdr:rowOff>190500</xdr:rowOff>
        </xdr:from>
        <xdr:to>
          <xdr:col>20</xdr:col>
          <xdr:colOff>0</xdr:colOff>
          <xdr:row>15</xdr:row>
          <xdr:rowOff>9525</xdr:rowOff>
        </xdr:to>
        <xdr:sp macro="" textlink="">
          <xdr:nvSpPr>
            <xdr:cNvPr id="6186" name="chk_BT_124" hidden="1">
              <a:extLst>
                <a:ext uri="{63B3BB69-23CF-44E3-9099-C40C66FF867C}">
                  <a14:compatExt spid="_x0000_s6186"/>
                </a:ext>
                <a:ext uri="{FF2B5EF4-FFF2-40B4-BE49-F238E27FC236}">
                  <a16:creationId xmlns:a16="http://schemas.microsoft.com/office/drawing/2014/main" id="{00000000-0008-0000-04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14</xdr:row>
          <xdr:rowOff>190500</xdr:rowOff>
        </xdr:from>
        <xdr:to>
          <xdr:col>20</xdr:col>
          <xdr:colOff>0</xdr:colOff>
          <xdr:row>16</xdr:row>
          <xdr:rowOff>9525</xdr:rowOff>
        </xdr:to>
        <xdr:sp macro="" textlink="">
          <xdr:nvSpPr>
            <xdr:cNvPr id="6187" name="chk_BT_128" hidden="1">
              <a:extLst>
                <a:ext uri="{63B3BB69-23CF-44E3-9099-C40C66FF867C}">
                  <a14:compatExt spid="_x0000_s6187"/>
                </a:ext>
                <a:ext uri="{FF2B5EF4-FFF2-40B4-BE49-F238E27FC236}">
                  <a16:creationId xmlns:a16="http://schemas.microsoft.com/office/drawing/2014/main" id="{00000000-0008-0000-04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15</xdr:row>
          <xdr:rowOff>190500</xdr:rowOff>
        </xdr:from>
        <xdr:to>
          <xdr:col>20</xdr:col>
          <xdr:colOff>0</xdr:colOff>
          <xdr:row>17</xdr:row>
          <xdr:rowOff>9525</xdr:rowOff>
        </xdr:to>
        <xdr:sp macro="" textlink="">
          <xdr:nvSpPr>
            <xdr:cNvPr id="6188" name="chk_BT_132" hidden="1">
              <a:extLst>
                <a:ext uri="{63B3BB69-23CF-44E3-9099-C40C66FF867C}">
                  <a14:compatExt spid="_x0000_s6188"/>
                </a:ext>
                <a:ext uri="{FF2B5EF4-FFF2-40B4-BE49-F238E27FC236}">
                  <a16:creationId xmlns:a16="http://schemas.microsoft.com/office/drawing/2014/main" id="{00000000-0008-0000-0400-00002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29</xdr:row>
          <xdr:rowOff>0</xdr:rowOff>
        </xdr:from>
        <xdr:to>
          <xdr:col>20</xdr:col>
          <xdr:colOff>0</xdr:colOff>
          <xdr:row>30</xdr:row>
          <xdr:rowOff>19050</xdr:rowOff>
        </xdr:to>
        <xdr:sp macro="" textlink="">
          <xdr:nvSpPr>
            <xdr:cNvPr id="6195" name="chk_BT_180" hidden="1">
              <a:extLst>
                <a:ext uri="{63B3BB69-23CF-44E3-9099-C40C66FF867C}">
                  <a14:compatExt spid="_x0000_s6195"/>
                </a:ext>
                <a:ext uri="{FF2B5EF4-FFF2-40B4-BE49-F238E27FC236}">
                  <a16:creationId xmlns:a16="http://schemas.microsoft.com/office/drawing/2014/main" id="{00000000-0008-0000-04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43</xdr:row>
          <xdr:rowOff>0</xdr:rowOff>
        </xdr:from>
        <xdr:to>
          <xdr:col>20</xdr:col>
          <xdr:colOff>0</xdr:colOff>
          <xdr:row>44</xdr:row>
          <xdr:rowOff>19050</xdr:rowOff>
        </xdr:to>
        <xdr:sp macro="" textlink="">
          <xdr:nvSpPr>
            <xdr:cNvPr id="6196" name="chk_BT_400" hidden="1">
              <a:extLst>
                <a:ext uri="{63B3BB69-23CF-44E3-9099-C40C66FF867C}">
                  <a14:compatExt spid="_x0000_s6196"/>
                </a:ext>
                <a:ext uri="{FF2B5EF4-FFF2-40B4-BE49-F238E27FC236}">
                  <a16:creationId xmlns:a16="http://schemas.microsoft.com/office/drawing/2014/main" id="{00000000-0008-0000-04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62</xdr:row>
          <xdr:rowOff>190500</xdr:rowOff>
        </xdr:from>
        <xdr:to>
          <xdr:col>20</xdr:col>
          <xdr:colOff>0</xdr:colOff>
          <xdr:row>64</xdr:row>
          <xdr:rowOff>9525</xdr:rowOff>
        </xdr:to>
        <xdr:sp macro="" textlink="">
          <xdr:nvSpPr>
            <xdr:cNvPr id="6197" name="chk_BT_600" hidden="1">
              <a:extLst>
                <a:ext uri="{63B3BB69-23CF-44E3-9099-C40C66FF867C}">
                  <a14:compatExt spid="_x0000_s6197"/>
                </a:ext>
                <a:ext uri="{FF2B5EF4-FFF2-40B4-BE49-F238E27FC236}">
                  <a16:creationId xmlns:a16="http://schemas.microsoft.com/office/drawing/2014/main" id="{00000000-0008-0000-0400-00003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63</xdr:row>
          <xdr:rowOff>190500</xdr:rowOff>
        </xdr:from>
        <xdr:to>
          <xdr:col>20</xdr:col>
          <xdr:colOff>0</xdr:colOff>
          <xdr:row>65</xdr:row>
          <xdr:rowOff>9525</xdr:rowOff>
        </xdr:to>
        <xdr:sp macro="" textlink="">
          <xdr:nvSpPr>
            <xdr:cNvPr id="6198" name="chk_BT_610" hidden="1">
              <a:extLst>
                <a:ext uri="{63B3BB69-23CF-44E3-9099-C40C66FF867C}">
                  <a14:compatExt spid="_x0000_s6198"/>
                </a:ext>
                <a:ext uri="{FF2B5EF4-FFF2-40B4-BE49-F238E27FC236}">
                  <a16:creationId xmlns:a16="http://schemas.microsoft.com/office/drawing/2014/main" id="{00000000-0008-0000-04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66</xdr:row>
          <xdr:rowOff>190500</xdr:rowOff>
        </xdr:from>
        <xdr:to>
          <xdr:col>20</xdr:col>
          <xdr:colOff>0</xdr:colOff>
          <xdr:row>68</xdr:row>
          <xdr:rowOff>9525</xdr:rowOff>
        </xdr:to>
        <xdr:sp macro="" textlink="">
          <xdr:nvSpPr>
            <xdr:cNvPr id="6199" name="chk_BT_640" hidden="1">
              <a:extLst>
                <a:ext uri="{63B3BB69-23CF-44E3-9099-C40C66FF867C}">
                  <a14:compatExt spid="_x0000_s6199"/>
                </a:ext>
                <a:ext uri="{FF2B5EF4-FFF2-40B4-BE49-F238E27FC236}">
                  <a16:creationId xmlns:a16="http://schemas.microsoft.com/office/drawing/2014/main" id="{00000000-0008-0000-0400-00003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64</xdr:row>
          <xdr:rowOff>190500</xdr:rowOff>
        </xdr:from>
        <xdr:to>
          <xdr:col>20</xdr:col>
          <xdr:colOff>0</xdr:colOff>
          <xdr:row>66</xdr:row>
          <xdr:rowOff>9525</xdr:rowOff>
        </xdr:to>
        <xdr:sp macro="" textlink="">
          <xdr:nvSpPr>
            <xdr:cNvPr id="6200" name="chk_BT_620" hidden="1">
              <a:extLst>
                <a:ext uri="{63B3BB69-23CF-44E3-9099-C40C66FF867C}">
                  <a14:compatExt spid="_x0000_s6200"/>
                </a:ext>
                <a:ext uri="{FF2B5EF4-FFF2-40B4-BE49-F238E27FC236}">
                  <a16:creationId xmlns:a16="http://schemas.microsoft.com/office/drawing/2014/main" id="{00000000-0008-0000-0400-00003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71</xdr:row>
          <xdr:rowOff>190500</xdr:rowOff>
        </xdr:from>
        <xdr:to>
          <xdr:col>20</xdr:col>
          <xdr:colOff>0</xdr:colOff>
          <xdr:row>73</xdr:row>
          <xdr:rowOff>9525</xdr:rowOff>
        </xdr:to>
        <xdr:sp macro="" textlink="">
          <xdr:nvSpPr>
            <xdr:cNvPr id="6201" name="chk_BT_700" hidden="1">
              <a:extLst>
                <a:ext uri="{63B3BB69-23CF-44E3-9099-C40C66FF867C}">
                  <a14:compatExt spid="_x0000_s6201"/>
                </a:ext>
                <a:ext uri="{FF2B5EF4-FFF2-40B4-BE49-F238E27FC236}">
                  <a16:creationId xmlns:a16="http://schemas.microsoft.com/office/drawing/2014/main" id="{00000000-0008-0000-0400-00003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72</xdr:row>
          <xdr:rowOff>190500</xdr:rowOff>
        </xdr:from>
        <xdr:to>
          <xdr:col>20</xdr:col>
          <xdr:colOff>0</xdr:colOff>
          <xdr:row>74</xdr:row>
          <xdr:rowOff>9525</xdr:rowOff>
        </xdr:to>
        <xdr:sp macro="" textlink="">
          <xdr:nvSpPr>
            <xdr:cNvPr id="6202" name="chk_BT_710" hidden="1">
              <a:extLst>
                <a:ext uri="{63B3BB69-23CF-44E3-9099-C40C66FF867C}">
                  <a14:compatExt spid="_x0000_s6202"/>
                </a:ext>
                <a:ext uri="{FF2B5EF4-FFF2-40B4-BE49-F238E27FC236}">
                  <a16:creationId xmlns:a16="http://schemas.microsoft.com/office/drawing/2014/main" id="{00000000-0008-0000-0400-00003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73</xdr:row>
          <xdr:rowOff>190500</xdr:rowOff>
        </xdr:from>
        <xdr:to>
          <xdr:col>20</xdr:col>
          <xdr:colOff>0</xdr:colOff>
          <xdr:row>75</xdr:row>
          <xdr:rowOff>9525</xdr:rowOff>
        </xdr:to>
        <xdr:sp macro="" textlink="">
          <xdr:nvSpPr>
            <xdr:cNvPr id="6203" name="chk_BT_720" hidden="1">
              <a:extLst>
                <a:ext uri="{63B3BB69-23CF-44E3-9099-C40C66FF867C}">
                  <a14:compatExt spid="_x0000_s6203"/>
                </a:ext>
                <a:ext uri="{FF2B5EF4-FFF2-40B4-BE49-F238E27FC236}">
                  <a16:creationId xmlns:a16="http://schemas.microsoft.com/office/drawing/2014/main" id="{00000000-0008-0000-0400-00003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74</xdr:row>
          <xdr:rowOff>190500</xdr:rowOff>
        </xdr:from>
        <xdr:to>
          <xdr:col>20</xdr:col>
          <xdr:colOff>0</xdr:colOff>
          <xdr:row>76</xdr:row>
          <xdr:rowOff>9525</xdr:rowOff>
        </xdr:to>
        <xdr:sp macro="" textlink="">
          <xdr:nvSpPr>
            <xdr:cNvPr id="6204" name="chk_BT_730" hidden="1">
              <a:extLst>
                <a:ext uri="{63B3BB69-23CF-44E3-9099-C40C66FF867C}">
                  <a14:compatExt spid="_x0000_s6204"/>
                </a:ext>
                <a:ext uri="{FF2B5EF4-FFF2-40B4-BE49-F238E27FC236}">
                  <a16:creationId xmlns:a16="http://schemas.microsoft.com/office/drawing/2014/main" id="{00000000-0008-0000-0400-00003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75</xdr:row>
          <xdr:rowOff>190500</xdr:rowOff>
        </xdr:from>
        <xdr:to>
          <xdr:col>20</xdr:col>
          <xdr:colOff>0</xdr:colOff>
          <xdr:row>77</xdr:row>
          <xdr:rowOff>9525</xdr:rowOff>
        </xdr:to>
        <xdr:sp macro="" textlink="">
          <xdr:nvSpPr>
            <xdr:cNvPr id="6205" name="chk_BT_740" hidden="1">
              <a:extLst>
                <a:ext uri="{63B3BB69-23CF-44E3-9099-C40C66FF867C}">
                  <a14:compatExt spid="_x0000_s6205"/>
                </a:ext>
                <a:ext uri="{FF2B5EF4-FFF2-40B4-BE49-F238E27FC236}">
                  <a16:creationId xmlns:a16="http://schemas.microsoft.com/office/drawing/2014/main" id="{00000000-0008-0000-0400-00003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24</xdr:row>
          <xdr:rowOff>0</xdr:rowOff>
        </xdr:from>
        <xdr:to>
          <xdr:col>19</xdr:col>
          <xdr:colOff>0</xdr:colOff>
          <xdr:row>26</xdr:row>
          <xdr:rowOff>19050</xdr:rowOff>
        </xdr:to>
        <xdr:sp macro="" textlink="">
          <xdr:nvSpPr>
            <xdr:cNvPr id="6206" name="chk_RW_7" hidden="1">
              <a:extLst>
                <a:ext uri="{63B3BB69-23CF-44E3-9099-C40C66FF867C}">
                  <a14:compatExt spid="_x0000_s6206"/>
                </a:ext>
                <a:ext uri="{FF2B5EF4-FFF2-40B4-BE49-F238E27FC236}">
                  <a16:creationId xmlns:a16="http://schemas.microsoft.com/office/drawing/2014/main" id="{00000000-0008-0000-0400-00003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66</xdr:row>
          <xdr:rowOff>180975</xdr:rowOff>
        </xdr:from>
        <xdr:to>
          <xdr:col>19</xdr:col>
          <xdr:colOff>0</xdr:colOff>
          <xdr:row>68</xdr:row>
          <xdr:rowOff>0</xdr:rowOff>
        </xdr:to>
        <xdr:sp macro="" textlink="">
          <xdr:nvSpPr>
            <xdr:cNvPr id="6214" name="chk_RW_640" hidden="1">
              <a:extLst>
                <a:ext uri="{63B3BB69-23CF-44E3-9099-C40C66FF867C}">
                  <a14:compatExt spid="_x0000_s6214"/>
                </a:ext>
                <a:ext uri="{FF2B5EF4-FFF2-40B4-BE49-F238E27FC236}">
                  <a16:creationId xmlns:a16="http://schemas.microsoft.com/office/drawing/2014/main" id="{00000000-0008-0000-0400-00004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65</xdr:row>
          <xdr:rowOff>180975</xdr:rowOff>
        </xdr:from>
        <xdr:to>
          <xdr:col>19</xdr:col>
          <xdr:colOff>0</xdr:colOff>
          <xdr:row>67</xdr:row>
          <xdr:rowOff>0</xdr:rowOff>
        </xdr:to>
        <xdr:sp macro="" textlink="">
          <xdr:nvSpPr>
            <xdr:cNvPr id="6215" name="chk_RW_630" hidden="1">
              <a:extLst>
                <a:ext uri="{63B3BB69-23CF-44E3-9099-C40C66FF867C}">
                  <a14:compatExt spid="_x0000_s6215"/>
                </a:ext>
                <a:ext uri="{FF2B5EF4-FFF2-40B4-BE49-F238E27FC236}">
                  <a16:creationId xmlns:a16="http://schemas.microsoft.com/office/drawing/2014/main" id="{00000000-0008-0000-0400-00004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65</xdr:row>
          <xdr:rowOff>190500</xdr:rowOff>
        </xdr:from>
        <xdr:to>
          <xdr:col>20</xdr:col>
          <xdr:colOff>0</xdr:colOff>
          <xdr:row>67</xdr:row>
          <xdr:rowOff>9525</xdr:rowOff>
        </xdr:to>
        <xdr:sp macro="" textlink="">
          <xdr:nvSpPr>
            <xdr:cNvPr id="6216" name="chk_BT_630" hidden="1">
              <a:extLst>
                <a:ext uri="{63B3BB69-23CF-44E3-9099-C40C66FF867C}">
                  <a14:compatExt spid="_x0000_s6216"/>
                </a:ext>
                <a:ext uri="{FF2B5EF4-FFF2-40B4-BE49-F238E27FC236}">
                  <a16:creationId xmlns:a16="http://schemas.microsoft.com/office/drawing/2014/main" id="{00000000-0008-0000-0400-00004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67</xdr:row>
          <xdr:rowOff>180975</xdr:rowOff>
        </xdr:from>
        <xdr:to>
          <xdr:col>19</xdr:col>
          <xdr:colOff>0</xdr:colOff>
          <xdr:row>69</xdr:row>
          <xdr:rowOff>0</xdr:rowOff>
        </xdr:to>
        <xdr:sp macro="" textlink="">
          <xdr:nvSpPr>
            <xdr:cNvPr id="6217" name="chk_RW_650" hidden="1">
              <a:extLst>
                <a:ext uri="{63B3BB69-23CF-44E3-9099-C40C66FF867C}">
                  <a14:compatExt spid="_x0000_s6217"/>
                </a:ext>
                <a:ext uri="{FF2B5EF4-FFF2-40B4-BE49-F238E27FC236}">
                  <a16:creationId xmlns:a16="http://schemas.microsoft.com/office/drawing/2014/main" id="{00000000-0008-0000-0400-00004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67</xdr:row>
          <xdr:rowOff>190500</xdr:rowOff>
        </xdr:from>
        <xdr:to>
          <xdr:col>20</xdr:col>
          <xdr:colOff>0</xdr:colOff>
          <xdr:row>69</xdr:row>
          <xdr:rowOff>9525</xdr:rowOff>
        </xdr:to>
        <xdr:sp macro="" textlink="">
          <xdr:nvSpPr>
            <xdr:cNvPr id="6218" name="chk_BT_650" hidden="1">
              <a:extLst>
                <a:ext uri="{63B3BB69-23CF-44E3-9099-C40C66FF867C}">
                  <a14:compatExt spid="_x0000_s6218"/>
                </a:ext>
                <a:ext uri="{FF2B5EF4-FFF2-40B4-BE49-F238E27FC236}">
                  <a16:creationId xmlns:a16="http://schemas.microsoft.com/office/drawing/2014/main" id="{00000000-0008-0000-0400-00004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40</xdr:row>
          <xdr:rowOff>0</xdr:rowOff>
        </xdr:from>
        <xdr:to>
          <xdr:col>19</xdr:col>
          <xdr:colOff>0</xdr:colOff>
          <xdr:row>41</xdr:row>
          <xdr:rowOff>19050</xdr:rowOff>
        </xdr:to>
        <xdr:sp macro="" textlink="">
          <xdr:nvSpPr>
            <xdr:cNvPr id="6219" name="chk_RW_310" hidden="1">
              <a:extLst>
                <a:ext uri="{63B3BB69-23CF-44E3-9099-C40C66FF867C}">
                  <a14:compatExt spid="_x0000_s6219"/>
                </a:ext>
                <a:ext uri="{FF2B5EF4-FFF2-40B4-BE49-F238E27FC236}">
                  <a16:creationId xmlns:a16="http://schemas.microsoft.com/office/drawing/2014/main" id="{00000000-0008-0000-0400-00004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43</xdr:row>
          <xdr:rowOff>190500</xdr:rowOff>
        </xdr:from>
        <xdr:to>
          <xdr:col>19</xdr:col>
          <xdr:colOff>0</xdr:colOff>
          <xdr:row>45</xdr:row>
          <xdr:rowOff>9525</xdr:rowOff>
        </xdr:to>
        <xdr:sp macro="" textlink="">
          <xdr:nvSpPr>
            <xdr:cNvPr id="6220" name="chk_RW_410" hidden="1">
              <a:extLst>
                <a:ext uri="{63B3BB69-23CF-44E3-9099-C40C66FF867C}">
                  <a14:compatExt spid="_x0000_s6220"/>
                </a:ext>
                <a:ext uri="{FF2B5EF4-FFF2-40B4-BE49-F238E27FC236}">
                  <a16:creationId xmlns:a16="http://schemas.microsoft.com/office/drawing/2014/main" id="{00000000-0008-0000-0400-00004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43</xdr:row>
          <xdr:rowOff>190500</xdr:rowOff>
        </xdr:from>
        <xdr:to>
          <xdr:col>20</xdr:col>
          <xdr:colOff>0</xdr:colOff>
          <xdr:row>45</xdr:row>
          <xdr:rowOff>9525</xdr:rowOff>
        </xdr:to>
        <xdr:sp macro="" textlink="">
          <xdr:nvSpPr>
            <xdr:cNvPr id="6221" name="chk_BT_410" hidden="1">
              <a:extLst>
                <a:ext uri="{63B3BB69-23CF-44E3-9099-C40C66FF867C}">
                  <a14:compatExt spid="_x0000_s6221"/>
                </a:ext>
                <a:ext uri="{FF2B5EF4-FFF2-40B4-BE49-F238E27FC236}">
                  <a16:creationId xmlns:a16="http://schemas.microsoft.com/office/drawing/2014/main" id="{00000000-0008-0000-0400-00004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53</xdr:row>
          <xdr:rowOff>0</xdr:rowOff>
        </xdr:from>
        <xdr:to>
          <xdr:col>19</xdr:col>
          <xdr:colOff>0</xdr:colOff>
          <xdr:row>54</xdr:row>
          <xdr:rowOff>19050</xdr:rowOff>
        </xdr:to>
        <xdr:sp macro="" textlink="">
          <xdr:nvSpPr>
            <xdr:cNvPr id="6222" name="chk_RW_520" hidden="1">
              <a:extLst>
                <a:ext uri="{63B3BB69-23CF-44E3-9099-C40C66FF867C}">
                  <a14:compatExt spid="_x0000_s6222"/>
                </a:ext>
                <a:ext uri="{FF2B5EF4-FFF2-40B4-BE49-F238E27FC236}">
                  <a16:creationId xmlns:a16="http://schemas.microsoft.com/office/drawing/2014/main" id="{00000000-0008-0000-0400-00004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53</xdr:row>
          <xdr:rowOff>190500</xdr:rowOff>
        </xdr:from>
        <xdr:to>
          <xdr:col>19</xdr:col>
          <xdr:colOff>0</xdr:colOff>
          <xdr:row>55</xdr:row>
          <xdr:rowOff>9525</xdr:rowOff>
        </xdr:to>
        <xdr:sp macro="" textlink="">
          <xdr:nvSpPr>
            <xdr:cNvPr id="6223" name="chk_RW_530" hidden="1">
              <a:extLst>
                <a:ext uri="{63B3BB69-23CF-44E3-9099-C40C66FF867C}">
                  <a14:compatExt spid="_x0000_s6223"/>
                </a:ext>
                <a:ext uri="{FF2B5EF4-FFF2-40B4-BE49-F238E27FC236}">
                  <a16:creationId xmlns:a16="http://schemas.microsoft.com/office/drawing/2014/main" id="{00000000-0008-0000-0400-00004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59</xdr:row>
          <xdr:rowOff>180975</xdr:rowOff>
        </xdr:from>
        <xdr:to>
          <xdr:col>20</xdr:col>
          <xdr:colOff>0</xdr:colOff>
          <xdr:row>61</xdr:row>
          <xdr:rowOff>0</xdr:rowOff>
        </xdr:to>
        <xdr:sp macro="" textlink="">
          <xdr:nvSpPr>
            <xdr:cNvPr id="6224" name="chk_BT_810" hidden="1">
              <a:extLst>
                <a:ext uri="{63B3BB69-23CF-44E3-9099-C40C66FF867C}">
                  <a14:compatExt spid="_x0000_s6224"/>
                </a:ext>
                <a:ext uri="{FF2B5EF4-FFF2-40B4-BE49-F238E27FC236}">
                  <a16:creationId xmlns:a16="http://schemas.microsoft.com/office/drawing/2014/main" id="{00000000-0008-0000-0400-00005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61</xdr:row>
          <xdr:rowOff>171450</xdr:rowOff>
        </xdr:from>
        <xdr:to>
          <xdr:col>7</xdr:col>
          <xdr:colOff>95250</xdr:colOff>
          <xdr:row>63</xdr:row>
          <xdr:rowOff>19050</xdr:rowOff>
        </xdr:to>
        <xdr:sp macro="" textlink="">
          <xdr:nvSpPr>
            <xdr:cNvPr id="6226" name="chk_Schweine" hidden="1">
              <a:extLst>
                <a:ext uri="{63B3BB69-23CF-44E3-9099-C40C66FF867C}">
                  <a14:compatExt spid="_x0000_s6226"/>
                </a:ext>
                <a:ext uri="{FF2B5EF4-FFF2-40B4-BE49-F238E27FC236}">
                  <a16:creationId xmlns:a16="http://schemas.microsoft.com/office/drawing/2014/main" id="{00000000-0008-0000-0400-00005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62</xdr:row>
          <xdr:rowOff>0</xdr:rowOff>
        </xdr:from>
        <xdr:to>
          <xdr:col>6</xdr:col>
          <xdr:colOff>142875</xdr:colOff>
          <xdr:row>62</xdr:row>
          <xdr:rowOff>152400</xdr:rowOff>
        </xdr:to>
        <xdr:sp macro="" textlink="">
          <xdr:nvSpPr>
            <xdr:cNvPr id="6227" name="Label 83" hidden="1">
              <a:extLst>
                <a:ext uri="{63B3BB69-23CF-44E3-9099-C40C66FF867C}">
                  <a14:compatExt spid="_x0000_s6227"/>
                </a:ext>
                <a:ext uri="{FF2B5EF4-FFF2-40B4-BE49-F238E27FC236}">
                  <a16:creationId xmlns:a16="http://schemas.microsoft.com/office/drawing/2014/main" id="{00000000-0008-0000-0400-00005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CH" sz="800" b="0" i="0" u="none" strike="noStrike" baseline="0">
                  <a:solidFill>
                    <a:srgbClr val="000000"/>
                  </a:solidFill>
                  <a:latin typeface="Segoe UI"/>
                  <a:cs typeface="Segoe UI"/>
                </a:rPr>
                <a:t>Zuchtschweine als kombinierte Einheit erfassen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68</xdr:row>
          <xdr:rowOff>190500</xdr:rowOff>
        </xdr:from>
        <xdr:to>
          <xdr:col>19</xdr:col>
          <xdr:colOff>0</xdr:colOff>
          <xdr:row>70</xdr:row>
          <xdr:rowOff>9525</xdr:rowOff>
        </xdr:to>
        <xdr:sp macro="" textlink="">
          <xdr:nvSpPr>
            <xdr:cNvPr id="6228" name="chk_RW_660" hidden="1">
              <a:extLst>
                <a:ext uri="{63B3BB69-23CF-44E3-9099-C40C66FF867C}">
                  <a14:compatExt spid="_x0000_s6228"/>
                </a:ext>
                <a:ext uri="{FF2B5EF4-FFF2-40B4-BE49-F238E27FC236}">
                  <a16:creationId xmlns:a16="http://schemas.microsoft.com/office/drawing/2014/main" id="{00000000-0008-0000-0400-00005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29</xdr:row>
          <xdr:rowOff>190500</xdr:rowOff>
        </xdr:from>
        <xdr:to>
          <xdr:col>19</xdr:col>
          <xdr:colOff>0</xdr:colOff>
          <xdr:row>31</xdr:row>
          <xdr:rowOff>9525</xdr:rowOff>
        </xdr:to>
        <xdr:sp macro="" textlink="">
          <xdr:nvSpPr>
            <xdr:cNvPr id="6250" name="chk_RW_184" hidden="1">
              <a:extLst>
                <a:ext uri="{63B3BB69-23CF-44E3-9099-C40C66FF867C}">
                  <a14:compatExt spid="_x0000_s6250"/>
                </a:ext>
                <a:ext uri="{FF2B5EF4-FFF2-40B4-BE49-F238E27FC236}">
                  <a16:creationId xmlns:a16="http://schemas.microsoft.com/office/drawing/2014/main" id="{00000000-0008-0000-0400-00006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29</xdr:row>
          <xdr:rowOff>190500</xdr:rowOff>
        </xdr:from>
        <xdr:to>
          <xdr:col>20</xdr:col>
          <xdr:colOff>0</xdr:colOff>
          <xdr:row>31</xdr:row>
          <xdr:rowOff>9525</xdr:rowOff>
        </xdr:to>
        <xdr:sp macro="" textlink="">
          <xdr:nvSpPr>
            <xdr:cNvPr id="6252" name="chk_BT_184" hidden="1">
              <a:extLst>
                <a:ext uri="{63B3BB69-23CF-44E3-9099-C40C66FF867C}">
                  <a14:compatExt spid="_x0000_s6252"/>
                </a:ext>
                <a:ext uri="{FF2B5EF4-FFF2-40B4-BE49-F238E27FC236}">
                  <a16:creationId xmlns:a16="http://schemas.microsoft.com/office/drawing/2014/main" id="{00000000-0008-0000-0400-00006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31</xdr:row>
          <xdr:rowOff>190500</xdr:rowOff>
        </xdr:from>
        <xdr:to>
          <xdr:col>20</xdr:col>
          <xdr:colOff>0</xdr:colOff>
          <xdr:row>33</xdr:row>
          <xdr:rowOff>9525</xdr:rowOff>
        </xdr:to>
        <xdr:sp macro="" textlink="">
          <xdr:nvSpPr>
            <xdr:cNvPr id="6294" name="chk_BT_220" hidden="1">
              <a:extLst>
                <a:ext uri="{63B3BB69-23CF-44E3-9099-C40C66FF867C}">
                  <a14:compatExt spid="_x0000_s6294"/>
                </a:ext>
                <a:ext uri="{FF2B5EF4-FFF2-40B4-BE49-F238E27FC236}">
                  <a16:creationId xmlns:a16="http://schemas.microsoft.com/office/drawing/2014/main" id="{00000000-0008-0000-0400-00009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35</xdr:row>
          <xdr:rowOff>0</xdr:rowOff>
        </xdr:from>
        <xdr:to>
          <xdr:col>20</xdr:col>
          <xdr:colOff>0</xdr:colOff>
          <xdr:row>36</xdr:row>
          <xdr:rowOff>19050</xdr:rowOff>
        </xdr:to>
        <xdr:sp macro="" textlink="">
          <xdr:nvSpPr>
            <xdr:cNvPr id="6304" name="chk_BT_250" hidden="1">
              <a:extLst>
                <a:ext uri="{63B3BB69-23CF-44E3-9099-C40C66FF867C}">
                  <a14:compatExt spid="_x0000_s6304"/>
                </a:ext>
                <a:ext uri="{FF2B5EF4-FFF2-40B4-BE49-F238E27FC236}">
                  <a16:creationId xmlns:a16="http://schemas.microsoft.com/office/drawing/2014/main" id="{00000000-0008-0000-0400-0000A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58</xdr:row>
          <xdr:rowOff>171450</xdr:rowOff>
        </xdr:from>
        <xdr:to>
          <xdr:col>20</xdr:col>
          <xdr:colOff>0</xdr:colOff>
          <xdr:row>59</xdr:row>
          <xdr:rowOff>190500</xdr:rowOff>
        </xdr:to>
        <xdr:sp macro="" textlink="">
          <xdr:nvSpPr>
            <xdr:cNvPr id="6408" name="chk_BT_800" hidden="1">
              <a:extLst>
                <a:ext uri="{63B3BB69-23CF-44E3-9099-C40C66FF867C}">
                  <a14:compatExt spid="_x0000_s6408"/>
                </a:ext>
                <a:ext uri="{FF2B5EF4-FFF2-40B4-BE49-F238E27FC236}">
                  <a16:creationId xmlns:a16="http://schemas.microsoft.com/office/drawing/2014/main" id="{00000000-0008-0000-0400-000008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18</xdr:row>
          <xdr:rowOff>180975</xdr:rowOff>
        </xdr:from>
        <xdr:to>
          <xdr:col>19</xdr:col>
          <xdr:colOff>0</xdr:colOff>
          <xdr:row>20</xdr:row>
          <xdr:rowOff>0</xdr:rowOff>
        </xdr:to>
        <xdr:sp macro="" textlink="">
          <xdr:nvSpPr>
            <xdr:cNvPr id="6426" name="chk_RW_137" hidden="1">
              <a:extLst>
                <a:ext uri="{63B3BB69-23CF-44E3-9099-C40C66FF867C}">
                  <a14:compatExt spid="_x0000_s6426"/>
                </a:ext>
                <a:ext uri="{FF2B5EF4-FFF2-40B4-BE49-F238E27FC236}">
                  <a16:creationId xmlns:a16="http://schemas.microsoft.com/office/drawing/2014/main" id="{00000000-0008-0000-0400-00001A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18</xdr:row>
          <xdr:rowOff>180975</xdr:rowOff>
        </xdr:from>
        <xdr:to>
          <xdr:col>20</xdr:col>
          <xdr:colOff>0</xdr:colOff>
          <xdr:row>20</xdr:row>
          <xdr:rowOff>0</xdr:rowOff>
        </xdr:to>
        <xdr:sp macro="" textlink="">
          <xdr:nvSpPr>
            <xdr:cNvPr id="6427" name="chk_BT_137" hidden="1">
              <a:extLst>
                <a:ext uri="{63B3BB69-23CF-44E3-9099-C40C66FF867C}">
                  <a14:compatExt spid="_x0000_s6427"/>
                </a:ext>
                <a:ext uri="{FF2B5EF4-FFF2-40B4-BE49-F238E27FC236}">
                  <a16:creationId xmlns:a16="http://schemas.microsoft.com/office/drawing/2014/main" id="{00000000-0008-0000-0400-00001B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21</xdr:row>
          <xdr:rowOff>180975</xdr:rowOff>
        </xdr:from>
        <xdr:to>
          <xdr:col>19</xdr:col>
          <xdr:colOff>0</xdr:colOff>
          <xdr:row>26</xdr:row>
          <xdr:rowOff>19050</xdr:rowOff>
        </xdr:to>
        <xdr:sp macro="" textlink="">
          <xdr:nvSpPr>
            <xdr:cNvPr id="6428" name="chk_RW_144" hidden="1">
              <a:extLst>
                <a:ext uri="{63B3BB69-23CF-44E3-9099-C40C66FF867C}">
                  <a14:compatExt spid="_x0000_s6428"/>
                </a:ext>
                <a:ext uri="{FF2B5EF4-FFF2-40B4-BE49-F238E27FC236}">
                  <a16:creationId xmlns:a16="http://schemas.microsoft.com/office/drawing/2014/main" id="{00000000-0008-0000-0400-00001C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21</xdr:row>
          <xdr:rowOff>190500</xdr:rowOff>
        </xdr:from>
        <xdr:to>
          <xdr:col>20</xdr:col>
          <xdr:colOff>0</xdr:colOff>
          <xdr:row>26</xdr:row>
          <xdr:rowOff>19050</xdr:rowOff>
        </xdr:to>
        <xdr:sp macro="" textlink="">
          <xdr:nvSpPr>
            <xdr:cNvPr id="6429" name="chk_BT_144" hidden="1">
              <a:extLst>
                <a:ext uri="{63B3BB69-23CF-44E3-9099-C40C66FF867C}">
                  <a14:compatExt spid="_x0000_s6429"/>
                </a:ext>
                <a:ext uri="{FF2B5EF4-FFF2-40B4-BE49-F238E27FC236}">
                  <a16:creationId xmlns:a16="http://schemas.microsoft.com/office/drawing/2014/main" id="{00000000-0008-0000-0400-00001D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22</xdr:row>
          <xdr:rowOff>190500</xdr:rowOff>
        </xdr:from>
        <xdr:to>
          <xdr:col>19</xdr:col>
          <xdr:colOff>0</xdr:colOff>
          <xdr:row>26</xdr:row>
          <xdr:rowOff>19050</xdr:rowOff>
        </xdr:to>
        <xdr:sp macro="" textlink="">
          <xdr:nvSpPr>
            <xdr:cNvPr id="6430" name="chk_RW_148" hidden="1">
              <a:extLst>
                <a:ext uri="{63B3BB69-23CF-44E3-9099-C40C66FF867C}">
                  <a14:compatExt spid="_x0000_s6430"/>
                </a:ext>
                <a:ext uri="{FF2B5EF4-FFF2-40B4-BE49-F238E27FC236}">
                  <a16:creationId xmlns:a16="http://schemas.microsoft.com/office/drawing/2014/main" id="{00000000-0008-0000-0400-00001E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22</xdr:row>
          <xdr:rowOff>190500</xdr:rowOff>
        </xdr:from>
        <xdr:to>
          <xdr:col>20</xdr:col>
          <xdr:colOff>0</xdr:colOff>
          <xdr:row>26</xdr:row>
          <xdr:rowOff>19050</xdr:rowOff>
        </xdr:to>
        <xdr:sp macro="" textlink="">
          <xdr:nvSpPr>
            <xdr:cNvPr id="6431" name="chk_BT_148" hidden="1">
              <a:extLst>
                <a:ext uri="{63B3BB69-23CF-44E3-9099-C40C66FF867C}">
                  <a14:compatExt spid="_x0000_s6431"/>
                </a:ext>
                <a:ext uri="{FF2B5EF4-FFF2-40B4-BE49-F238E27FC236}">
                  <a16:creationId xmlns:a16="http://schemas.microsoft.com/office/drawing/2014/main" id="{00000000-0008-0000-0400-00001F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57150</xdr:rowOff>
        </xdr:from>
        <xdr:to>
          <xdr:col>15</xdr:col>
          <xdr:colOff>276225</xdr:colOff>
          <xdr:row>1</xdr:row>
          <xdr:rowOff>85725</xdr:rowOff>
        </xdr:to>
        <xdr:sp macro="" textlink="">
          <xdr:nvSpPr>
            <xdr:cNvPr id="6445" name="cmdRinderkategorien" hidden="1">
              <a:extLst>
                <a:ext uri="{63B3BB69-23CF-44E3-9099-C40C66FF867C}">
                  <a14:compatExt spid="_x0000_s6445"/>
                </a:ext>
                <a:ext uri="{FF2B5EF4-FFF2-40B4-BE49-F238E27FC236}">
                  <a16:creationId xmlns:a16="http://schemas.microsoft.com/office/drawing/2014/main" id="{00000000-0008-0000-0400-00002D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GVE der Rinder und Wasserbüffel nach neuen Kategorien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36</xdr:row>
          <xdr:rowOff>171450</xdr:rowOff>
        </xdr:from>
        <xdr:to>
          <xdr:col>19</xdr:col>
          <xdr:colOff>0</xdr:colOff>
          <xdr:row>37</xdr:row>
          <xdr:rowOff>190500</xdr:rowOff>
        </xdr:to>
        <xdr:sp macro="" textlink="">
          <xdr:nvSpPr>
            <xdr:cNvPr id="6634" name="chk_RW_270" hidden="1">
              <a:extLst>
                <a:ext uri="{63B3BB69-23CF-44E3-9099-C40C66FF867C}">
                  <a14:compatExt spid="_x0000_s6634"/>
                </a:ext>
                <a:ext uri="{FF2B5EF4-FFF2-40B4-BE49-F238E27FC236}">
                  <a16:creationId xmlns:a16="http://schemas.microsoft.com/office/drawing/2014/main" id="{00000000-0008-0000-0400-0000EA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69</xdr:row>
          <xdr:rowOff>190500</xdr:rowOff>
        </xdr:from>
        <xdr:to>
          <xdr:col>19</xdr:col>
          <xdr:colOff>0</xdr:colOff>
          <xdr:row>71</xdr:row>
          <xdr:rowOff>9525</xdr:rowOff>
        </xdr:to>
        <xdr:sp macro="" textlink="">
          <xdr:nvSpPr>
            <xdr:cNvPr id="6643" name="chk_RW_670" hidden="1">
              <a:extLst>
                <a:ext uri="{63B3BB69-23CF-44E3-9099-C40C66FF867C}">
                  <a14:compatExt spid="_x0000_s6643"/>
                </a:ext>
                <a:ext uri="{FF2B5EF4-FFF2-40B4-BE49-F238E27FC236}">
                  <a16:creationId xmlns:a16="http://schemas.microsoft.com/office/drawing/2014/main" id="{00000000-0008-0000-0400-0000F3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69</xdr:row>
          <xdr:rowOff>190500</xdr:rowOff>
        </xdr:from>
        <xdr:to>
          <xdr:col>20</xdr:col>
          <xdr:colOff>0</xdr:colOff>
          <xdr:row>71</xdr:row>
          <xdr:rowOff>9525</xdr:rowOff>
        </xdr:to>
        <xdr:sp macro="" textlink="">
          <xdr:nvSpPr>
            <xdr:cNvPr id="6644" name="chk_BT_670" hidden="1">
              <a:extLst>
                <a:ext uri="{63B3BB69-23CF-44E3-9099-C40C66FF867C}">
                  <a14:compatExt spid="_x0000_s6644"/>
                </a:ext>
                <a:ext uri="{FF2B5EF4-FFF2-40B4-BE49-F238E27FC236}">
                  <a16:creationId xmlns:a16="http://schemas.microsoft.com/office/drawing/2014/main" id="{00000000-0008-0000-0400-0000F4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68</xdr:row>
          <xdr:rowOff>190500</xdr:rowOff>
        </xdr:from>
        <xdr:to>
          <xdr:col>20</xdr:col>
          <xdr:colOff>0</xdr:colOff>
          <xdr:row>70</xdr:row>
          <xdr:rowOff>9525</xdr:rowOff>
        </xdr:to>
        <xdr:sp macro="" textlink="">
          <xdr:nvSpPr>
            <xdr:cNvPr id="6646" name="chk_BT_660" hidden="1">
              <a:extLst>
                <a:ext uri="{63B3BB69-23CF-44E3-9099-C40C66FF867C}">
                  <a14:compatExt spid="_x0000_s6646"/>
                </a:ext>
                <a:ext uri="{FF2B5EF4-FFF2-40B4-BE49-F238E27FC236}">
                  <a16:creationId xmlns:a16="http://schemas.microsoft.com/office/drawing/2014/main" id="{00000000-0008-0000-0400-0000F6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9</xdr:row>
          <xdr:rowOff>180975</xdr:rowOff>
        </xdr:from>
        <xdr:to>
          <xdr:col>19</xdr:col>
          <xdr:colOff>0</xdr:colOff>
          <xdr:row>11</xdr:row>
          <xdr:rowOff>0</xdr:rowOff>
        </xdr:to>
        <xdr:sp macro="" textlink="">
          <xdr:nvSpPr>
            <xdr:cNvPr id="6708" name="chk_RW_108" hidden="1">
              <a:extLst>
                <a:ext uri="{63B3BB69-23CF-44E3-9099-C40C66FF867C}">
                  <a14:compatExt spid="_x0000_s6708"/>
                </a:ext>
                <a:ext uri="{FF2B5EF4-FFF2-40B4-BE49-F238E27FC236}">
                  <a16:creationId xmlns:a16="http://schemas.microsoft.com/office/drawing/2014/main" id="{00000000-0008-0000-0400-000034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11</xdr:row>
          <xdr:rowOff>190500</xdr:rowOff>
        </xdr:from>
        <xdr:to>
          <xdr:col>19</xdr:col>
          <xdr:colOff>0</xdr:colOff>
          <xdr:row>13</xdr:row>
          <xdr:rowOff>9525</xdr:rowOff>
        </xdr:to>
        <xdr:sp macro="" textlink="">
          <xdr:nvSpPr>
            <xdr:cNvPr id="6711" name="chk_RW_116" hidden="1">
              <a:extLst>
                <a:ext uri="{63B3BB69-23CF-44E3-9099-C40C66FF867C}">
                  <a14:compatExt spid="_x0000_s6711"/>
                </a:ext>
                <a:ext uri="{FF2B5EF4-FFF2-40B4-BE49-F238E27FC236}">
                  <a16:creationId xmlns:a16="http://schemas.microsoft.com/office/drawing/2014/main" id="{00000000-0008-0000-0400-000037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11</xdr:row>
          <xdr:rowOff>190500</xdr:rowOff>
        </xdr:from>
        <xdr:to>
          <xdr:col>20</xdr:col>
          <xdr:colOff>0</xdr:colOff>
          <xdr:row>13</xdr:row>
          <xdr:rowOff>9525</xdr:rowOff>
        </xdr:to>
        <xdr:sp macro="" textlink="">
          <xdr:nvSpPr>
            <xdr:cNvPr id="6712" name="chk_BT_116" hidden="1">
              <a:extLst>
                <a:ext uri="{63B3BB69-23CF-44E3-9099-C40C66FF867C}">
                  <a14:compatExt spid="_x0000_s6712"/>
                </a:ext>
                <a:ext uri="{FF2B5EF4-FFF2-40B4-BE49-F238E27FC236}">
                  <a16:creationId xmlns:a16="http://schemas.microsoft.com/office/drawing/2014/main" id="{00000000-0008-0000-0400-000038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77</xdr:row>
          <xdr:rowOff>0</xdr:rowOff>
        </xdr:from>
        <xdr:to>
          <xdr:col>19</xdr:col>
          <xdr:colOff>0</xdr:colOff>
          <xdr:row>78</xdr:row>
          <xdr:rowOff>19050</xdr:rowOff>
        </xdr:to>
        <xdr:sp macro="" textlink="">
          <xdr:nvSpPr>
            <xdr:cNvPr id="6713" name="chk_RW_740" hidden="1">
              <a:extLst>
                <a:ext uri="{63B3BB69-23CF-44E3-9099-C40C66FF867C}">
                  <a14:compatExt spid="_x0000_s6713"/>
                </a:ext>
                <a:ext uri="{FF2B5EF4-FFF2-40B4-BE49-F238E27FC236}">
                  <a16:creationId xmlns:a16="http://schemas.microsoft.com/office/drawing/2014/main" id="{00000000-0008-0000-0400-000039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77</xdr:row>
          <xdr:rowOff>190500</xdr:rowOff>
        </xdr:from>
        <xdr:to>
          <xdr:col>19</xdr:col>
          <xdr:colOff>0</xdr:colOff>
          <xdr:row>79</xdr:row>
          <xdr:rowOff>9525</xdr:rowOff>
        </xdr:to>
        <xdr:sp macro="" textlink="">
          <xdr:nvSpPr>
            <xdr:cNvPr id="6714" name="chk_RW_740" hidden="1">
              <a:extLst>
                <a:ext uri="{63B3BB69-23CF-44E3-9099-C40C66FF867C}">
                  <a14:compatExt spid="_x0000_s6714"/>
                </a:ext>
                <a:ext uri="{FF2B5EF4-FFF2-40B4-BE49-F238E27FC236}">
                  <a16:creationId xmlns:a16="http://schemas.microsoft.com/office/drawing/2014/main" id="{00000000-0008-0000-0400-00003A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76</xdr:row>
          <xdr:rowOff>190500</xdr:rowOff>
        </xdr:from>
        <xdr:to>
          <xdr:col>90</xdr:col>
          <xdr:colOff>9525</xdr:colOff>
          <xdr:row>78</xdr:row>
          <xdr:rowOff>9525</xdr:rowOff>
        </xdr:to>
        <xdr:sp macro="" textlink="">
          <xdr:nvSpPr>
            <xdr:cNvPr id="6715" name="chk_BT_740" hidden="1">
              <a:extLst>
                <a:ext uri="{63B3BB69-23CF-44E3-9099-C40C66FF867C}">
                  <a14:compatExt spid="_x0000_s6715"/>
                </a:ext>
                <a:ext uri="{FF2B5EF4-FFF2-40B4-BE49-F238E27FC236}">
                  <a16:creationId xmlns:a16="http://schemas.microsoft.com/office/drawing/2014/main" id="{00000000-0008-0000-0400-00003B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77</xdr:row>
          <xdr:rowOff>180975</xdr:rowOff>
        </xdr:from>
        <xdr:to>
          <xdr:col>20</xdr:col>
          <xdr:colOff>0</xdr:colOff>
          <xdr:row>79</xdr:row>
          <xdr:rowOff>0</xdr:rowOff>
        </xdr:to>
        <xdr:sp macro="" textlink="">
          <xdr:nvSpPr>
            <xdr:cNvPr id="6716" name="chk_BT_740" hidden="1">
              <a:extLst>
                <a:ext uri="{63B3BB69-23CF-44E3-9099-C40C66FF867C}">
                  <a14:compatExt spid="_x0000_s6716"/>
                </a:ext>
                <a:ext uri="{FF2B5EF4-FFF2-40B4-BE49-F238E27FC236}">
                  <a16:creationId xmlns:a16="http://schemas.microsoft.com/office/drawing/2014/main" id="{00000000-0008-0000-0400-00003C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17</xdr:row>
          <xdr:rowOff>190500</xdr:rowOff>
        </xdr:from>
        <xdr:to>
          <xdr:col>19</xdr:col>
          <xdr:colOff>0</xdr:colOff>
          <xdr:row>19</xdr:row>
          <xdr:rowOff>9525</xdr:rowOff>
        </xdr:to>
        <xdr:sp macro="" textlink="">
          <xdr:nvSpPr>
            <xdr:cNvPr id="6720" name="chk_RW_136" hidden="1">
              <a:extLst>
                <a:ext uri="{63B3BB69-23CF-44E3-9099-C40C66FF867C}">
                  <a14:compatExt spid="_x0000_s6720"/>
                </a:ext>
                <a:ext uri="{FF2B5EF4-FFF2-40B4-BE49-F238E27FC236}">
                  <a16:creationId xmlns:a16="http://schemas.microsoft.com/office/drawing/2014/main" id="{00000000-0008-0000-0400-000040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17</xdr:row>
          <xdr:rowOff>190500</xdr:rowOff>
        </xdr:from>
        <xdr:to>
          <xdr:col>20</xdr:col>
          <xdr:colOff>0</xdr:colOff>
          <xdr:row>19</xdr:row>
          <xdr:rowOff>9525</xdr:rowOff>
        </xdr:to>
        <xdr:sp macro="" textlink="">
          <xdr:nvSpPr>
            <xdr:cNvPr id="6721" name="chk_BT_136" hidden="1">
              <a:extLst>
                <a:ext uri="{63B3BB69-23CF-44E3-9099-C40C66FF867C}">
                  <a14:compatExt spid="_x0000_s6721"/>
                </a:ext>
                <a:ext uri="{FF2B5EF4-FFF2-40B4-BE49-F238E27FC236}">
                  <a16:creationId xmlns:a16="http://schemas.microsoft.com/office/drawing/2014/main" id="{00000000-0008-0000-0400-000041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20</xdr:row>
          <xdr:rowOff>0</xdr:rowOff>
        </xdr:from>
        <xdr:to>
          <xdr:col>19</xdr:col>
          <xdr:colOff>0</xdr:colOff>
          <xdr:row>24</xdr:row>
          <xdr:rowOff>19050</xdr:rowOff>
        </xdr:to>
        <xdr:sp macro="" textlink="">
          <xdr:nvSpPr>
            <xdr:cNvPr id="6725" name="chk_RW_138" hidden="1">
              <a:extLst>
                <a:ext uri="{63B3BB69-23CF-44E3-9099-C40C66FF867C}">
                  <a14:compatExt spid="_x0000_s6725"/>
                </a:ext>
                <a:ext uri="{FF2B5EF4-FFF2-40B4-BE49-F238E27FC236}">
                  <a16:creationId xmlns:a16="http://schemas.microsoft.com/office/drawing/2014/main" id="{00000000-0008-0000-0400-000045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20</xdr:row>
          <xdr:rowOff>0</xdr:rowOff>
        </xdr:from>
        <xdr:to>
          <xdr:col>20</xdr:col>
          <xdr:colOff>0</xdr:colOff>
          <xdr:row>24</xdr:row>
          <xdr:rowOff>19050</xdr:rowOff>
        </xdr:to>
        <xdr:sp macro="" textlink="">
          <xdr:nvSpPr>
            <xdr:cNvPr id="6726" name="chk_BT_138" hidden="1">
              <a:extLst>
                <a:ext uri="{63B3BB69-23CF-44E3-9099-C40C66FF867C}">
                  <a14:compatExt spid="_x0000_s6726"/>
                </a:ext>
                <a:ext uri="{FF2B5EF4-FFF2-40B4-BE49-F238E27FC236}">
                  <a16:creationId xmlns:a16="http://schemas.microsoft.com/office/drawing/2014/main" id="{00000000-0008-0000-0400-000046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20</xdr:row>
          <xdr:rowOff>190500</xdr:rowOff>
        </xdr:from>
        <xdr:to>
          <xdr:col>19</xdr:col>
          <xdr:colOff>0</xdr:colOff>
          <xdr:row>26</xdr:row>
          <xdr:rowOff>9525</xdr:rowOff>
        </xdr:to>
        <xdr:sp macro="" textlink="">
          <xdr:nvSpPr>
            <xdr:cNvPr id="6727" name="chk_RW_140" hidden="1">
              <a:extLst>
                <a:ext uri="{63B3BB69-23CF-44E3-9099-C40C66FF867C}">
                  <a14:compatExt spid="_x0000_s6727"/>
                </a:ext>
                <a:ext uri="{FF2B5EF4-FFF2-40B4-BE49-F238E27FC236}">
                  <a16:creationId xmlns:a16="http://schemas.microsoft.com/office/drawing/2014/main" id="{00000000-0008-0000-0400-000047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20</xdr:row>
          <xdr:rowOff>190500</xdr:rowOff>
        </xdr:from>
        <xdr:to>
          <xdr:col>20</xdr:col>
          <xdr:colOff>0</xdr:colOff>
          <xdr:row>26</xdr:row>
          <xdr:rowOff>9525</xdr:rowOff>
        </xdr:to>
        <xdr:sp macro="" textlink="">
          <xdr:nvSpPr>
            <xdr:cNvPr id="6728" name="chk_BT_140" hidden="1">
              <a:extLst>
                <a:ext uri="{63B3BB69-23CF-44E3-9099-C40C66FF867C}">
                  <a14:compatExt spid="_x0000_s6728"/>
                </a:ext>
                <a:ext uri="{FF2B5EF4-FFF2-40B4-BE49-F238E27FC236}">
                  <a16:creationId xmlns:a16="http://schemas.microsoft.com/office/drawing/2014/main" id="{00000000-0008-0000-0400-000048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26</xdr:row>
          <xdr:rowOff>190500</xdr:rowOff>
        </xdr:from>
        <xdr:to>
          <xdr:col>19</xdr:col>
          <xdr:colOff>0</xdr:colOff>
          <xdr:row>28</xdr:row>
          <xdr:rowOff>9525</xdr:rowOff>
        </xdr:to>
        <xdr:sp macro="" textlink="">
          <xdr:nvSpPr>
            <xdr:cNvPr id="6157" name="chk_RW_168"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26</xdr:row>
          <xdr:rowOff>190500</xdr:rowOff>
        </xdr:from>
        <xdr:to>
          <xdr:col>20</xdr:col>
          <xdr:colOff>0</xdr:colOff>
          <xdr:row>28</xdr:row>
          <xdr:rowOff>9525</xdr:rowOff>
        </xdr:to>
        <xdr:sp macro="" textlink="">
          <xdr:nvSpPr>
            <xdr:cNvPr id="6192" name="chk_BT_168" hidden="1">
              <a:extLst>
                <a:ext uri="{63B3BB69-23CF-44E3-9099-C40C66FF867C}">
                  <a14:compatExt spid="_x0000_s6192"/>
                </a:ext>
                <a:ext uri="{FF2B5EF4-FFF2-40B4-BE49-F238E27FC236}">
                  <a16:creationId xmlns:a16="http://schemas.microsoft.com/office/drawing/2014/main" id="{00000000-0008-0000-04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962025</xdr:colOff>
      <xdr:row>0</xdr:row>
      <xdr:rowOff>514350</xdr:rowOff>
    </xdr:to>
    <xdr:pic>
      <xdr:nvPicPr>
        <xdr:cNvPr id="7189" name="Logo">
          <a:extLst>
            <a:ext uri="{FF2B5EF4-FFF2-40B4-BE49-F238E27FC236}">
              <a16:creationId xmlns:a16="http://schemas.microsoft.com/office/drawing/2014/main" id="{00000000-0008-0000-0700-000015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653415</xdr:colOff>
      <xdr:row>0</xdr:row>
      <xdr:rowOff>514350</xdr:rowOff>
    </xdr:to>
    <xdr:pic>
      <xdr:nvPicPr>
        <xdr:cNvPr id="8213" name="Logo">
          <a:extLst>
            <a:ext uri="{FF2B5EF4-FFF2-40B4-BE49-F238E27FC236}">
              <a16:creationId xmlns:a16="http://schemas.microsoft.com/office/drawing/2014/main" id="{00000000-0008-0000-0800-000015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381000</xdr:colOff>
      <xdr:row>0</xdr:row>
      <xdr:rowOff>514350</xdr:rowOff>
    </xdr:to>
    <xdr:pic>
      <xdr:nvPicPr>
        <xdr:cNvPr id="9237" name="Logo">
          <a:extLst>
            <a:ext uri="{FF2B5EF4-FFF2-40B4-BE49-F238E27FC236}">
              <a16:creationId xmlns:a16="http://schemas.microsoft.com/office/drawing/2014/main" id="{00000000-0008-0000-0900-000015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466725</xdr:colOff>
      <xdr:row>18</xdr:row>
      <xdr:rowOff>142875</xdr:rowOff>
    </xdr:from>
    <xdr:to>
      <xdr:col>8</xdr:col>
      <xdr:colOff>0</xdr:colOff>
      <xdr:row>19</xdr:row>
      <xdr:rowOff>142875</xdr:rowOff>
    </xdr:to>
    <xdr:sp macro="" textlink="">
      <xdr:nvSpPr>
        <xdr:cNvPr id="10260" name="Text 1">
          <a:extLst>
            <a:ext uri="{FF2B5EF4-FFF2-40B4-BE49-F238E27FC236}">
              <a16:creationId xmlns:a16="http://schemas.microsoft.com/office/drawing/2014/main" id="{00000000-0008-0000-0A00-000014280000}"/>
            </a:ext>
          </a:extLst>
        </xdr:cNvPr>
        <xdr:cNvSpPr txBox="1">
          <a:spLocks noChangeArrowheads="1"/>
        </xdr:cNvSpPr>
      </xdr:nvSpPr>
      <xdr:spPr bwMode="auto">
        <a:xfrm>
          <a:off x="5295900" y="3438525"/>
          <a:ext cx="2190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1)</a:t>
          </a:r>
        </a:p>
      </xdr:txBody>
    </xdr:sp>
    <xdr:clientData/>
  </xdr:twoCellAnchor>
  <xdr:twoCellAnchor editAs="oneCell">
    <xdr:from>
      <xdr:col>1</xdr:col>
      <xdr:colOff>0</xdr:colOff>
      <xdr:row>0</xdr:row>
      <xdr:rowOff>85725</xdr:rowOff>
    </xdr:from>
    <xdr:to>
      <xdr:col>2</xdr:col>
      <xdr:colOff>581025</xdr:colOff>
      <xdr:row>0</xdr:row>
      <xdr:rowOff>514350</xdr:rowOff>
    </xdr:to>
    <xdr:pic>
      <xdr:nvPicPr>
        <xdr:cNvPr id="10283" name="Logo">
          <a:extLst>
            <a:ext uri="{FF2B5EF4-FFF2-40B4-BE49-F238E27FC236}">
              <a16:creationId xmlns:a16="http://schemas.microsoft.com/office/drawing/2014/main" id="{00000000-0008-0000-0A00-00002B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600075</xdr:colOff>
      <xdr:row>1</xdr:row>
      <xdr:rowOff>238125</xdr:rowOff>
    </xdr:to>
    <xdr:pic>
      <xdr:nvPicPr>
        <xdr:cNvPr id="375830" name="Logo">
          <a:extLst>
            <a:ext uri="{FF2B5EF4-FFF2-40B4-BE49-F238E27FC236}">
              <a16:creationId xmlns:a16="http://schemas.microsoft.com/office/drawing/2014/main" id="{00000000-0008-0000-0B00-000016BC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485775</xdr:colOff>
      <xdr:row>43</xdr:row>
      <xdr:rowOff>0</xdr:rowOff>
    </xdr:from>
    <xdr:to>
      <xdr:col>1</xdr:col>
      <xdr:colOff>638175</xdr:colOff>
      <xdr:row>43</xdr:row>
      <xdr:rowOff>142875</xdr:rowOff>
    </xdr:to>
    <xdr:sp macro="" textlink="">
      <xdr:nvSpPr>
        <xdr:cNvPr id="12309" name="Text 3">
          <a:extLst>
            <a:ext uri="{FF2B5EF4-FFF2-40B4-BE49-F238E27FC236}">
              <a16:creationId xmlns:a16="http://schemas.microsoft.com/office/drawing/2014/main" id="{00000000-0008-0000-0C00-000015300000}"/>
            </a:ext>
          </a:extLst>
        </xdr:cNvPr>
        <xdr:cNvSpPr txBox="1">
          <a:spLocks noChangeArrowheads="1"/>
        </xdr:cNvSpPr>
      </xdr:nvSpPr>
      <xdr:spPr bwMode="auto">
        <a:xfrm>
          <a:off x="542925" y="7058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5]</a:t>
          </a:r>
        </a:p>
      </xdr:txBody>
    </xdr:sp>
    <xdr:clientData/>
  </xdr:twoCellAnchor>
  <xdr:twoCellAnchor>
    <xdr:from>
      <xdr:col>3</xdr:col>
      <xdr:colOff>485774</xdr:colOff>
      <xdr:row>43</xdr:row>
      <xdr:rowOff>1</xdr:rowOff>
    </xdr:from>
    <xdr:to>
      <xdr:col>4</xdr:col>
      <xdr:colOff>7619</xdr:colOff>
      <xdr:row>43</xdr:row>
      <xdr:rowOff>129541</xdr:rowOff>
    </xdr:to>
    <xdr:sp macro="" textlink="">
      <xdr:nvSpPr>
        <xdr:cNvPr id="12313" name="Text 25">
          <a:extLst>
            <a:ext uri="{FF2B5EF4-FFF2-40B4-BE49-F238E27FC236}">
              <a16:creationId xmlns:a16="http://schemas.microsoft.com/office/drawing/2014/main" id="{00000000-0008-0000-0C00-000019300000}"/>
            </a:ext>
          </a:extLst>
        </xdr:cNvPr>
        <xdr:cNvSpPr txBox="1">
          <a:spLocks noChangeArrowheads="1"/>
        </xdr:cNvSpPr>
      </xdr:nvSpPr>
      <xdr:spPr bwMode="auto">
        <a:xfrm>
          <a:off x="1857374" y="7376161"/>
          <a:ext cx="116205" cy="12954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7</xdr:col>
      <xdr:colOff>228600</xdr:colOff>
      <xdr:row>43</xdr:row>
      <xdr:rowOff>0</xdr:rowOff>
    </xdr:from>
    <xdr:to>
      <xdr:col>8</xdr:col>
      <xdr:colOff>9525</xdr:colOff>
      <xdr:row>43</xdr:row>
      <xdr:rowOff>142875</xdr:rowOff>
    </xdr:to>
    <xdr:sp macro="" textlink="">
      <xdr:nvSpPr>
        <xdr:cNvPr id="12315" name="Text 27">
          <a:extLst>
            <a:ext uri="{FF2B5EF4-FFF2-40B4-BE49-F238E27FC236}">
              <a16:creationId xmlns:a16="http://schemas.microsoft.com/office/drawing/2014/main" id="{00000000-0008-0000-0C00-00001B300000}"/>
            </a:ext>
          </a:extLst>
        </xdr:cNvPr>
        <xdr:cNvSpPr txBox="1">
          <a:spLocks noChangeArrowheads="1"/>
        </xdr:cNvSpPr>
      </xdr:nvSpPr>
      <xdr:spPr bwMode="auto">
        <a:xfrm>
          <a:off x="3486150" y="7058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21</xdr:col>
      <xdr:colOff>238125</xdr:colOff>
      <xdr:row>14</xdr:row>
      <xdr:rowOff>95250</xdr:rowOff>
    </xdr:from>
    <xdr:to>
      <xdr:col>21</xdr:col>
      <xdr:colOff>390525</xdr:colOff>
      <xdr:row>15</xdr:row>
      <xdr:rowOff>66675</xdr:rowOff>
    </xdr:to>
    <xdr:sp macro="" textlink="">
      <xdr:nvSpPr>
        <xdr:cNvPr id="12316" name="Text 28">
          <a:extLst>
            <a:ext uri="{FF2B5EF4-FFF2-40B4-BE49-F238E27FC236}">
              <a16:creationId xmlns:a16="http://schemas.microsoft.com/office/drawing/2014/main" id="{00000000-0008-0000-0C00-00001C300000}"/>
            </a:ext>
          </a:extLst>
        </xdr:cNvPr>
        <xdr:cNvSpPr txBox="1">
          <a:spLocks noChangeArrowheads="1"/>
        </xdr:cNvSpPr>
      </xdr:nvSpPr>
      <xdr:spPr bwMode="auto">
        <a:xfrm>
          <a:off x="9077325" y="24003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a:t>
          </a:r>
        </a:p>
      </xdr:txBody>
    </xdr:sp>
    <xdr:clientData/>
  </xdr:twoCellAnchor>
  <xdr:twoCellAnchor>
    <xdr:from>
      <xdr:col>22</xdr:col>
      <xdr:colOff>285750</xdr:colOff>
      <xdr:row>14</xdr:row>
      <xdr:rowOff>104775</xdr:rowOff>
    </xdr:from>
    <xdr:to>
      <xdr:col>23</xdr:col>
      <xdr:colOff>85725</xdr:colOff>
      <xdr:row>15</xdr:row>
      <xdr:rowOff>76200</xdr:rowOff>
    </xdr:to>
    <xdr:sp macro="" textlink="">
      <xdr:nvSpPr>
        <xdr:cNvPr id="12317" name="Text 29">
          <a:extLst>
            <a:ext uri="{FF2B5EF4-FFF2-40B4-BE49-F238E27FC236}">
              <a16:creationId xmlns:a16="http://schemas.microsoft.com/office/drawing/2014/main" id="{00000000-0008-0000-0C00-00001D300000}"/>
            </a:ext>
          </a:extLst>
        </xdr:cNvPr>
        <xdr:cNvSpPr txBox="1">
          <a:spLocks noChangeArrowheads="1"/>
        </xdr:cNvSpPr>
      </xdr:nvSpPr>
      <xdr:spPr bwMode="auto">
        <a:xfrm>
          <a:off x="9572625" y="2409825"/>
          <a:ext cx="24765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2</xdr:col>
      <xdr:colOff>590550</xdr:colOff>
      <xdr:row>78</xdr:row>
      <xdr:rowOff>9525</xdr:rowOff>
    </xdr:from>
    <xdr:to>
      <xdr:col>3</xdr:col>
      <xdr:colOff>95250</xdr:colOff>
      <xdr:row>78</xdr:row>
      <xdr:rowOff>152400</xdr:rowOff>
    </xdr:to>
    <xdr:sp macro="" textlink="">
      <xdr:nvSpPr>
        <xdr:cNvPr id="12318" name="Text 30">
          <a:extLst>
            <a:ext uri="{FF2B5EF4-FFF2-40B4-BE49-F238E27FC236}">
              <a16:creationId xmlns:a16="http://schemas.microsoft.com/office/drawing/2014/main" id="{00000000-0008-0000-0C00-00001E300000}"/>
            </a:ext>
          </a:extLst>
        </xdr:cNvPr>
        <xdr:cNvSpPr txBox="1">
          <a:spLocks noChangeArrowheads="1"/>
        </xdr:cNvSpPr>
      </xdr:nvSpPr>
      <xdr:spPr bwMode="auto">
        <a:xfrm>
          <a:off x="1362075" y="12525375"/>
          <a:ext cx="2286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3</xdr:col>
      <xdr:colOff>485775</xdr:colOff>
      <xdr:row>88</xdr:row>
      <xdr:rowOff>0</xdr:rowOff>
    </xdr:from>
    <xdr:to>
      <xdr:col>3</xdr:col>
      <xdr:colOff>638175</xdr:colOff>
      <xdr:row>88</xdr:row>
      <xdr:rowOff>142875</xdr:rowOff>
    </xdr:to>
    <xdr:sp macro="" textlink="">
      <xdr:nvSpPr>
        <xdr:cNvPr id="12319" name="Text 31">
          <a:extLst>
            <a:ext uri="{FF2B5EF4-FFF2-40B4-BE49-F238E27FC236}">
              <a16:creationId xmlns:a16="http://schemas.microsoft.com/office/drawing/2014/main" id="{00000000-0008-0000-0C00-00001F300000}"/>
            </a:ext>
          </a:extLst>
        </xdr:cNvPr>
        <xdr:cNvSpPr txBox="1">
          <a:spLocks noChangeArrowheads="1"/>
        </xdr:cNvSpPr>
      </xdr:nvSpPr>
      <xdr:spPr bwMode="auto">
        <a:xfrm>
          <a:off x="1981200" y="1381125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xdr:col>
      <xdr:colOff>561975</xdr:colOff>
      <xdr:row>89</xdr:row>
      <xdr:rowOff>152400</xdr:rowOff>
    </xdr:from>
    <xdr:to>
      <xdr:col>2</xdr:col>
      <xdr:colOff>704850</xdr:colOff>
      <xdr:row>90</xdr:row>
      <xdr:rowOff>123825</xdr:rowOff>
    </xdr:to>
    <xdr:sp macro="" textlink="">
      <xdr:nvSpPr>
        <xdr:cNvPr id="12320" name="Text 32">
          <a:extLst>
            <a:ext uri="{FF2B5EF4-FFF2-40B4-BE49-F238E27FC236}">
              <a16:creationId xmlns:a16="http://schemas.microsoft.com/office/drawing/2014/main" id="{00000000-0008-0000-0C00-000020300000}"/>
            </a:ext>
          </a:extLst>
        </xdr:cNvPr>
        <xdr:cNvSpPr txBox="1">
          <a:spLocks noChangeArrowheads="1"/>
        </xdr:cNvSpPr>
      </xdr:nvSpPr>
      <xdr:spPr bwMode="auto">
        <a:xfrm>
          <a:off x="1333500" y="14135100"/>
          <a:ext cx="142875"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xdr:col>
      <xdr:colOff>561975</xdr:colOff>
      <xdr:row>90</xdr:row>
      <xdr:rowOff>152400</xdr:rowOff>
    </xdr:from>
    <xdr:to>
      <xdr:col>2</xdr:col>
      <xdr:colOff>704850</xdr:colOff>
      <xdr:row>91</xdr:row>
      <xdr:rowOff>123825</xdr:rowOff>
    </xdr:to>
    <xdr:sp macro="" textlink="">
      <xdr:nvSpPr>
        <xdr:cNvPr id="12321" name="Text 33">
          <a:extLst>
            <a:ext uri="{FF2B5EF4-FFF2-40B4-BE49-F238E27FC236}">
              <a16:creationId xmlns:a16="http://schemas.microsoft.com/office/drawing/2014/main" id="{00000000-0008-0000-0C00-000021300000}"/>
            </a:ext>
          </a:extLst>
        </xdr:cNvPr>
        <xdr:cNvSpPr txBox="1">
          <a:spLocks noChangeArrowheads="1"/>
        </xdr:cNvSpPr>
      </xdr:nvSpPr>
      <xdr:spPr bwMode="auto">
        <a:xfrm>
          <a:off x="1333500" y="14306550"/>
          <a:ext cx="14287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15</xdr:col>
      <xdr:colOff>9525</xdr:colOff>
      <xdr:row>71</xdr:row>
      <xdr:rowOff>9525</xdr:rowOff>
    </xdr:from>
    <xdr:to>
      <xdr:col>15</xdr:col>
      <xdr:colOff>9525</xdr:colOff>
      <xdr:row>90</xdr:row>
      <xdr:rowOff>0</xdr:rowOff>
    </xdr:to>
    <xdr:sp macro="" textlink="">
      <xdr:nvSpPr>
        <xdr:cNvPr id="375311" name="Line 34">
          <a:extLst>
            <a:ext uri="{FF2B5EF4-FFF2-40B4-BE49-F238E27FC236}">
              <a16:creationId xmlns:a16="http://schemas.microsoft.com/office/drawing/2014/main" id="{00000000-0008-0000-0C00-00000FBA0500}"/>
            </a:ext>
          </a:extLst>
        </xdr:cNvPr>
        <xdr:cNvSpPr>
          <a:spLocks noChangeShapeType="1"/>
        </xdr:cNvSpPr>
      </xdr:nvSpPr>
      <xdr:spPr bwMode="auto">
        <a:xfrm>
          <a:off x="6648450" y="11353800"/>
          <a:ext cx="0" cy="3105150"/>
        </a:xfrm>
        <a:prstGeom prst="line">
          <a:avLst/>
        </a:prstGeom>
        <a:noFill/>
        <a:ln w="9525">
          <a:solidFill>
            <a:srgbClr val="000000"/>
          </a:solidFill>
          <a:round/>
          <a:headEnd/>
          <a:tailEnd type="triangle" w="med" len="sm"/>
        </a:ln>
        <a:extLst>
          <a:ext uri="{909E8E84-426E-40DD-AFC4-6F175D3DCCD1}">
            <a14:hiddenFill xmlns:a14="http://schemas.microsoft.com/office/drawing/2010/main">
              <a:noFill/>
            </a14:hiddenFill>
          </a:ext>
        </a:extLst>
      </xdr:spPr>
    </xdr:sp>
    <xdr:clientData/>
  </xdr:twoCellAnchor>
  <xdr:twoCellAnchor>
    <xdr:from>
      <xdr:col>3</xdr:col>
      <xdr:colOff>609600</xdr:colOff>
      <xdr:row>45</xdr:row>
      <xdr:rowOff>9525</xdr:rowOff>
    </xdr:from>
    <xdr:to>
      <xdr:col>4</xdr:col>
      <xdr:colOff>114300</xdr:colOff>
      <xdr:row>45</xdr:row>
      <xdr:rowOff>152400</xdr:rowOff>
    </xdr:to>
    <xdr:sp macro="" textlink="">
      <xdr:nvSpPr>
        <xdr:cNvPr id="12324" name="Text 36">
          <a:extLst>
            <a:ext uri="{FF2B5EF4-FFF2-40B4-BE49-F238E27FC236}">
              <a16:creationId xmlns:a16="http://schemas.microsoft.com/office/drawing/2014/main" id="{00000000-0008-0000-0C00-000024300000}"/>
            </a:ext>
          </a:extLst>
        </xdr:cNvPr>
        <xdr:cNvSpPr txBox="1">
          <a:spLocks noChangeArrowheads="1"/>
        </xdr:cNvSpPr>
      </xdr:nvSpPr>
      <xdr:spPr bwMode="auto">
        <a:xfrm>
          <a:off x="2105025" y="73628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a:t>
          </a:r>
        </a:p>
      </xdr:txBody>
    </xdr:sp>
    <xdr:clientData/>
  </xdr:twoCellAnchor>
  <xdr:twoCellAnchor>
    <xdr:from>
      <xdr:col>7</xdr:col>
      <xdr:colOff>314325</xdr:colOff>
      <xdr:row>45</xdr:row>
      <xdr:rowOff>9525</xdr:rowOff>
    </xdr:from>
    <xdr:to>
      <xdr:col>8</xdr:col>
      <xdr:colOff>95250</xdr:colOff>
      <xdr:row>45</xdr:row>
      <xdr:rowOff>152400</xdr:rowOff>
    </xdr:to>
    <xdr:sp macro="" textlink="">
      <xdr:nvSpPr>
        <xdr:cNvPr id="12325" name="Text 37">
          <a:extLst>
            <a:ext uri="{FF2B5EF4-FFF2-40B4-BE49-F238E27FC236}">
              <a16:creationId xmlns:a16="http://schemas.microsoft.com/office/drawing/2014/main" id="{00000000-0008-0000-0C00-000025300000}"/>
            </a:ext>
          </a:extLst>
        </xdr:cNvPr>
        <xdr:cNvSpPr txBox="1">
          <a:spLocks noChangeArrowheads="1"/>
        </xdr:cNvSpPr>
      </xdr:nvSpPr>
      <xdr:spPr bwMode="auto">
        <a:xfrm>
          <a:off x="3571875" y="73628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24</xdr:col>
      <xdr:colOff>304800</xdr:colOff>
      <xdr:row>12</xdr:row>
      <xdr:rowOff>0</xdr:rowOff>
    </xdr:from>
    <xdr:to>
      <xdr:col>25</xdr:col>
      <xdr:colOff>0</xdr:colOff>
      <xdr:row>13</xdr:row>
      <xdr:rowOff>0</xdr:rowOff>
    </xdr:to>
    <xdr:sp macro="" textlink="">
      <xdr:nvSpPr>
        <xdr:cNvPr id="12326" name="Text 38">
          <a:extLst>
            <a:ext uri="{FF2B5EF4-FFF2-40B4-BE49-F238E27FC236}">
              <a16:creationId xmlns:a16="http://schemas.microsoft.com/office/drawing/2014/main" id="{00000000-0008-0000-0C00-000026300000}"/>
            </a:ext>
          </a:extLst>
        </xdr:cNvPr>
        <xdr:cNvSpPr txBox="1">
          <a:spLocks noChangeArrowheads="1"/>
        </xdr:cNvSpPr>
      </xdr:nvSpPr>
      <xdr:spPr bwMode="auto">
        <a:xfrm>
          <a:off x="10553700" y="1981200"/>
          <a:ext cx="20955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a:t>
          </a:r>
        </a:p>
      </xdr:txBody>
    </xdr:sp>
    <xdr:clientData/>
  </xdr:twoCellAnchor>
  <xdr:twoCellAnchor>
    <xdr:from>
      <xdr:col>23</xdr:col>
      <xdr:colOff>209550</xdr:colOff>
      <xdr:row>14</xdr:row>
      <xdr:rowOff>76200</xdr:rowOff>
    </xdr:from>
    <xdr:to>
      <xdr:col>24</xdr:col>
      <xdr:colOff>9525</xdr:colOff>
      <xdr:row>15</xdr:row>
      <xdr:rowOff>47625</xdr:rowOff>
    </xdr:to>
    <xdr:sp macro="" textlink="">
      <xdr:nvSpPr>
        <xdr:cNvPr id="12327" name="Text 39">
          <a:extLst>
            <a:ext uri="{FF2B5EF4-FFF2-40B4-BE49-F238E27FC236}">
              <a16:creationId xmlns:a16="http://schemas.microsoft.com/office/drawing/2014/main" id="{00000000-0008-0000-0C00-000027300000}"/>
            </a:ext>
          </a:extLst>
        </xdr:cNvPr>
        <xdr:cNvSpPr txBox="1">
          <a:spLocks noChangeArrowheads="1"/>
        </xdr:cNvSpPr>
      </xdr:nvSpPr>
      <xdr:spPr bwMode="auto">
        <a:xfrm>
          <a:off x="9944100" y="2381250"/>
          <a:ext cx="314325"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4]</a:t>
          </a:r>
        </a:p>
      </xdr:txBody>
    </xdr:sp>
    <xdr:clientData/>
  </xdr:twoCellAnchor>
  <xdr:twoCellAnchor editAs="oneCell">
    <xdr:from>
      <xdr:col>1</xdr:col>
      <xdr:colOff>0</xdr:colOff>
      <xdr:row>0</xdr:row>
      <xdr:rowOff>85725</xdr:rowOff>
    </xdr:from>
    <xdr:to>
      <xdr:col>2</xdr:col>
      <xdr:colOff>661035</xdr:colOff>
      <xdr:row>0</xdr:row>
      <xdr:rowOff>514350</xdr:rowOff>
    </xdr:to>
    <xdr:pic>
      <xdr:nvPicPr>
        <xdr:cNvPr id="375316" name="Logo">
          <a:extLst>
            <a:ext uri="{FF2B5EF4-FFF2-40B4-BE49-F238E27FC236}">
              <a16:creationId xmlns:a16="http://schemas.microsoft.com/office/drawing/2014/main" id="{00000000-0008-0000-0C00-000014BA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9525</xdr:colOff>
          <xdr:row>8</xdr:row>
          <xdr:rowOff>57150</xdr:rowOff>
        </xdr:from>
        <xdr:to>
          <xdr:col>21</xdr:col>
          <xdr:colOff>0</xdr:colOff>
          <xdr:row>8</xdr:row>
          <xdr:rowOff>238125</xdr:rowOff>
        </xdr:to>
        <xdr:sp macro="" textlink="">
          <xdr:nvSpPr>
            <xdr:cNvPr id="12292" name="Butt NB2"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"Tierart" ausfüllen,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10</xdr:row>
          <xdr:rowOff>219075</xdr:rowOff>
        </xdr:from>
        <xdr:to>
          <xdr:col>15</xdr:col>
          <xdr:colOff>314325</xdr:colOff>
          <xdr:row>11</xdr:row>
          <xdr:rowOff>209550</xdr:rowOff>
        </xdr:to>
        <xdr:sp macro="" textlink="">
          <xdr:nvSpPr>
            <xdr:cNvPr id="12294" name="chkLaufstallJungvieh"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14</xdr:row>
          <xdr:rowOff>171450</xdr:rowOff>
        </xdr:from>
        <xdr:to>
          <xdr:col>9</xdr:col>
          <xdr:colOff>0</xdr:colOff>
          <xdr:row>16</xdr:row>
          <xdr:rowOff>9525</xdr:rowOff>
        </xdr:to>
        <xdr:sp macro="" textlink="">
          <xdr:nvSpPr>
            <xdr:cNvPr id="12296" name="Butt NPr" hidden="1">
              <a:extLst>
                <a:ext uri="{63B3BB69-23CF-44E3-9099-C40C66FF867C}">
                  <a14:compatExt spid="_x0000_s12296"/>
                </a:ext>
                <a:ext uri="{FF2B5EF4-FFF2-40B4-BE49-F238E27FC236}">
                  <a16:creationId xmlns:a16="http://schemas.microsoft.com/office/drawing/2014/main" id="{00000000-0008-0000-0A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900" b="1" i="0" u="none" strike="noStrike" baseline="0">
                  <a:solidFill>
                    <a:srgbClr val="0000FF"/>
                  </a:solidFill>
                  <a:latin typeface="Arial"/>
                  <a:cs typeface="Arial"/>
                </a:rPr>
                <a:t>Werte für Schweine und Geflügel bei NPr-Futtereinsatz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10</xdr:row>
          <xdr:rowOff>9525</xdr:rowOff>
        </xdr:from>
        <xdr:to>
          <xdr:col>15</xdr:col>
          <xdr:colOff>304800</xdr:colOff>
          <xdr:row>11</xdr:row>
          <xdr:rowOff>9525</xdr:rowOff>
        </xdr:to>
        <xdr:sp macro="" textlink="">
          <xdr:nvSpPr>
            <xdr:cNvPr id="12323" name="chkLaufstallMiKu" hidden="1">
              <a:extLst>
                <a:ext uri="{63B3BB69-23CF-44E3-9099-C40C66FF867C}">
                  <a14:compatExt spid="_x0000_s12323"/>
                </a:ext>
                <a:ext uri="{FF2B5EF4-FFF2-40B4-BE49-F238E27FC236}">
                  <a16:creationId xmlns:a16="http://schemas.microsoft.com/office/drawing/2014/main" id="{00000000-0008-0000-0A00-000023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0">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38100</xdr:rowOff>
        </xdr:from>
        <xdr:to>
          <xdr:col>3</xdr:col>
          <xdr:colOff>247650</xdr:colOff>
          <xdr:row>7</xdr:row>
          <xdr:rowOff>38100</xdr:rowOff>
        </xdr:to>
        <xdr:sp macro="" textlink="">
          <xdr:nvSpPr>
            <xdr:cNvPr id="12337" name="chk_Impex" hidden="1">
              <a:extLst>
                <a:ext uri="{63B3BB69-23CF-44E3-9099-C40C66FF867C}">
                  <a14:compatExt spid="_x0000_s12337"/>
                </a:ext>
                <a:ext uri="{FF2B5EF4-FFF2-40B4-BE49-F238E27FC236}">
                  <a16:creationId xmlns:a16="http://schemas.microsoft.com/office/drawing/2014/main" id="{00000000-0008-0000-0A00-000031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5</xdr:row>
          <xdr:rowOff>38100</xdr:rowOff>
        </xdr:from>
        <xdr:to>
          <xdr:col>7</xdr:col>
          <xdr:colOff>257175</xdr:colOff>
          <xdr:row>7</xdr:row>
          <xdr:rowOff>38100</xdr:rowOff>
        </xdr:to>
        <xdr:sp macro="" textlink="">
          <xdr:nvSpPr>
            <xdr:cNvPr id="12338" name="chk_Linear" hidden="1">
              <a:extLst>
                <a:ext uri="{63B3BB69-23CF-44E3-9099-C40C66FF867C}">
                  <a14:compatExt spid="_x0000_s12338"/>
                </a:ext>
                <a:ext uri="{FF2B5EF4-FFF2-40B4-BE49-F238E27FC236}">
                  <a16:creationId xmlns:a16="http://schemas.microsoft.com/office/drawing/2014/main" id="{00000000-0008-0000-0A00-000032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5</xdr:row>
          <xdr:rowOff>38100</xdr:rowOff>
        </xdr:from>
        <xdr:to>
          <xdr:col>12</xdr:col>
          <xdr:colOff>285750</xdr:colOff>
          <xdr:row>7</xdr:row>
          <xdr:rowOff>38100</xdr:rowOff>
        </xdr:to>
        <xdr:sp macro="" textlink="">
          <xdr:nvSpPr>
            <xdr:cNvPr id="12339" name="chk_Spezkulturen" hidden="1">
              <a:extLst>
                <a:ext uri="{63B3BB69-23CF-44E3-9099-C40C66FF867C}">
                  <a14:compatExt spid="_x0000_s12339"/>
                </a:ext>
                <a:ext uri="{FF2B5EF4-FFF2-40B4-BE49-F238E27FC236}">
                  <a16:creationId xmlns:a16="http://schemas.microsoft.com/office/drawing/2014/main" id="{00000000-0008-0000-0A00-000033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333375</xdr:colOff>
          <xdr:row>5</xdr:row>
          <xdr:rowOff>38100</xdr:rowOff>
        </xdr:from>
        <xdr:to>
          <xdr:col>15</xdr:col>
          <xdr:colOff>266700</xdr:colOff>
          <xdr:row>7</xdr:row>
          <xdr:rowOff>38100</xdr:rowOff>
        </xdr:to>
        <xdr:sp macro="" textlink="">
          <xdr:nvSpPr>
            <xdr:cNvPr id="12340" name="chk_Dungplan" hidden="1">
              <a:extLst>
                <a:ext uri="{63B3BB69-23CF-44E3-9099-C40C66FF867C}">
                  <a14:compatExt spid="_x0000_s12340"/>
                </a:ext>
                <a:ext uri="{FF2B5EF4-FFF2-40B4-BE49-F238E27FC236}">
                  <a16:creationId xmlns:a16="http://schemas.microsoft.com/office/drawing/2014/main" id="{00000000-0008-0000-0A00-000034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15</xdr:row>
          <xdr:rowOff>0</xdr:rowOff>
        </xdr:from>
        <xdr:to>
          <xdr:col>21</xdr:col>
          <xdr:colOff>0</xdr:colOff>
          <xdr:row>16</xdr:row>
          <xdr:rowOff>9525</xdr:rowOff>
        </xdr:to>
        <xdr:sp macro="" textlink="">
          <xdr:nvSpPr>
            <xdr:cNvPr id="12348" name="Butt Impex" hidden="1">
              <a:extLst>
                <a:ext uri="{63B3BB69-23CF-44E3-9099-C40C66FF867C}">
                  <a14:compatExt spid="_x0000_s12348"/>
                </a:ext>
                <a:ext uri="{FF2B5EF4-FFF2-40B4-BE49-F238E27FC236}">
                  <a16:creationId xmlns:a16="http://schemas.microsoft.com/office/drawing/2014/main" id="{00000000-0008-0000-0A00-00003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0" tIns="46800" rIns="0" bIns="46800" anchor="ctr" upright="1"/>
            <a:lstStyle/>
            <a:p>
              <a:pPr algn="ctr" rtl="0">
                <a:defRPr sz="1000"/>
              </a:pPr>
              <a:r>
                <a:rPr lang="de-CH" sz="900" b="1" i="0" u="none" strike="noStrike" baseline="0">
                  <a:solidFill>
                    <a:srgbClr val="0000FF"/>
                  </a:solidFill>
                  <a:latin typeface="Arial"/>
                  <a:cs typeface="Arial"/>
                </a:rPr>
                <a:t>Werte für Schweine, Geflügel, Mastkälber und Kaninchen aus Im- / Exportbilanzen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323850</xdr:colOff>
          <xdr:row>5</xdr:row>
          <xdr:rowOff>38100</xdr:rowOff>
        </xdr:from>
        <xdr:to>
          <xdr:col>20</xdr:col>
          <xdr:colOff>257175</xdr:colOff>
          <xdr:row>7</xdr:row>
          <xdr:rowOff>38100</xdr:rowOff>
        </xdr:to>
        <xdr:sp macro="" textlink="">
          <xdr:nvSpPr>
            <xdr:cNvPr id="374981" name="chk_Vergaerung" hidden="1">
              <a:extLst>
                <a:ext uri="{63B3BB69-23CF-44E3-9099-C40C66FF867C}">
                  <a14:compatExt spid="_x0000_s374981"/>
                </a:ext>
                <a:ext uri="{FF2B5EF4-FFF2-40B4-BE49-F238E27FC236}">
                  <a16:creationId xmlns:a16="http://schemas.microsoft.com/office/drawing/2014/main" id="{00000000-0008-0000-0A00-0000C5B8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19050</xdr:colOff>
      <xdr:row>94</xdr:row>
      <xdr:rowOff>19050</xdr:rowOff>
    </xdr:from>
    <xdr:to>
      <xdr:col>9</xdr:col>
      <xdr:colOff>200025</xdr:colOff>
      <xdr:row>96</xdr:row>
      <xdr:rowOff>161925</xdr:rowOff>
    </xdr:to>
    <xdr:sp macro="" textlink="">
      <xdr:nvSpPr>
        <xdr:cNvPr id="375317" name="AutoShape 2267">
          <a:extLst>
            <a:ext uri="{FF2B5EF4-FFF2-40B4-BE49-F238E27FC236}">
              <a16:creationId xmlns:a16="http://schemas.microsoft.com/office/drawing/2014/main" id="{00000000-0008-0000-0C00-000015BA0500}"/>
            </a:ext>
          </a:extLst>
        </xdr:cNvPr>
        <xdr:cNvSpPr>
          <a:spLocks/>
        </xdr:cNvSpPr>
      </xdr:nvSpPr>
      <xdr:spPr bwMode="auto">
        <a:xfrm>
          <a:off x="4057650" y="15144750"/>
          <a:ext cx="180975" cy="476250"/>
        </a:xfrm>
        <a:prstGeom prst="rightBrace">
          <a:avLst>
            <a:gd name="adj1" fmla="val 2193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11</xdr:col>
      <xdr:colOff>228600</xdr:colOff>
      <xdr:row>10</xdr:row>
      <xdr:rowOff>0</xdr:rowOff>
    </xdr:from>
    <xdr:to>
      <xdr:col>11</xdr:col>
      <xdr:colOff>228600</xdr:colOff>
      <xdr:row>12</xdr:row>
      <xdr:rowOff>0</xdr:rowOff>
    </xdr:to>
    <xdr:cxnSp macro="">
      <xdr:nvCxnSpPr>
        <xdr:cNvPr id="6" name="Gerader Verbinder 5">
          <a:extLst>
            <a:ext uri="{FF2B5EF4-FFF2-40B4-BE49-F238E27FC236}">
              <a16:creationId xmlns:a16="http://schemas.microsoft.com/office/drawing/2014/main" id="{00000000-0008-0000-0C00-000006000000}"/>
            </a:ext>
          </a:extLst>
        </xdr:cNvPr>
        <xdr:cNvCxnSpPr/>
      </xdr:nvCxnSpPr>
      <xdr:spPr bwMode="auto">
        <a:xfrm>
          <a:off x="5153025" y="1657350"/>
          <a:ext cx="0" cy="457200"/>
        </a:xfrm>
        <a:prstGeom prst="line">
          <a:avLst/>
        </a:prstGeom>
        <a:solidFill>
          <a:srgbClr xmlns:mc="http://schemas.openxmlformats.org/markup-compatibility/2006" xmlns:a14="http://schemas.microsoft.com/office/drawing/2010/main" val="C0C0C0" mc:Ignorable="a14" a14:legacySpreadsheetColorIndex="2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314325</xdr:colOff>
      <xdr:row>71</xdr:row>
      <xdr:rowOff>0</xdr:rowOff>
    </xdr:from>
    <xdr:to>
      <xdr:col>14</xdr:col>
      <xdr:colOff>114300</xdr:colOff>
      <xdr:row>71</xdr:row>
      <xdr:rowOff>9525</xdr:rowOff>
    </xdr:to>
    <xdr:sp macro="" textlink="">
      <xdr:nvSpPr>
        <xdr:cNvPr id="13315" name="Text 3">
          <a:extLst>
            <a:ext uri="{FF2B5EF4-FFF2-40B4-BE49-F238E27FC236}">
              <a16:creationId xmlns:a16="http://schemas.microsoft.com/office/drawing/2014/main" id="{00000000-0008-0000-0D00-000003340000}"/>
            </a:ext>
          </a:extLst>
        </xdr:cNvPr>
        <xdr:cNvSpPr txBox="1">
          <a:spLocks noChangeArrowheads="1"/>
        </xdr:cNvSpPr>
      </xdr:nvSpPr>
      <xdr:spPr bwMode="auto">
        <a:xfrm>
          <a:off x="7191375" y="9763125"/>
          <a:ext cx="24765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24</xdr:row>
      <xdr:rowOff>142875</xdr:rowOff>
    </xdr:from>
    <xdr:to>
      <xdr:col>14</xdr:col>
      <xdr:colOff>114300</xdr:colOff>
      <xdr:row>25</xdr:row>
      <xdr:rowOff>114300</xdr:rowOff>
    </xdr:to>
    <xdr:sp macro="" textlink="">
      <xdr:nvSpPr>
        <xdr:cNvPr id="13316" name="Text 4">
          <a:extLst>
            <a:ext uri="{FF2B5EF4-FFF2-40B4-BE49-F238E27FC236}">
              <a16:creationId xmlns:a16="http://schemas.microsoft.com/office/drawing/2014/main" id="{00000000-0008-0000-0D00-000004340000}"/>
            </a:ext>
          </a:extLst>
        </xdr:cNvPr>
        <xdr:cNvSpPr txBox="1">
          <a:spLocks noChangeArrowheads="1"/>
        </xdr:cNvSpPr>
      </xdr:nvSpPr>
      <xdr:spPr bwMode="auto">
        <a:xfrm>
          <a:off x="7153275" y="3838575"/>
          <a:ext cx="24765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2</xdr:col>
      <xdr:colOff>1257300</xdr:colOff>
      <xdr:row>62</xdr:row>
      <xdr:rowOff>0</xdr:rowOff>
    </xdr:from>
    <xdr:to>
      <xdr:col>7</xdr:col>
      <xdr:colOff>447675</xdr:colOff>
      <xdr:row>62</xdr:row>
      <xdr:rowOff>9525</xdr:rowOff>
    </xdr:to>
    <xdr:sp macro="" textlink="">
      <xdr:nvSpPr>
        <xdr:cNvPr id="13324" name="Text 12">
          <a:extLst>
            <a:ext uri="{FF2B5EF4-FFF2-40B4-BE49-F238E27FC236}">
              <a16:creationId xmlns:a16="http://schemas.microsoft.com/office/drawing/2014/main" id="{00000000-0008-0000-0D00-00000C340000}"/>
            </a:ext>
          </a:extLst>
        </xdr:cNvPr>
        <xdr:cNvSpPr txBox="1">
          <a:spLocks noChangeArrowheads="1"/>
        </xdr:cNvSpPr>
      </xdr:nvSpPr>
      <xdr:spPr bwMode="auto">
        <a:xfrm>
          <a:off x="1381125" y="8667750"/>
          <a:ext cx="270510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(inkl. Streuefläche, Grünbrache, Buntbrache)</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7" name="Text 25">
          <a:extLst>
            <a:ext uri="{FF2B5EF4-FFF2-40B4-BE49-F238E27FC236}">
              <a16:creationId xmlns:a16="http://schemas.microsoft.com/office/drawing/2014/main" id="{00000000-0008-0000-0D00-000019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8" name="Text 26">
          <a:extLst>
            <a:ext uri="{FF2B5EF4-FFF2-40B4-BE49-F238E27FC236}">
              <a16:creationId xmlns:a16="http://schemas.microsoft.com/office/drawing/2014/main" id="{00000000-0008-0000-0D00-00001A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9" name="Text 27">
          <a:extLst>
            <a:ext uri="{FF2B5EF4-FFF2-40B4-BE49-F238E27FC236}">
              <a16:creationId xmlns:a16="http://schemas.microsoft.com/office/drawing/2014/main" id="{00000000-0008-0000-0D00-00001B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10</xdr:col>
      <xdr:colOff>0</xdr:colOff>
      <xdr:row>8</xdr:row>
      <xdr:rowOff>161925</xdr:rowOff>
    </xdr:from>
    <xdr:to>
      <xdr:col>10</xdr:col>
      <xdr:colOff>152400</xdr:colOff>
      <xdr:row>9</xdr:row>
      <xdr:rowOff>152400</xdr:rowOff>
    </xdr:to>
    <xdr:sp macro="" textlink="">
      <xdr:nvSpPr>
        <xdr:cNvPr id="13354" name="Text 49">
          <a:extLst>
            <a:ext uri="{FF2B5EF4-FFF2-40B4-BE49-F238E27FC236}">
              <a16:creationId xmlns:a16="http://schemas.microsoft.com/office/drawing/2014/main" id="{00000000-0008-0000-0D00-00002A340000}"/>
            </a:ext>
          </a:extLst>
        </xdr:cNvPr>
        <xdr:cNvSpPr txBox="1">
          <a:spLocks noChangeArrowheads="1"/>
        </xdr:cNvSpPr>
      </xdr:nvSpPr>
      <xdr:spPr bwMode="auto">
        <a:xfrm>
          <a:off x="5238750" y="19240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11</xdr:col>
      <xdr:colOff>9525</xdr:colOff>
      <xdr:row>32</xdr:row>
      <xdr:rowOff>9525</xdr:rowOff>
    </xdr:from>
    <xdr:to>
      <xdr:col>11</xdr:col>
      <xdr:colOff>219075</xdr:colOff>
      <xdr:row>32</xdr:row>
      <xdr:rowOff>142875</xdr:rowOff>
    </xdr:to>
    <xdr:sp macro="" textlink="">
      <xdr:nvSpPr>
        <xdr:cNvPr id="13375" name="Text 63">
          <a:extLst>
            <a:ext uri="{FF2B5EF4-FFF2-40B4-BE49-F238E27FC236}">
              <a16:creationId xmlns:a16="http://schemas.microsoft.com/office/drawing/2014/main" id="{00000000-0008-0000-0D00-00003F340000}"/>
            </a:ext>
          </a:extLst>
        </xdr:cNvPr>
        <xdr:cNvSpPr txBox="1">
          <a:spLocks noChangeArrowheads="1"/>
        </xdr:cNvSpPr>
      </xdr:nvSpPr>
      <xdr:spPr bwMode="auto">
        <a:xfrm>
          <a:off x="6391275" y="5562600"/>
          <a:ext cx="20955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9]</a:t>
          </a:r>
        </a:p>
        <a:p>
          <a:pPr algn="l" rtl="0">
            <a:defRPr sz="1000"/>
          </a:pPr>
          <a:r>
            <a:rPr lang="fr-FR" sz="800" b="0" i="0" u="none" strike="noStrike" baseline="0">
              <a:solidFill>
                <a:srgbClr val="000000"/>
              </a:solidFill>
              <a:latin typeface="Arial"/>
              <a:cs typeface="Arial"/>
            </a:rPr>
            <a:t>7]</a:t>
          </a:r>
        </a:p>
      </xdr:txBody>
    </xdr:sp>
    <xdr:clientData/>
  </xdr:twoCellAnchor>
  <xdr:twoCellAnchor>
    <xdr:from>
      <xdr:col>10</xdr:col>
      <xdr:colOff>0</xdr:colOff>
      <xdr:row>11</xdr:row>
      <xdr:rowOff>152400</xdr:rowOff>
    </xdr:from>
    <xdr:to>
      <xdr:col>10</xdr:col>
      <xdr:colOff>219075</xdr:colOff>
      <xdr:row>13</xdr:row>
      <xdr:rowOff>28575</xdr:rowOff>
    </xdr:to>
    <xdr:sp macro="" textlink="">
      <xdr:nvSpPr>
        <xdr:cNvPr id="13682" name="Text 70.1">
          <a:extLst>
            <a:ext uri="{FF2B5EF4-FFF2-40B4-BE49-F238E27FC236}">
              <a16:creationId xmlns:a16="http://schemas.microsoft.com/office/drawing/2014/main" id="{00000000-0008-0000-0D00-000072350000}"/>
            </a:ext>
          </a:extLst>
        </xdr:cNvPr>
        <xdr:cNvSpPr txBox="1">
          <a:spLocks noChangeArrowheads="1"/>
        </xdr:cNvSpPr>
      </xdr:nvSpPr>
      <xdr:spPr bwMode="auto">
        <a:xfrm>
          <a:off x="5381625" y="2238375"/>
          <a:ext cx="2190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9</xdr:row>
      <xdr:rowOff>152400</xdr:rowOff>
    </xdr:from>
    <xdr:to>
      <xdr:col>10</xdr:col>
      <xdr:colOff>152400</xdr:colOff>
      <xdr:row>11</xdr:row>
      <xdr:rowOff>152400</xdr:rowOff>
    </xdr:to>
    <xdr:sp macro="" textlink="">
      <xdr:nvSpPr>
        <xdr:cNvPr id="13383" name="Text 71">
          <a:extLst>
            <a:ext uri="{FF2B5EF4-FFF2-40B4-BE49-F238E27FC236}">
              <a16:creationId xmlns:a16="http://schemas.microsoft.com/office/drawing/2014/main" id="{00000000-0008-0000-0D00-000047340000}"/>
            </a:ext>
          </a:extLst>
        </xdr:cNvPr>
        <xdr:cNvSpPr txBox="1">
          <a:spLocks noChangeArrowheads="1"/>
        </xdr:cNvSpPr>
      </xdr:nvSpPr>
      <xdr:spPr bwMode="auto">
        <a:xfrm>
          <a:off x="5238750" y="20764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16</xdr:row>
      <xdr:rowOff>0</xdr:rowOff>
    </xdr:from>
    <xdr:to>
      <xdr:col>10</xdr:col>
      <xdr:colOff>152400</xdr:colOff>
      <xdr:row>17</xdr:row>
      <xdr:rowOff>0</xdr:rowOff>
    </xdr:to>
    <xdr:sp macro="" textlink="">
      <xdr:nvSpPr>
        <xdr:cNvPr id="13384" name="Text 72">
          <a:extLst>
            <a:ext uri="{FF2B5EF4-FFF2-40B4-BE49-F238E27FC236}">
              <a16:creationId xmlns:a16="http://schemas.microsoft.com/office/drawing/2014/main" id="{00000000-0008-0000-0D00-000048340000}"/>
            </a:ext>
          </a:extLst>
        </xdr:cNvPr>
        <xdr:cNvSpPr txBox="1">
          <a:spLocks noChangeArrowheads="1"/>
        </xdr:cNvSpPr>
      </xdr:nvSpPr>
      <xdr:spPr bwMode="auto">
        <a:xfrm>
          <a:off x="5238750" y="24193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17</xdr:row>
      <xdr:rowOff>0</xdr:rowOff>
    </xdr:from>
    <xdr:to>
      <xdr:col>10</xdr:col>
      <xdr:colOff>152400</xdr:colOff>
      <xdr:row>18</xdr:row>
      <xdr:rowOff>0</xdr:rowOff>
    </xdr:to>
    <xdr:sp macro="" textlink="">
      <xdr:nvSpPr>
        <xdr:cNvPr id="13385" name="Text 73">
          <a:extLst>
            <a:ext uri="{FF2B5EF4-FFF2-40B4-BE49-F238E27FC236}">
              <a16:creationId xmlns:a16="http://schemas.microsoft.com/office/drawing/2014/main" id="{00000000-0008-0000-0D00-000049340000}"/>
            </a:ext>
          </a:extLst>
        </xdr:cNvPr>
        <xdr:cNvSpPr txBox="1">
          <a:spLocks noChangeArrowheads="1"/>
        </xdr:cNvSpPr>
      </xdr:nvSpPr>
      <xdr:spPr bwMode="auto">
        <a:xfrm>
          <a:off x="5238750" y="25717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18</xdr:row>
      <xdr:rowOff>152400</xdr:rowOff>
    </xdr:from>
    <xdr:to>
      <xdr:col>10</xdr:col>
      <xdr:colOff>152400</xdr:colOff>
      <xdr:row>19</xdr:row>
      <xdr:rowOff>133350</xdr:rowOff>
    </xdr:to>
    <xdr:sp macro="" textlink="">
      <xdr:nvSpPr>
        <xdr:cNvPr id="13386" name="Text 74">
          <a:extLst>
            <a:ext uri="{FF2B5EF4-FFF2-40B4-BE49-F238E27FC236}">
              <a16:creationId xmlns:a16="http://schemas.microsoft.com/office/drawing/2014/main" id="{00000000-0008-0000-0D00-00004A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22</xdr:row>
      <xdr:rowOff>142875</xdr:rowOff>
    </xdr:from>
    <xdr:to>
      <xdr:col>10</xdr:col>
      <xdr:colOff>152400</xdr:colOff>
      <xdr:row>23</xdr:row>
      <xdr:rowOff>133350</xdr:rowOff>
    </xdr:to>
    <xdr:sp macro="" textlink="">
      <xdr:nvSpPr>
        <xdr:cNvPr id="13387" name="Text 75">
          <a:extLst>
            <a:ext uri="{FF2B5EF4-FFF2-40B4-BE49-F238E27FC236}">
              <a16:creationId xmlns:a16="http://schemas.microsoft.com/office/drawing/2014/main" id="{00000000-0008-0000-0D00-00004B340000}"/>
            </a:ext>
          </a:extLst>
        </xdr:cNvPr>
        <xdr:cNvSpPr txBox="1">
          <a:spLocks noChangeArrowheads="1"/>
        </xdr:cNvSpPr>
      </xdr:nvSpPr>
      <xdr:spPr bwMode="auto">
        <a:xfrm>
          <a:off x="5238750" y="3514725"/>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23</xdr:row>
      <xdr:rowOff>142875</xdr:rowOff>
    </xdr:from>
    <xdr:to>
      <xdr:col>10</xdr:col>
      <xdr:colOff>152400</xdr:colOff>
      <xdr:row>24</xdr:row>
      <xdr:rowOff>133350</xdr:rowOff>
    </xdr:to>
    <xdr:sp macro="" textlink="">
      <xdr:nvSpPr>
        <xdr:cNvPr id="13388" name="Text 76">
          <a:extLst>
            <a:ext uri="{FF2B5EF4-FFF2-40B4-BE49-F238E27FC236}">
              <a16:creationId xmlns:a16="http://schemas.microsoft.com/office/drawing/2014/main" id="{00000000-0008-0000-0D00-00004C340000}"/>
            </a:ext>
          </a:extLst>
        </xdr:cNvPr>
        <xdr:cNvSpPr txBox="1">
          <a:spLocks noChangeArrowheads="1"/>
        </xdr:cNvSpPr>
      </xdr:nvSpPr>
      <xdr:spPr bwMode="auto">
        <a:xfrm>
          <a:off x="5238750" y="3676650"/>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24</xdr:row>
      <xdr:rowOff>133350</xdr:rowOff>
    </xdr:from>
    <xdr:to>
      <xdr:col>10</xdr:col>
      <xdr:colOff>152400</xdr:colOff>
      <xdr:row>25</xdr:row>
      <xdr:rowOff>133350</xdr:rowOff>
    </xdr:to>
    <xdr:sp macro="" textlink="">
      <xdr:nvSpPr>
        <xdr:cNvPr id="13389" name="Text 77">
          <a:extLst>
            <a:ext uri="{FF2B5EF4-FFF2-40B4-BE49-F238E27FC236}">
              <a16:creationId xmlns:a16="http://schemas.microsoft.com/office/drawing/2014/main" id="{00000000-0008-0000-0D00-00004D340000}"/>
            </a:ext>
          </a:extLst>
        </xdr:cNvPr>
        <xdr:cNvSpPr txBox="1">
          <a:spLocks noChangeArrowheads="1"/>
        </xdr:cNvSpPr>
      </xdr:nvSpPr>
      <xdr:spPr bwMode="auto">
        <a:xfrm>
          <a:off x="5238750" y="3838575"/>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25</xdr:row>
      <xdr:rowOff>142875</xdr:rowOff>
    </xdr:from>
    <xdr:to>
      <xdr:col>10</xdr:col>
      <xdr:colOff>152400</xdr:colOff>
      <xdr:row>26</xdr:row>
      <xdr:rowOff>142875</xdr:rowOff>
    </xdr:to>
    <xdr:sp macro="" textlink="">
      <xdr:nvSpPr>
        <xdr:cNvPr id="13390" name="Text 78">
          <a:extLst>
            <a:ext uri="{FF2B5EF4-FFF2-40B4-BE49-F238E27FC236}">
              <a16:creationId xmlns:a16="http://schemas.microsoft.com/office/drawing/2014/main" id="{00000000-0008-0000-0D00-00004E340000}"/>
            </a:ext>
          </a:extLst>
        </xdr:cNvPr>
        <xdr:cNvSpPr txBox="1">
          <a:spLocks noChangeArrowheads="1"/>
        </xdr:cNvSpPr>
      </xdr:nvSpPr>
      <xdr:spPr bwMode="auto">
        <a:xfrm>
          <a:off x="5238750" y="400050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26</xdr:row>
      <xdr:rowOff>142875</xdr:rowOff>
    </xdr:from>
    <xdr:to>
      <xdr:col>10</xdr:col>
      <xdr:colOff>152400</xdr:colOff>
      <xdr:row>27</xdr:row>
      <xdr:rowOff>142875</xdr:rowOff>
    </xdr:to>
    <xdr:sp macro="" textlink="">
      <xdr:nvSpPr>
        <xdr:cNvPr id="13391" name="MittelIntensiv">
          <a:extLst>
            <a:ext uri="{FF2B5EF4-FFF2-40B4-BE49-F238E27FC236}">
              <a16:creationId xmlns:a16="http://schemas.microsoft.com/office/drawing/2014/main" id="{00000000-0008-0000-0D00-00004F340000}"/>
            </a:ext>
          </a:extLst>
        </xdr:cNvPr>
        <xdr:cNvSpPr txBox="1">
          <a:spLocks noChangeArrowheads="1"/>
        </xdr:cNvSpPr>
      </xdr:nvSpPr>
      <xdr:spPr bwMode="auto">
        <a:xfrm>
          <a:off x="5238750" y="4162425"/>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xdr:txBody>
    </xdr:sp>
    <xdr:clientData/>
  </xdr:twoCellAnchor>
  <xdr:twoCellAnchor>
    <xdr:from>
      <xdr:col>10</xdr:col>
      <xdr:colOff>0</xdr:colOff>
      <xdr:row>27</xdr:row>
      <xdr:rowOff>152400</xdr:rowOff>
    </xdr:from>
    <xdr:to>
      <xdr:col>10</xdr:col>
      <xdr:colOff>200025</xdr:colOff>
      <xdr:row>28</xdr:row>
      <xdr:rowOff>152400</xdr:rowOff>
    </xdr:to>
    <xdr:sp macro="" textlink="">
      <xdr:nvSpPr>
        <xdr:cNvPr id="13392" name="Intensiv">
          <a:extLst>
            <a:ext uri="{FF2B5EF4-FFF2-40B4-BE49-F238E27FC236}">
              <a16:creationId xmlns:a16="http://schemas.microsoft.com/office/drawing/2014/main" id="{00000000-0008-0000-0D00-000050340000}"/>
            </a:ext>
          </a:extLst>
        </xdr:cNvPr>
        <xdr:cNvSpPr txBox="1">
          <a:spLocks noChangeArrowheads="1"/>
        </xdr:cNvSpPr>
      </xdr:nvSpPr>
      <xdr:spPr bwMode="auto">
        <a:xfrm>
          <a:off x="5238750" y="4324350"/>
          <a:ext cx="200025" cy="161925"/>
        </a:xfrm>
        <a:prstGeom prst="rect">
          <a:avLst/>
        </a:prstGeom>
        <a:noFill/>
        <a:ln w="1">
          <a:noFill/>
          <a:miter lim="800000"/>
          <a:headEnd/>
          <a:tailEnd/>
        </a:ln>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xdr:txBody>
    </xdr:sp>
    <xdr:clientData/>
  </xdr:twoCellAnchor>
  <xdr:twoCellAnchor>
    <xdr:from>
      <xdr:col>11</xdr:col>
      <xdr:colOff>9525</xdr:colOff>
      <xdr:row>30</xdr:row>
      <xdr:rowOff>19050</xdr:rowOff>
    </xdr:from>
    <xdr:to>
      <xdr:col>11</xdr:col>
      <xdr:colOff>180975</xdr:colOff>
      <xdr:row>31</xdr:row>
      <xdr:rowOff>0</xdr:rowOff>
    </xdr:to>
    <xdr:sp macro="" textlink="">
      <xdr:nvSpPr>
        <xdr:cNvPr id="13393" name="Text 81">
          <a:extLst>
            <a:ext uri="{FF2B5EF4-FFF2-40B4-BE49-F238E27FC236}">
              <a16:creationId xmlns:a16="http://schemas.microsoft.com/office/drawing/2014/main" id="{00000000-0008-0000-0D00-000051340000}"/>
            </a:ext>
          </a:extLst>
        </xdr:cNvPr>
        <xdr:cNvSpPr txBox="1">
          <a:spLocks noChangeArrowheads="1"/>
        </xdr:cNvSpPr>
      </xdr:nvSpPr>
      <xdr:spPr bwMode="auto">
        <a:xfrm>
          <a:off x="6391275" y="5248275"/>
          <a:ext cx="17145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5]</a:t>
          </a:r>
        </a:p>
      </xdr:txBody>
    </xdr:sp>
    <xdr:clientData/>
  </xdr:twoCellAnchor>
  <xdr:twoCellAnchor>
    <xdr:from>
      <xdr:col>10</xdr:col>
      <xdr:colOff>0</xdr:colOff>
      <xdr:row>21</xdr:row>
      <xdr:rowOff>133350</xdr:rowOff>
    </xdr:from>
    <xdr:to>
      <xdr:col>10</xdr:col>
      <xdr:colOff>152400</xdr:colOff>
      <xdr:row>22</xdr:row>
      <xdr:rowOff>142875</xdr:rowOff>
    </xdr:to>
    <xdr:sp macro="" textlink="">
      <xdr:nvSpPr>
        <xdr:cNvPr id="13394" name="Text 82">
          <a:extLst>
            <a:ext uri="{FF2B5EF4-FFF2-40B4-BE49-F238E27FC236}">
              <a16:creationId xmlns:a16="http://schemas.microsoft.com/office/drawing/2014/main" id="{00000000-0008-0000-0D00-000052340000}"/>
            </a:ext>
          </a:extLst>
        </xdr:cNvPr>
        <xdr:cNvSpPr txBox="1">
          <a:spLocks noChangeArrowheads="1"/>
        </xdr:cNvSpPr>
      </xdr:nvSpPr>
      <xdr:spPr bwMode="auto">
        <a:xfrm>
          <a:off x="5238750" y="335280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14</xdr:col>
      <xdr:colOff>38100</xdr:colOff>
      <xdr:row>32</xdr:row>
      <xdr:rowOff>0</xdr:rowOff>
    </xdr:from>
    <xdr:to>
      <xdr:col>14</xdr:col>
      <xdr:colOff>142875</xdr:colOff>
      <xdr:row>32</xdr:row>
      <xdr:rowOff>152400</xdr:rowOff>
    </xdr:to>
    <xdr:sp macro="" textlink="">
      <xdr:nvSpPr>
        <xdr:cNvPr id="13395" name="Text 83">
          <a:extLst>
            <a:ext uri="{FF2B5EF4-FFF2-40B4-BE49-F238E27FC236}">
              <a16:creationId xmlns:a16="http://schemas.microsoft.com/office/drawing/2014/main" id="{00000000-0008-0000-0D00-000053340000}"/>
            </a:ext>
          </a:extLst>
        </xdr:cNvPr>
        <xdr:cNvSpPr txBox="1">
          <a:spLocks noChangeArrowheads="1"/>
        </xdr:cNvSpPr>
      </xdr:nvSpPr>
      <xdr:spPr bwMode="auto">
        <a:xfrm>
          <a:off x="7362825" y="4762500"/>
          <a:ext cx="104775"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3</xdr:col>
      <xdr:colOff>304800</xdr:colOff>
      <xdr:row>104</xdr:row>
      <xdr:rowOff>152400</xdr:rowOff>
    </xdr:from>
    <xdr:to>
      <xdr:col>4</xdr:col>
      <xdr:colOff>95250</xdr:colOff>
      <xdr:row>105</xdr:row>
      <xdr:rowOff>142875</xdr:rowOff>
    </xdr:to>
    <xdr:sp macro="" textlink="">
      <xdr:nvSpPr>
        <xdr:cNvPr id="13396" name="Text 84">
          <a:extLst>
            <a:ext uri="{FF2B5EF4-FFF2-40B4-BE49-F238E27FC236}">
              <a16:creationId xmlns:a16="http://schemas.microsoft.com/office/drawing/2014/main" id="{00000000-0008-0000-0D00-000054340000}"/>
            </a:ext>
          </a:extLst>
        </xdr:cNvPr>
        <xdr:cNvSpPr txBox="1">
          <a:spLocks noChangeArrowheads="1"/>
        </xdr:cNvSpPr>
      </xdr:nvSpPr>
      <xdr:spPr bwMode="auto">
        <a:xfrm>
          <a:off x="2581275" y="14839950"/>
          <a:ext cx="2286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12]</a:t>
          </a:r>
        </a:p>
      </xdr:txBody>
    </xdr:sp>
    <xdr:clientData/>
  </xdr:twoCellAnchor>
  <xdr:twoCellAnchor>
    <xdr:from>
      <xdr:col>3</xdr:col>
      <xdr:colOff>9525</xdr:colOff>
      <xdr:row>87</xdr:row>
      <xdr:rowOff>0</xdr:rowOff>
    </xdr:from>
    <xdr:to>
      <xdr:col>3</xdr:col>
      <xdr:colOff>180975</xdr:colOff>
      <xdr:row>88</xdr:row>
      <xdr:rowOff>0</xdr:rowOff>
    </xdr:to>
    <xdr:sp macro="" textlink="">
      <xdr:nvSpPr>
        <xdr:cNvPr id="13397" name="Text 85">
          <a:extLst>
            <a:ext uri="{FF2B5EF4-FFF2-40B4-BE49-F238E27FC236}">
              <a16:creationId xmlns:a16="http://schemas.microsoft.com/office/drawing/2014/main" id="{00000000-0008-0000-0D00-000055340000}"/>
            </a:ext>
          </a:extLst>
        </xdr:cNvPr>
        <xdr:cNvSpPr txBox="1">
          <a:spLocks noChangeArrowheads="1"/>
        </xdr:cNvSpPr>
      </xdr:nvSpPr>
      <xdr:spPr bwMode="auto">
        <a:xfrm>
          <a:off x="2286000" y="12268200"/>
          <a:ext cx="171450" cy="1714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8]</a:t>
          </a:r>
        </a:p>
      </xdr:txBody>
    </xdr:sp>
    <xdr:clientData/>
  </xdr:twoCellAnchor>
  <xdr:twoCellAnchor>
    <xdr:from>
      <xdr:col>14</xdr:col>
      <xdr:colOff>333375</xdr:colOff>
      <xdr:row>24</xdr:row>
      <xdr:rowOff>142875</xdr:rowOff>
    </xdr:from>
    <xdr:to>
      <xdr:col>15</xdr:col>
      <xdr:colOff>133350</xdr:colOff>
      <xdr:row>25</xdr:row>
      <xdr:rowOff>114300</xdr:rowOff>
    </xdr:to>
    <xdr:sp macro="" textlink="">
      <xdr:nvSpPr>
        <xdr:cNvPr id="13398" name="Text 86">
          <a:extLst>
            <a:ext uri="{FF2B5EF4-FFF2-40B4-BE49-F238E27FC236}">
              <a16:creationId xmlns:a16="http://schemas.microsoft.com/office/drawing/2014/main" id="{00000000-0008-0000-0D00-000056340000}"/>
            </a:ext>
          </a:extLst>
        </xdr:cNvPr>
        <xdr:cNvSpPr txBox="1">
          <a:spLocks noChangeArrowheads="1"/>
        </xdr:cNvSpPr>
      </xdr:nvSpPr>
      <xdr:spPr bwMode="auto">
        <a:xfrm>
          <a:off x="7600950"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15</xdr:col>
      <xdr:colOff>333375</xdr:colOff>
      <xdr:row>24</xdr:row>
      <xdr:rowOff>142875</xdr:rowOff>
    </xdr:from>
    <xdr:to>
      <xdr:col>16</xdr:col>
      <xdr:colOff>133350</xdr:colOff>
      <xdr:row>25</xdr:row>
      <xdr:rowOff>114300</xdr:rowOff>
    </xdr:to>
    <xdr:sp macro="" textlink="">
      <xdr:nvSpPr>
        <xdr:cNvPr id="13399" name="Text 87">
          <a:extLst>
            <a:ext uri="{FF2B5EF4-FFF2-40B4-BE49-F238E27FC236}">
              <a16:creationId xmlns:a16="http://schemas.microsoft.com/office/drawing/2014/main" id="{00000000-0008-0000-0D00-000057340000}"/>
            </a:ext>
          </a:extLst>
        </xdr:cNvPr>
        <xdr:cNvSpPr txBox="1">
          <a:spLocks noChangeArrowheads="1"/>
        </xdr:cNvSpPr>
      </xdr:nvSpPr>
      <xdr:spPr bwMode="auto">
        <a:xfrm>
          <a:off x="8029575"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16</xdr:col>
      <xdr:colOff>333375</xdr:colOff>
      <xdr:row>24</xdr:row>
      <xdr:rowOff>142875</xdr:rowOff>
    </xdr:from>
    <xdr:to>
      <xdr:col>17</xdr:col>
      <xdr:colOff>133350</xdr:colOff>
      <xdr:row>25</xdr:row>
      <xdr:rowOff>114300</xdr:rowOff>
    </xdr:to>
    <xdr:sp macro="" textlink="">
      <xdr:nvSpPr>
        <xdr:cNvPr id="13401" name="Text 89">
          <a:extLst>
            <a:ext uri="{FF2B5EF4-FFF2-40B4-BE49-F238E27FC236}">
              <a16:creationId xmlns:a16="http://schemas.microsoft.com/office/drawing/2014/main" id="{00000000-0008-0000-0D00-000059340000}"/>
            </a:ext>
          </a:extLst>
        </xdr:cNvPr>
        <xdr:cNvSpPr txBox="1">
          <a:spLocks noChangeArrowheads="1"/>
        </xdr:cNvSpPr>
      </xdr:nvSpPr>
      <xdr:spPr bwMode="auto">
        <a:xfrm>
          <a:off x="8458200"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editAs="oneCell">
    <xdr:from>
      <xdr:col>1</xdr:col>
      <xdr:colOff>0</xdr:colOff>
      <xdr:row>0</xdr:row>
      <xdr:rowOff>85725</xdr:rowOff>
    </xdr:from>
    <xdr:to>
      <xdr:col>2</xdr:col>
      <xdr:colOff>1362075</xdr:colOff>
      <xdr:row>0</xdr:row>
      <xdr:rowOff>514350</xdr:rowOff>
    </xdr:to>
    <xdr:pic>
      <xdr:nvPicPr>
        <xdr:cNvPr id="14195" name="Logo">
          <a:extLst>
            <a:ext uri="{FF2B5EF4-FFF2-40B4-BE49-F238E27FC236}">
              <a16:creationId xmlns:a16="http://schemas.microsoft.com/office/drawing/2014/main" id="{00000000-0008-0000-0D00-0000733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10</xdr:col>
      <xdr:colOff>0</xdr:colOff>
      <xdr:row>19</xdr:row>
      <xdr:rowOff>142875</xdr:rowOff>
    </xdr:from>
    <xdr:to>
      <xdr:col>10</xdr:col>
      <xdr:colOff>152400</xdr:colOff>
      <xdr:row>20</xdr:row>
      <xdr:rowOff>133350</xdr:rowOff>
    </xdr:to>
    <xdr:sp macro="" textlink="">
      <xdr:nvSpPr>
        <xdr:cNvPr id="13403" name="Text 90">
          <a:extLst>
            <a:ext uri="{FF2B5EF4-FFF2-40B4-BE49-F238E27FC236}">
              <a16:creationId xmlns:a16="http://schemas.microsoft.com/office/drawing/2014/main" id="{00000000-0008-0000-0D00-00005B340000}"/>
            </a:ext>
          </a:extLst>
        </xdr:cNvPr>
        <xdr:cNvSpPr txBox="1">
          <a:spLocks noChangeArrowheads="1"/>
        </xdr:cNvSpPr>
      </xdr:nvSpPr>
      <xdr:spPr bwMode="auto">
        <a:xfrm>
          <a:off x="5238750" y="30480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20</xdr:row>
      <xdr:rowOff>133350</xdr:rowOff>
    </xdr:from>
    <xdr:to>
      <xdr:col>10</xdr:col>
      <xdr:colOff>152400</xdr:colOff>
      <xdr:row>21</xdr:row>
      <xdr:rowOff>123825</xdr:rowOff>
    </xdr:to>
    <xdr:sp macro="" textlink="">
      <xdr:nvSpPr>
        <xdr:cNvPr id="13404" name="Text Box 151">
          <a:extLst>
            <a:ext uri="{FF2B5EF4-FFF2-40B4-BE49-F238E27FC236}">
              <a16:creationId xmlns:a16="http://schemas.microsoft.com/office/drawing/2014/main" id="{00000000-0008-0000-0D00-00005C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18</xdr:row>
      <xdr:rowOff>9525</xdr:rowOff>
    </xdr:from>
    <xdr:to>
      <xdr:col>10</xdr:col>
      <xdr:colOff>152400</xdr:colOff>
      <xdr:row>18</xdr:row>
      <xdr:rowOff>152400</xdr:rowOff>
    </xdr:to>
    <xdr:sp macro="" textlink="">
      <xdr:nvSpPr>
        <xdr:cNvPr id="13405" name="Text Box 152">
          <a:extLst>
            <a:ext uri="{FF2B5EF4-FFF2-40B4-BE49-F238E27FC236}">
              <a16:creationId xmlns:a16="http://schemas.microsoft.com/office/drawing/2014/main" id="{00000000-0008-0000-0D00-00005D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14</xdr:col>
          <xdr:colOff>95250</xdr:colOff>
          <xdr:row>4</xdr:row>
          <xdr:rowOff>57150</xdr:rowOff>
        </xdr:from>
        <xdr:to>
          <xdr:col>20</xdr:col>
          <xdr:colOff>476250</xdr:colOff>
          <xdr:row>5</xdr:row>
          <xdr:rowOff>190500</xdr:rowOff>
        </xdr:to>
        <xdr:sp macro="" textlink="">
          <xdr:nvSpPr>
            <xdr:cNvPr id="13329" name="Butt NB1" hidden="1">
              <a:extLst>
                <a:ext uri="{63B3BB69-23CF-44E3-9099-C40C66FF867C}">
                  <a14:compatExt spid="_x0000_s13329"/>
                </a:ext>
                <a:ext uri="{FF2B5EF4-FFF2-40B4-BE49-F238E27FC236}">
                  <a16:creationId xmlns:a16="http://schemas.microsoft.com/office/drawing/2014/main" id="{00000000-0008-0000-0B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"Nährstoffbedarf" ausfüllen, aktualisieren</a:t>
              </a:r>
            </a:p>
          </xdr:txBody>
        </xdr:sp>
        <xdr:clientData fPrintsWithSheet="0"/>
      </xdr:twoCellAnchor>
    </mc:Choice>
    <mc:Fallback/>
  </mc:AlternateContent>
  <xdr:twoCellAnchor>
    <xdr:from>
      <xdr:col>2</xdr:col>
      <xdr:colOff>1047750</xdr:colOff>
      <xdr:row>67</xdr:row>
      <xdr:rowOff>0</xdr:rowOff>
    </xdr:from>
    <xdr:to>
      <xdr:col>7</xdr:col>
      <xdr:colOff>419100</xdr:colOff>
      <xdr:row>68</xdr:row>
      <xdr:rowOff>9525</xdr:rowOff>
    </xdr:to>
    <xdr:sp macro="" textlink="Texte!A917">
      <xdr:nvSpPr>
        <xdr:cNvPr id="13465" name="txt_BAuzone">
          <a:extLst>
            <a:ext uri="{FF2B5EF4-FFF2-40B4-BE49-F238E27FC236}">
              <a16:creationId xmlns:a16="http://schemas.microsoft.com/office/drawing/2014/main" id="{00000000-0008-0000-0D00-000099340000}"/>
            </a:ext>
          </a:extLst>
        </xdr:cNvPr>
        <xdr:cNvSpPr>
          <a:spLocks noChangeArrowheads="1" noTextEdit="1"/>
        </xdr:cNvSpPr>
      </xdr:nvSpPr>
      <xdr:spPr bwMode="auto">
        <a:xfrm>
          <a:off x="1171575" y="9353550"/>
          <a:ext cx="28860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fld id="{E65BE2F4-7D76-4328-B890-A1DCD49F15EC}" type="TxLink">
            <a:rPr lang="de-CH" sz="900" b="1" i="0" u="none" strike="noStrike" baseline="0">
              <a:solidFill>
                <a:srgbClr val="000000"/>
              </a:solidFill>
              <a:latin typeface="ARIAL"/>
              <a:cs typeface="ARIAL"/>
            </a:rPr>
            <a:pPr algn="ctr" rtl="0">
              <a:defRPr sz="1000"/>
            </a:pPr>
            <a:t>(Gesamtfläche C - Bauzone ausserhalb LN  = LN)</a:t>
          </a:fld>
          <a:endParaRPr lang="de-CH" sz="900" b="1" i="0" u="none" strike="noStrike" baseline="0">
            <a:solidFill>
              <a:srgbClr val="000000"/>
            </a:solidFill>
            <a:latin typeface="ARIAL"/>
            <a:cs typeface="ARIAL"/>
          </a:endParaRPr>
        </a:p>
      </xdr:txBody>
    </xdr:sp>
    <xdr:clientData fPrintsWithSheet="0"/>
  </xdr:twoCellAnchor>
  <xdr:twoCellAnchor>
    <xdr:from>
      <xdr:col>10</xdr:col>
      <xdr:colOff>1</xdr:colOff>
      <xdr:row>13</xdr:row>
      <xdr:rowOff>152400</xdr:rowOff>
    </xdr:from>
    <xdr:to>
      <xdr:col>10</xdr:col>
      <xdr:colOff>190501</xdr:colOff>
      <xdr:row>15</xdr:row>
      <xdr:rowOff>9525</xdr:rowOff>
    </xdr:to>
    <xdr:sp macro="" textlink="">
      <xdr:nvSpPr>
        <xdr:cNvPr id="13707" name="Text 70">
          <a:extLst>
            <a:ext uri="{FF2B5EF4-FFF2-40B4-BE49-F238E27FC236}">
              <a16:creationId xmlns:a16="http://schemas.microsoft.com/office/drawing/2014/main" id="{00000000-0008-0000-0D00-00008B350000}"/>
            </a:ext>
          </a:extLst>
        </xdr:cNvPr>
        <xdr:cNvSpPr txBox="1">
          <a:spLocks noChangeArrowheads="1"/>
        </xdr:cNvSpPr>
      </xdr:nvSpPr>
      <xdr:spPr bwMode="auto">
        <a:xfrm>
          <a:off x="5800726" y="2762250"/>
          <a:ext cx="1905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12</xdr:row>
      <xdr:rowOff>152400</xdr:rowOff>
    </xdr:from>
    <xdr:to>
      <xdr:col>10</xdr:col>
      <xdr:colOff>219075</xdr:colOff>
      <xdr:row>14</xdr:row>
      <xdr:rowOff>28575</xdr:rowOff>
    </xdr:to>
    <xdr:sp macro="" textlink="">
      <xdr:nvSpPr>
        <xdr:cNvPr id="13708" name="Text 70.2">
          <a:extLst>
            <a:ext uri="{FF2B5EF4-FFF2-40B4-BE49-F238E27FC236}">
              <a16:creationId xmlns:a16="http://schemas.microsoft.com/office/drawing/2014/main" id="{00000000-0008-0000-0D00-00008C350000}"/>
            </a:ext>
          </a:extLst>
        </xdr:cNvPr>
        <xdr:cNvSpPr txBox="1">
          <a:spLocks noChangeArrowheads="1"/>
        </xdr:cNvSpPr>
      </xdr:nvSpPr>
      <xdr:spPr bwMode="auto">
        <a:xfrm>
          <a:off x="5381625" y="2400300"/>
          <a:ext cx="2190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1</xdr:colOff>
      <xdr:row>15</xdr:row>
      <xdr:rowOff>0</xdr:rowOff>
    </xdr:from>
    <xdr:to>
      <xdr:col>10</xdr:col>
      <xdr:colOff>190501</xdr:colOff>
      <xdr:row>16</xdr:row>
      <xdr:rowOff>0</xdr:rowOff>
    </xdr:to>
    <xdr:sp macro="" textlink="">
      <xdr:nvSpPr>
        <xdr:cNvPr id="44" name="Text 70">
          <a:extLst>
            <a:ext uri="{FF2B5EF4-FFF2-40B4-BE49-F238E27FC236}">
              <a16:creationId xmlns:a16="http://schemas.microsoft.com/office/drawing/2014/main" id="{00000000-0008-0000-0D00-00002C000000}"/>
            </a:ext>
          </a:extLst>
        </xdr:cNvPr>
        <xdr:cNvSpPr txBox="1">
          <a:spLocks noChangeArrowheads="1"/>
        </xdr:cNvSpPr>
      </xdr:nvSpPr>
      <xdr:spPr bwMode="auto">
        <a:xfrm>
          <a:off x="5800726" y="2933700"/>
          <a:ext cx="19050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10</xdr:row>
      <xdr:rowOff>152400</xdr:rowOff>
    </xdr:from>
    <xdr:to>
      <xdr:col>10</xdr:col>
      <xdr:colOff>152400</xdr:colOff>
      <xdr:row>11</xdr:row>
      <xdr:rowOff>142875</xdr:rowOff>
    </xdr:to>
    <xdr:sp macro="" textlink="">
      <xdr:nvSpPr>
        <xdr:cNvPr id="45" name="Text 49">
          <a:extLst>
            <a:ext uri="{FF2B5EF4-FFF2-40B4-BE49-F238E27FC236}">
              <a16:creationId xmlns:a16="http://schemas.microsoft.com/office/drawing/2014/main" id="{00000000-0008-0000-0D00-00002D000000}"/>
            </a:ext>
          </a:extLst>
        </xdr:cNvPr>
        <xdr:cNvSpPr txBox="1">
          <a:spLocks noChangeArrowheads="1"/>
        </xdr:cNvSpPr>
      </xdr:nvSpPr>
      <xdr:spPr bwMode="auto">
        <a:xfrm>
          <a:off x="5381625" y="2238375"/>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0</xdr:row>
      <xdr:rowOff>47625</xdr:rowOff>
    </xdr:from>
    <xdr:to>
      <xdr:col>2</xdr:col>
      <xdr:colOff>581025</xdr:colOff>
      <xdr:row>0</xdr:row>
      <xdr:rowOff>476250</xdr:rowOff>
    </xdr:to>
    <xdr:pic>
      <xdr:nvPicPr>
        <xdr:cNvPr id="378901" name="Logo">
          <a:extLst>
            <a:ext uri="{FF2B5EF4-FFF2-40B4-BE49-F238E27FC236}">
              <a16:creationId xmlns:a16="http://schemas.microsoft.com/office/drawing/2014/main" id="{00000000-0008-0000-0E00-000015C8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76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6406" name="Logo">
          <a:extLst>
            <a:ext uri="{FF2B5EF4-FFF2-40B4-BE49-F238E27FC236}">
              <a16:creationId xmlns:a16="http://schemas.microsoft.com/office/drawing/2014/main" id="{00000000-0008-0000-0F00-0000164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6</xdr:row>
          <xdr:rowOff>76200</xdr:rowOff>
        </xdr:from>
        <xdr:to>
          <xdr:col>2</xdr:col>
          <xdr:colOff>609600</xdr:colOff>
          <xdr:row>7</xdr:row>
          <xdr:rowOff>95250</xdr:rowOff>
        </xdr:to>
        <xdr:sp macro="" textlink="">
          <xdr:nvSpPr>
            <xdr:cNvPr id="16385" name="Butt Gemüse1"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Gemüsekulturen auswählen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7430" name="Logo">
          <a:extLst>
            <a:ext uri="{FF2B5EF4-FFF2-40B4-BE49-F238E27FC236}">
              <a16:creationId xmlns:a16="http://schemas.microsoft.com/office/drawing/2014/main" id="{00000000-0008-0000-1000-0000164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6</xdr:row>
          <xdr:rowOff>76200</xdr:rowOff>
        </xdr:from>
        <xdr:to>
          <xdr:col>2</xdr:col>
          <xdr:colOff>590550</xdr:colOff>
          <xdr:row>7</xdr:row>
          <xdr:rowOff>95250</xdr:rowOff>
        </xdr:to>
        <xdr:sp macro="" textlink="">
          <xdr:nvSpPr>
            <xdr:cNvPr id="17409" name="Butt Gemüse2" hidden="1">
              <a:extLst>
                <a:ext uri="{63B3BB69-23CF-44E3-9099-C40C66FF867C}">
                  <a14:compatExt spid="_x0000_s17409"/>
                </a:ext>
                <a:ext uri="{FF2B5EF4-FFF2-40B4-BE49-F238E27FC236}">
                  <a16:creationId xmlns:a16="http://schemas.microsoft.com/office/drawing/2014/main" id="{00000000-0008-0000-0E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Gemüsekulturen auswählen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8457" name="Logo">
          <a:extLst>
            <a:ext uri="{FF2B5EF4-FFF2-40B4-BE49-F238E27FC236}">
              <a16:creationId xmlns:a16="http://schemas.microsoft.com/office/drawing/2014/main" id="{00000000-0008-0000-1100-0000194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xdr:colOff>
          <xdr:row>6</xdr:row>
          <xdr:rowOff>76200</xdr:rowOff>
        </xdr:from>
        <xdr:to>
          <xdr:col>2</xdr:col>
          <xdr:colOff>581025</xdr:colOff>
          <xdr:row>7</xdr:row>
          <xdr:rowOff>95250</xdr:rowOff>
        </xdr:to>
        <xdr:sp macro="" textlink="">
          <xdr:nvSpPr>
            <xdr:cNvPr id="18433" name="Butt Obst" hidden="1">
              <a:extLst>
                <a:ext uri="{63B3BB69-23CF-44E3-9099-C40C66FF867C}">
                  <a14:compatExt spid="_x0000_s18433"/>
                </a:ext>
                <a:ext uri="{FF2B5EF4-FFF2-40B4-BE49-F238E27FC236}">
                  <a16:creationId xmlns:a16="http://schemas.microsoft.com/office/drawing/2014/main" id="{00000000-0008-0000-0F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Obstkulturen auswählen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29</xdr:row>
          <xdr:rowOff>76200</xdr:rowOff>
        </xdr:from>
        <xdr:to>
          <xdr:col>2</xdr:col>
          <xdr:colOff>590550</xdr:colOff>
          <xdr:row>30</xdr:row>
          <xdr:rowOff>95250</xdr:rowOff>
        </xdr:to>
        <xdr:sp macro="" textlink="">
          <xdr:nvSpPr>
            <xdr:cNvPr id="18436" name="Butt Beeren" hidden="1">
              <a:extLst>
                <a:ext uri="{63B3BB69-23CF-44E3-9099-C40C66FF867C}">
                  <a14:compatExt spid="_x0000_s18436"/>
                </a:ext>
                <a:ext uri="{FF2B5EF4-FFF2-40B4-BE49-F238E27FC236}">
                  <a16:creationId xmlns:a16="http://schemas.microsoft.com/office/drawing/2014/main" id="{00000000-0008-0000-0F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Beerenkulturen auswählen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2</xdr:col>
      <xdr:colOff>628650</xdr:colOff>
      <xdr:row>0</xdr:row>
      <xdr:rowOff>514350</xdr:rowOff>
    </xdr:to>
    <xdr:pic>
      <xdr:nvPicPr>
        <xdr:cNvPr id="22788" name="Logo">
          <a:extLst>
            <a:ext uri="{FF2B5EF4-FFF2-40B4-BE49-F238E27FC236}">
              <a16:creationId xmlns:a16="http://schemas.microsoft.com/office/drawing/2014/main" id="{00000000-0008-0000-1500-0000045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8</xdr:col>
      <xdr:colOff>304800</xdr:colOff>
      <xdr:row>48</xdr:row>
      <xdr:rowOff>19050</xdr:rowOff>
    </xdr:from>
    <xdr:to>
      <xdr:col>9</xdr:col>
      <xdr:colOff>19050</xdr:colOff>
      <xdr:row>48</xdr:row>
      <xdr:rowOff>161925</xdr:rowOff>
    </xdr:to>
    <xdr:sp macro="" textlink="">
      <xdr:nvSpPr>
        <xdr:cNvPr id="22541" name="Text FussM">
          <a:extLst>
            <a:ext uri="{FF2B5EF4-FFF2-40B4-BE49-F238E27FC236}">
              <a16:creationId xmlns:a16="http://schemas.microsoft.com/office/drawing/2014/main" id="{00000000-0008-0000-1500-00000D580000}"/>
            </a:ext>
          </a:extLst>
        </xdr:cNvPr>
        <xdr:cNvSpPr txBox="1">
          <a:spLocks noChangeArrowheads="1"/>
        </xdr:cNvSpPr>
      </xdr:nvSpPr>
      <xdr:spPr bwMode="auto">
        <a:xfrm>
          <a:off x="6553200" y="9725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8</xdr:col>
      <xdr:colOff>304800</xdr:colOff>
      <xdr:row>50</xdr:row>
      <xdr:rowOff>0</xdr:rowOff>
    </xdr:from>
    <xdr:to>
      <xdr:col>9</xdr:col>
      <xdr:colOff>19050</xdr:colOff>
      <xdr:row>50</xdr:row>
      <xdr:rowOff>9525</xdr:rowOff>
    </xdr:to>
    <xdr:sp macro="" textlink="">
      <xdr:nvSpPr>
        <xdr:cNvPr id="22545" name="txt_ME">
          <a:extLst>
            <a:ext uri="{FF2B5EF4-FFF2-40B4-BE49-F238E27FC236}">
              <a16:creationId xmlns:a16="http://schemas.microsoft.com/office/drawing/2014/main" id="{00000000-0008-0000-1500-000011580000}"/>
            </a:ext>
          </a:extLst>
        </xdr:cNvPr>
        <xdr:cNvSpPr txBox="1">
          <a:spLocks noChangeArrowheads="1"/>
        </xdr:cNvSpPr>
      </xdr:nvSpPr>
      <xdr:spPr bwMode="auto">
        <a:xfrm>
          <a:off x="6553200" y="10125075"/>
          <a:ext cx="15240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a:t>
          </a:r>
        </a:p>
      </xdr:txBody>
    </xdr:sp>
    <xdr:clientData/>
  </xdr:twoCellAnchor>
  <xdr:twoCellAnchor>
    <xdr:from>
      <xdr:col>8</xdr:col>
      <xdr:colOff>304800</xdr:colOff>
      <xdr:row>50</xdr:row>
      <xdr:rowOff>19050</xdr:rowOff>
    </xdr:from>
    <xdr:to>
      <xdr:col>9</xdr:col>
      <xdr:colOff>19050</xdr:colOff>
      <xdr:row>50</xdr:row>
      <xdr:rowOff>161925</xdr:rowOff>
    </xdr:to>
    <xdr:sp macro="" textlink="">
      <xdr:nvSpPr>
        <xdr:cNvPr id="22546" name="Text FussE">
          <a:extLst>
            <a:ext uri="{FF2B5EF4-FFF2-40B4-BE49-F238E27FC236}">
              <a16:creationId xmlns:a16="http://schemas.microsoft.com/office/drawing/2014/main" id="{00000000-0008-0000-1500-000012580000}"/>
            </a:ext>
          </a:extLst>
        </xdr:cNvPr>
        <xdr:cNvSpPr txBox="1">
          <a:spLocks noChangeArrowheads="1"/>
        </xdr:cNvSpPr>
      </xdr:nvSpPr>
      <xdr:spPr bwMode="auto">
        <a:xfrm>
          <a:off x="6553200" y="101441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10</xdr:col>
      <xdr:colOff>390525</xdr:colOff>
      <xdr:row>48</xdr:row>
      <xdr:rowOff>57150</xdr:rowOff>
    </xdr:from>
    <xdr:to>
      <xdr:col>11</xdr:col>
      <xdr:colOff>38100</xdr:colOff>
      <xdr:row>48</xdr:row>
      <xdr:rowOff>190500</xdr:rowOff>
    </xdr:to>
    <xdr:sp macro="" textlink="">
      <xdr:nvSpPr>
        <xdr:cNvPr id="22548" name="Text PlusM">
          <a:extLst>
            <a:ext uri="{FF2B5EF4-FFF2-40B4-BE49-F238E27FC236}">
              <a16:creationId xmlns:a16="http://schemas.microsoft.com/office/drawing/2014/main" id="{00000000-0008-0000-1500-000014580000}"/>
            </a:ext>
          </a:extLst>
        </xdr:cNvPr>
        <xdr:cNvSpPr txBox="1">
          <a:spLocks noChangeArrowheads="1"/>
        </xdr:cNvSpPr>
      </xdr:nvSpPr>
      <xdr:spPr bwMode="auto">
        <a:xfrm>
          <a:off x="7515225" y="976312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xdr:twoCellAnchor>
    <xdr:from>
      <xdr:col>10</xdr:col>
      <xdr:colOff>390525</xdr:colOff>
      <xdr:row>50</xdr:row>
      <xdr:rowOff>57150</xdr:rowOff>
    </xdr:from>
    <xdr:to>
      <xdr:col>11</xdr:col>
      <xdr:colOff>38100</xdr:colOff>
      <xdr:row>50</xdr:row>
      <xdr:rowOff>190500</xdr:rowOff>
    </xdr:to>
    <xdr:sp macro="" textlink="">
      <xdr:nvSpPr>
        <xdr:cNvPr id="22549" name="Text PlusE">
          <a:extLst>
            <a:ext uri="{FF2B5EF4-FFF2-40B4-BE49-F238E27FC236}">
              <a16:creationId xmlns:a16="http://schemas.microsoft.com/office/drawing/2014/main" id="{00000000-0008-0000-1500-000015580000}"/>
            </a:ext>
          </a:extLst>
        </xdr:cNvPr>
        <xdr:cNvSpPr txBox="1">
          <a:spLocks noChangeArrowheads="1"/>
        </xdr:cNvSpPr>
      </xdr:nvSpPr>
      <xdr:spPr bwMode="auto">
        <a:xfrm>
          <a:off x="7515225" y="1018222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xdr:twoCellAnchor>
    <xdr:from>
      <xdr:col>10</xdr:col>
      <xdr:colOff>19050</xdr:colOff>
      <xdr:row>48</xdr:row>
      <xdr:rowOff>28575</xdr:rowOff>
    </xdr:from>
    <xdr:to>
      <xdr:col>10</xdr:col>
      <xdr:colOff>142875</xdr:colOff>
      <xdr:row>48</xdr:row>
      <xdr:rowOff>161925</xdr:rowOff>
    </xdr:to>
    <xdr:sp macro="" textlink="">
      <xdr:nvSpPr>
        <xdr:cNvPr id="22550" name="Text xM">
          <a:extLst>
            <a:ext uri="{FF2B5EF4-FFF2-40B4-BE49-F238E27FC236}">
              <a16:creationId xmlns:a16="http://schemas.microsoft.com/office/drawing/2014/main" id="{00000000-0008-0000-1500-000016580000}"/>
            </a:ext>
          </a:extLst>
        </xdr:cNvPr>
        <xdr:cNvSpPr txBox="1">
          <a:spLocks noChangeArrowheads="1"/>
        </xdr:cNvSpPr>
      </xdr:nvSpPr>
      <xdr:spPr bwMode="auto">
        <a:xfrm>
          <a:off x="7143750" y="973455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10</xdr:col>
      <xdr:colOff>19050</xdr:colOff>
      <xdr:row>50</xdr:row>
      <xdr:rowOff>28575</xdr:rowOff>
    </xdr:from>
    <xdr:to>
      <xdr:col>10</xdr:col>
      <xdr:colOff>142875</xdr:colOff>
      <xdr:row>50</xdr:row>
      <xdr:rowOff>161925</xdr:rowOff>
    </xdr:to>
    <xdr:sp macro="" textlink="">
      <xdr:nvSpPr>
        <xdr:cNvPr id="22551" name="Text xE">
          <a:extLst>
            <a:ext uri="{FF2B5EF4-FFF2-40B4-BE49-F238E27FC236}">
              <a16:creationId xmlns:a16="http://schemas.microsoft.com/office/drawing/2014/main" id="{00000000-0008-0000-1500-000017580000}"/>
            </a:ext>
          </a:extLst>
        </xdr:cNvPr>
        <xdr:cNvSpPr txBox="1">
          <a:spLocks noChangeArrowheads="1"/>
        </xdr:cNvSpPr>
      </xdr:nvSpPr>
      <xdr:spPr bwMode="auto">
        <a:xfrm>
          <a:off x="7143750" y="1015365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8</xdr:col>
      <xdr:colOff>304800</xdr:colOff>
      <xdr:row>51</xdr:row>
      <xdr:rowOff>19050</xdr:rowOff>
    </xdr:from>
    <xdr:to>
      <xdr:col>9</xdr:col>
      <xdr:colOff>19050</xdr:colOff>
      <xdr:row>51</xdr:row>
      <xdr:rowOff>161925</xdr:rowOff>
    </xdr:to>
    <xdr:sp macro="" textlink="">
      <xdr:nvSpPr>
        <xdr:cNvPr id="22561" name="Text FussR">
          <a:extLst>
            <a:ext uri="{FF2B5EF4-FFF2-40B4-BE49-F238E27FC236}">
              <a16:creationId xmlns:a16="http://schemas.microsoft.com/office/drawing/2014/main" id="{00000000-0008-0000-1500-000021580000}"/>
            </a:ext>
          </a:extLst>
        </xdr:cNvPr>
        <xdr:cNvSpPr txBox="1">
          <a:spLocks noChangeArrowheads="1"/>
        </xdr:cNvSpPr>
      </xdr:nvSpPr>
      <xdr:spPr bwMode="auto">
        <a:xfrm>
          <a:off x="6553200" y="1035367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10</xdr:col>
      <xdr:colOff>19050</xdr:colOff>
      <xdr:row>51</xdr:row>
      <xdr:rowOff>28575</xdr:rowOff>
    </xdr:from>
    <xdr:to>
      <xdr:col>10</xdr:col>
      <xdr:colOff>142875</xdr:colOff>
      <xdr:row>51</xdr:row>
      <xdr:rowOff>161925</xdr:rowOff>
    </xdr:to>
    <xdr:sp macro="" textlink="">
      <xdr:nvSpPr>
        <xdr:cNvPr id="22562" name="Text xR">
          <a:extLst>
            <a:ext uri="{FF2B5EF4-FFF2-40B4-BE49-F238E27FC236}">
              <a16:creationId xmlns:a16="http://schemas.microsoft.com/office/drawing/2014/main" id="{00000000-0008-0000-1500-000022580000}"/>
            </a:ext>
          </a:extLst>
        </xdr:cNvPr>
        <xdr:cNvSpPr txBox="1">
          <a:spLocks noChangeArrowheads="1"/>
        </xdr:cNvSpPr>
      </xdr:nvSpPr>
      <xdr:spPr bwMode="auto">
        <a:xfrm>
          <a:off x="7143750" y="1036320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10</xdr:col>
      <xdr:colOff>400050</xdr:colOff>
      <xdr:row>51</xdr:row>
      <xdr:rowOff>57150</xdr:rowOff>
    </xdr:from>
    <xdr:to>
      <xdr:col>11</xdr:col>
      <xdr:colOff>47625</xdr:colOff>
      <xdr:row>51</xdr:row>
      <xdr:rowOff>190500</xdr:rowOff>
    </xdr:to>
    <xdr:sp macro="" textlink="">
      <xdr:nvSpPr>
        <xdr:cNvPr id="22563" name="Text PlusR">
          <a:extLst>
            <a:ext uri="{FF2B5EF4-FFF2-40B4-BE49-F238E27FC236}">
              <a16:creationId xmlns:a16="http://schemas.microsoft.com/office/drawing/2014/main" id="{00000000-0008-0000-1500-000023580000}"/>
            </a:ext>
          </a:extLst>
        </xdr:cNvPr>
        <xdr:cNvSpPr txBox="1">
          <a:spLocks noChangeArrowheads="1"/>
        </xdr:cNvSpPr>
      </xdr:nvSpPr>
      <xdr:spPr bwMode="auto">
        <a:xfrm>
          <a:off x="7524750" y="1039177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xdr:from>
          <xdr:col>10</xdr:col>
          <xdr:colOff>180975</xdr:colOff>
          <xdr:row>5</xdr:row>
          <xdr:rowOff>38100</xdr:rowOff>
        </xdr:from>
        <xdr:to>
          <xdr:col>13</xdr:col>
          <xdr:colOff>438150</xdr:colOff>
          <xdr:row>6</xdr:row>
          <xdr:rowOff>142875</xdr:rowOff>
        </xdr:to>
        <xdr:sp macro="" textlink="">
          <xdr:nvSpPr>
            <xdr:cNvPr id="22529" name="Butt Hd" hidden="1">
              <a:extLst>
                <a:ext uri="{63B3BB69-23CF-44E3-9099-C40C66FF867C}">
                  <a14:compatExt spid="_x0000_s22529"/>
                </a:ext>
                <a:ext uri="{FF2B5EF4-FFF2-40B4-BE49-F238E27FC236}">
                  <a16:creationId xmlns:a16="http://schemas.microsoft.com/office/drawing/2014/main" id="{00000000-0008-0000-10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aktualisieren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838200</xdr:colOff>
          <xdr:row>3</xdr:row>
          <xdr:rowOff>57150</xdr:rowOff>
        </xdr:from>
        <xdr:to>
          <xdr:col>8</xdr:col>
          <xdr:colOff>266700</xdr:colOff>
          <xdr:row>3</xdr:row>
          <xdr:rowOff>238125</xdr:rowOff>
        </xdr:to>
        <xdr:sp macro="" textlink="">
          <xdr:nvSpPr>
            <xdr:cNvPr id="22567" name="Butt Gehalte" hidden="1">
              <a:extLst>
                <a:ext uri="{63B3BB69-23CF-44E3-9099-C40C66FF867C}">
                  <a14:compatExt spid="_x0000_s22567"/>
                </a:ext>
                <a:ext uri="{FF2B5EF4-FFF2-40B4-BE49-F238E27FC236}">
                  <a16:creationId xmlns:a16="http://schemas.microsoft.com/office/drawing/2014/main" id="{00000000-0008-0000-1000-00002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Blätter für detaillierte Hofdüngerberechnung (Volumen u. Gehalt) einblenden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247650</xdr:colOff>
      <xdr:row>0</xdr:row>
      <xdr:rowOff>504825</xdr:rowOff>
    </xdr:to>
    <xdr:pic>
      <xdr:nvPicPr>
        <xdr:cNvPr id="66810" name="Logo">
          <a:extLst>
            <a:ext uri="{FF2B5EF4-FFF2-40B4-BE49-F238E27FC236}">
              <a16:creationId xmlns:a16="http://schemas.microsoft.com/office/drawing/2014/main" id="{00000000-0008-0000-1600-0000FA0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133350</xdr:rowOff>
        </xdr:from>
        <xdr:to>
          <xdr:col>18</xdr:col>
          <xdr:colOff>552450</xdr:colOff>
          <xdr:row>4</xdr:row>
          <xdr:rowOff>38100</xdr:rowOff>
        </xdr:to>
        <xdr:sp macro="" textlink="">
          <xdr:nvSpPr>
            <xdr:cNvPr id="66730" name="Butt Volumen" hidden="1">
              <a:extLst>
                <a:ext uri="{63B3BB69-23CF-44E3-9099-C40C66FF867C}">
                  <a14:compatExt spid="_x0000_s66730"/>
                </a:ext>
                <a:ext uri="{FF2B5EF4-FFF2-40B4-BE49-F238E27FC236}">
                  <a16:creationId xmlns:a16="http://schemas.microsoft.com/office/drawing/2014/main" id="{00000000-0008-0000-1100-0000AA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Blatt "Hofdüngeranfall" einblenden, - nur Lagervolumenberechnung </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600075</xdr:colOff>
      <xdr:row>0</xdr:row>
      <xdr:rowOff>504825</xdr:rowOff>
    </xdr:to>
    <xdr:pic>
      <xdr:nvPicPr>
        <xdr:cNvPr id="388117" name="Logo">
          <a:extLst>
            <a:ext uri="{FF2B5EF4-FFF2-40B4-BE49-F238E27FC236}">
              <a16:creationId xmlns:a16="http://schemas.microsoft.com/office/drawing/2014/main" id="{00000000-0008-0000-1700-000015EC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1</xdr:col>
      <xdr:colOff>1428750</xdr:colOff>
      <xdr:row>0</xdr:row>
      <xdr:rowOff>504825</xdr:rowOff>
    </xdr:to>
    <xdr:pic>
      <xdr:nvPicPr>
        <xdr:cNvPr id="68630" name="Logo">
          <a:extLst>
            <a:ext uri="{FF2B5EF4-FFF2-40B4-BE49-F238E27FC236}">
              <a16:creationId xmlns:a16="http://schemas.microsoft.com/office/drawing/2014/main" id="{00000000-0008-0000-1800-0000160C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0</xdr:colOff>
          <xdr:row>1</xdr:row>
          <xdr:rowOff>38100</xdr:rowOff>
        </xdr:from>
        <xdr:to>
          <xdr:col>34</xdr:col>
          <xdr:colOff>95250</xdr:colOff>
          <xdr:row>2</xdr:row>
          <xdr:rowOff>152400</xdr:rowOff>
        </xdr:to>
        <xdr:sp macro="" textlink="">
          <xdr:nvSpPr>
            <xdr:cNvPr id="68609" name="Butt Ausfüllen" hidden="1">
              <a:extLst>
                <a:ext uri="{63B3BB69-23CF-44E3-9099-C40C66FF867C}">
                  <a14:compatExt spid="_x0000_s68609"/>
                </a:ext>
                <a:ext uri="{FF2B5EF4-FFF2-40B4-BE49-F238E27FC236}">
                  <a16:creationId xmlns:a16="http://schemas.microsoft.com/office/drawing/2014/main" id="{00000000-0008-0000-1300-00000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CH" sz="1200" b="1" i="0" u="none" strike="noStrike" baseline="0">
                  <a:solidFill>
                    <a:srgbClr val="0000FF"/>
                  </a:solidFill>
                  <a:latin typeface="Arial"/>
                  <a:cs typeface="Arial"/>
                </a:rPr>
                <a:t>G ü l l e -   &amp;   M i s t a n f a l l   a u s f ü l l e 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4</xdr:col>
      <xdr:colOff>104775</xdr:colOff>
      <xdr:row>0</xdr:row>
      <xdr:rowOff>514350</xdr:rowOff>
    </xdr:to>
    <xdr:pic>
      <xdr:nvPicPr>
        <xdr:cNvPr id="402535" name="Logo">
          <a:extLst>
            <a:ext uri="{FF2B5EF4-FFF2-40B4-BE49-F238E27FC236}">
              <a16:creationId xmlns:a16="http://schemas.microsoft.com/office/drawing/2014/main" id="{00000000-0008-0000-2200-00006724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8</xdr:col>
      <xdr:colOff>333375</xdr:colOff>
      <xdr:row>43</xdr:row>
      <xdr:rowOff>9525</xdr:rowOff>
    </xdr:from>
    <xdr:to>
      <xdr:col>9</xdr:col>
      <xdr:colOff>133350</xdr:colOff>
      <xdr:row>44</xdr:row>
      <xdr:rowOff>161925</xdr:rowOff>
    </xdr:to>
    <xdr:grpSp>
      <xdr:nvGrpSpPr>
        <xdr:cNvPr id="402536" name="pfeilSömmerung">
          <a:extLst>
            <a:ext uri="{FF2B5EF4-FFF2-40B4-BE49-F238E27FC236}">
              <a16:creationId xmlns:a16="http://schemas.microsoft.com/office/drawing/2014/main" id="{00000000-0008-0000-2200-000068240600}"/>
            </a:ext>
          </a:extLst>
        </xdr:cNvPr>
        <xdr:cNvGrpSpPr>
          <a:grpSpLocks/>
        </xdr:cNvGrpSpPr>
      </xdr:nvGrpSpPr>
      <xdr:grpSpPr bwMode="auto">
        <a:xfrm>
          <a:off x="4585311" y="7744891"/>
          <a:ext cx="502457" cy="201534"/>
          <a:chOff x="4772025" y="8172450"/>
          <a:chExt cx="523875" cy="228600"/>
        </a:xfrm>
      </xdr:grpSpPr>
      <xdr:cxnSp macro="">
        <xdr:nvCxnSpPr>
          <xdr:cNvPr id="3" name="Gerade Verbindung mit Pfeil 2">
            <a:extLst>
              <a:ext uri="{FF2B5EF4-FFF2-40B4-BE49-F238E27FC236}">
                <a16:creationId xmlns:a16="http://schemas.microsoft.com/office/drawing/2014/main" id="{00000000-0008-0000-2200-000003000000}"/>
              </a:ext>
            </a:extLst>
          </xdr:cNvPr>
          <xdr:cNvCxnSpPr/>
        </xdr:nvCxnSpPr>
        <xdr:spPr>
          <a:xfrm flipH="1">
            <a:off x="4772025" y="8172450"/>
            <a:ext cx="9525" cy="22860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xnSp macro="">
        <xdr:nvCxnSpPr>
          <xdr:cNvPr id="8" name="Gerade Verbindung mit Pfeil 7">
            <a:extLst>
              <a:ext uri="{FF2B5EF4-FFF2-40B4-BE49-F238E27FC236}">
                <a16:creationId xmlns:a16="http://schemas.microsoft.com/office/drawing/2014/main" id="{00000000-0008-0000-2200-000008000000}"/>
              </a:ext>
            </a:extLst>
          </xdr:cNvPr>
          <xdr:cNvCxnSpPr/>
        </xdr:nvCxnSpPr>
        <xdr:spPr>
          <a:xfrm>
            <a:off x="4781550" y="8391525"/>
            <a:ext cx="514350"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257175</xdr:colOff>
          <xdr:row>6</xdr:row>
          <xdr:rowOff>180975</xdr:rowOff>
        </xdr:from>
        <xdr:to>
          <xdr:col>4</xdr:col>
          <xdr:colOff>561975</xdr:colOff>
          <xdr:row>8</xdr:row>
          <xdr:rowOff>9525</xdr:rowOff>
        </xdr:to>
        <xdr:sp macro="" textlink="">
          <xdr:nvSpPr>
            <xdr:cNvPr id="402446" name="chk_MehrZonen" hidden="1">
              <a:extLst>
                <a:ext uri="{63B3BB69-23CF-44E3-9099-C40C66FF867C}">
                  <a14:compatExt spid="_x0000_s402446"/>
                </a:ext>
                <a:ext uri="{FF2B5EF4-FFF2-40B4-BE49-F238E27FC236}">
                  <a16:creationId xmlns:a16="http://schemas.microsoft.com/office/drawing/2014/main" id="{00000000-0008-0000-1400-00000E24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4</xdr:col>
      <xdr:colOff>495300</xdr:colOff>
      <xdr:row>7</xdr:row>
      <xdr:rowOff>9525</xdr:rowOff>
    </xdr:from>
    <xdr:to>
      <xdr:col>8</xdr:col>
      <xdr:colOff>47625</xdr:colOff>
      <xdr:row>8</xdr:row>
      <xdr:rowOff>0</xdr:rowOff>
    </xdr:to>
    <xdr:sp macro="" textlink="Texte!A2410">
      <xdr:nvSpPr>
        <xdr:cNvPr id="402449" name="txt_MehrZonen">
          <a:extLst>
            <a:ext uri="{FF2B5EF4-FFF2-40B4-BE49-F238E27FC236}">
              <a16:creationId xmlns:a16="http://schemas.microsoft.com/office/drawing/2014/main" id="{00000000-0008-0000-2200-000011240600}"/>
            </a:ext>
          </a:extLst>
        </xdr:cNvPr>
        <xdr:cNvSpPr>
          <a:spLocks noChangeArrowheads="1" noTextEdit="1"/>
        </xdr:cNvSpPr>
      </xdr:nvSpPr>
      <xdr:spPr bwMode="auto">
        <a:xfrm>
          <a:off x="1962150" y="1790700"/>
          <a:ext cx="25241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fld id="{D1D1214A-3D7D-4803-A38D-E9F2F65CE7D2}" type="TxLink">
            <a:rPr lang="de-CH" sz="1000" b="0" i="0" u="none" strike="noStrike" baseline="0">
              <a:solidFill>
                <a:srgbClr val="000000"/>
              </a:solidFill>
              <a:latin typeface="Arial"/>
              <a:cs typeface="Arial"/>
            </a:rPr>
            <a:pPr algn="l" rtl="0">
              <a:defRPr sz="1000"/>
            </a:pPr>
            <a:t>Fläche auf verschiedene Zonen aufteilen</a:t>
          </a:fld>
          <a:endParaRPr lang="de-CH" sz="1000" b="0" i="0" u="none" strike="noStrike" baseline="0">
            <a:solidFill>
              <a:srgbClr val="000000"/>
            </a:solidFill>
            <a:latin typeface="Arial"/>
            <a:cs typeface="Arial"/>
          </a:endParaRP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3</xdr:col>
      <xdr:colOff>257175</xdr:colOff>
      <xdr:row>0</xdr:row>
      <xdr:rowOff>514350</xdr:rowOff>
    </xdr:to>
    <xdr:pic>
      <xdr:nvPicPr>
        <xdr:cNvPr id="126177" name="Logo">
          <a:extLst>
            <a:ext uri="{FF2B5EF4-FFF2-40B4-BE49-F238E27FC236}">
              <a16:creationId xmlns:a16="http://schemas.microsoft.com/office/drawing/2014/main" id="{00000000-0008-0000-2300-0000E1EC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3</xdr:col>
      <xdr:colOff>447675</xdr:colOff>
      <xdr:row>12</xdr:row>
      <xdr:rowOff>66675</xdr:rowOff>
    </xdr:from>
    <xdr:to>
      <xdr:col>7</xdr:col>
      <xdr:colOff>95250</xdr:colOff>
      <xdr:row>13</xdr:row>
      <xdr:rowOff>28575</xdr:rowOff>
    </xdr:to>
    <xdr:sp macro="" textlink="">
      <xdr:nvSpPr>
        <xdr:cNvPr id="126178" name="AutoShape 17">
          <a:extLst>
            <a:ext uri="{FF2B5EF4-FFF2-40B4-BE49-F238E27FC236}">
              <a16:creationId xmlns:a16="http://schemas.microsoft.com/office/drawing/2014/main" id="{00000000-0008-0000-2300-0000E2EC0100}"/>
            </a:ext>
          </a:extLst>
        </xdr:cNvPr>
        <xdr:cNvSpPr>
          <a:spLocks/>
        </xdr:cNvSpPr>
      </xdr:nvSpPr>
      <xdr:spPr bwMode="auto">
        <a:xfrm rot="5400000">
          <a:off x="2786062" y="1433513"/>
          <a:ext cx="104775" cy="2152650"/>
        </a:xfrm>
        <a:prstGeom prst="leftBrace">
          <a:avLst>
            <a:gd name="adj1" fmla="val 171212"/>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9525</xdr:colOff>
      <xdr:row>12</xdr:row>
      <xdr:rowOff>57150</xdr:rowOff>
    </xdr:from>
    <xdr:to>
      <xdr:col>15</xdr:col>
      <xdr:colOff>304800</xdr:colOff>
      <xdr:row>13</xdr:row>
      <xdr:rowOff>19050</xdr:rowOff>
    </xdr:to>
    <xdr:sp macro="" textlink="">
      <xdr:nvSpPr>
        <xdr:cNvPr id="126179" name="AutoShape 18">
          <a:extLst>
            <a:ext uri="{FF2B5EF4-FFF2-40B4-BE49-F238E27FC236}">
              <a16:creationId xmlns:a16="http://schemas.microsoft.com/office/drawing/2014/main" id="{00000000-0008-0000-2300-0000E3EC0100}"/>
            </a:ext>
          </a:extLst>
        </xdr:cNvPr>
        <xdr:cNvSpPr>
          <a:spLocks/>
        </xdr:cNvSpPr>
      </xdr:nvSpPr>
      <xdr:spPr bwMode="auto">
        <a:xfrm rot="5400000">
          <a:off x="6667500" y="161925"/>
          <a:ext cx="104775" cy="4676775"/>
        </a:xfrm>
        <a:prstGeom prst="leftBrace">
          <a:avLst>
            <a:gd name="adj1" fmla="val 371970"/>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381000</xdr:colOff>
      <xdr:row>38</xdr:row>
      <xdr:rowOff>19050</xdr:rowOff>
    </xdr:from>
    <xdr:to>
      <xdr:col>10</xdr:col>
      <xdr:colOff>381000</xdr:colOff>
      <xdr:row>38</xdr:row>
      <xdr:rowOff>200025</xdr:rowOff>
    </xdr:to>
    <xdr:sp macro="" textlink="">
      <xdr:nvSpPr>
        <xdr:cNvPr id="126180" name="Line 6">
          <a:extLst>
            <a:ext uri="{FF2B5EF4-FFF2-40B4-BE49-F238E27FC236}">
              <a16:creationId xmlns:a16="http://schemas.microsoft.com/office/drawing/2014/main" id="{00000000-0008-0000-2300-0000E4EC0100}"/>
            </a:ext>
          </a:extLst>
        </xdr:cNvPr>
        <xdr:cNvSpPr>
          <a:spLocks noChangeShapeType="1"/>
        </xdr:cNvSpPr>
      </xdr:nvSpPr>
      <xdr:spPr bwMode="auto">
        <a:xfrm>
          <a:off x="6019800" y="7105650"/>
          <a:ext cx="0" cy="180975"/>
        </a:xfrm>
        <a:prstGeom prst="line">
          <a:avLst/>
        </a:prstGeom>
        <a:noFill/>
        <a:ln w="2857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14</xdr:col>
      <xdr:colOff>381000</xdr:colOff>
      <xdr:row>38</xdr:row>
      <xdr:rowOff>19050</xdr:rowOff>
    </xdr:from>
    <xdr:to>
      <xdr:col>14</xdr:col>
      <xdr:colOff>381000</xdr:colOff>
      <xdr:row>38</xdr:row>
      <xdr:rowOff>200025</xdr:rowOff>
    </xdr:to>
    <xdr:sp macro="" textlink="">
      <xdr:nvSpPr>
        <xdr:cNvPr id="126181" name="Line 11">
          <a:extLst>
            <a:ext uri="{FF2B5EF4-FFF2-40B4-BE49-F238E27FC236}">
              <a16:creationId xmlns:a16="http://schemas.microsoft.com/office/drawing/2014/main" id="{00000000-0008-0000-2300-0000E5EC0100}"/>
            </a:ext>
          </a:extLst>
        </xdr:cNvPr>
        <xdr:cNvSpPr>
          <a:spLocks noChangeShapeType="1"/>
        </xdr:cNvSpPr>
      </xdr:nvSpPr>
      <xdr:spPr bwMode="auto">
        <a:xfrm>
          <a:off x="8486775" y="7105650"/>
          <a:ext cx="0" cy="180975"/>
        </a:xfrm>
        <a:prstGeom prst="line">
          <a:avLst/>
        </a:prstGeom>
        <a:noFill/>
        <a:ln w="2857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6</xdr:col>
      <xdr:colOff>123825</xdr:colOff>
      <xdr:row>39</xdr:row>
      <xdr:rowOff>190500</xdr:rowOff>
    </xdr:from>
    <xdr:to>
      <xdr:col>6</xdr:col>
      <xdr:colOff>495300</xdr:colOff>
      <xdr:row>46</xdr:row>
      <xdr:rowOff>85725</xdr:rowOff>
    </xdr:to>
    <xdr:sp macro="" textlink="">
      <xdr:nvSpPr>
        <xdr:cNvPr id="126182" name="Accolade fermante 5">
          <a:extLst>
            <a:ext uri="{FF2B5EF4-FFF2-40B4-BE49-F238E27FC236}">
              <a16:creationId xmlns:a16="http://schemas.microsoft.com/office/drawing/2014/main" id="{00000000-0008-0000-2300-0000E6EC0100}"/>
            </a:ext>
          </a:extLst>
        </xdr:cNvPr>
        <xdr:cNvSpPr>
          <a:spLocks/>
        </xdr:cNvSpPr>
      </xdr:nvSpPr>
      <xdr:spPr bwMode="auto">
        <a:xfrm>
          <a:off x="3228975" y="7486650"/>
          <a:ext cx="371475" cy="1362075"/>
        </a:xfrm>
        <a:prstGeom prst="rightBrace">
          <a:avLst>
            <a:gd name="adj1" fmla="val 8335"/>
            <a:gd name="adj2" fmla="val 12884"/>
          </a:avLst>
        </a:prstGeom>
        <a:solidFill>
          <a:srgbClr val="FFFFFF"/>
        </a:solidFill>
        <a:ln w="9525" algn="ctr">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3</xdr:col>
          <xdr:colOff>466725</xdr:colOff>
          <xdr:row>23</xdr:row>
          <xdr:rowOff>57150</xdr:rowOff>
        </xdr:from>
        <xdr:to>
          <xdr:col>4</xdr:col>
          <xdr:colOff>247650</xdr:colOff>
          <xdr:row>24</xdr:row>
          <xdr:rowOff>66675</xdr:rowOff>
        </xdr:to>
        <xdr:sp macro="" textlink="">
          <xdr:nvSpPr>
            <xdr:cNvPr id="126056" name="chk_MehrZonen" hidden="1">
              <a:extLst>
                <a:ext uri="{63B3BB69-23CF-44E3-9099-C40C66FF867C}">
                  <a14:compatExt spid="_x0000_s126056"/>
                </a:ext>
                <a:ext uri="{FF2B5EF4-FFF2-40B4-BE49-F238E27FC236}">
                  <a16:creationId xmlns:a16="http://schemas.microsoft.com/office/drawing/2014/main" id="{00000000-0008-0000-1500-000068E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4</xdr:col>
      <xdr:colOff>180975</xdr:colOff>
      <xdr:row>23</xdr:row>
      <xdr:rowOff>104775</xdr:rowOff>
    </xdr:from>
    <xdr:to>
      <xdr:col>9</xdr:col>
      <xdr:colOff>85725</xdr:colOff>
      <xdr:row>24</xdr:row>
      <xdr:rowOff>85725</xdr:rowOff>
    </xdr:to>
    <xdr:sp macro="" textlink="Texte!A2491">
      <xdr:nvSpPr>
        <xdr:cNvPr id="126057" name="txt_MehrZonen">
          <a:extLst>
            <a:ext uri="{FF2B5EF4-FFF2-40B4-BE49-F238E27FC236}">
              <a16:creationId xmlns:a16="http://schemas.microsoft.com/office/drawing/2014/main" id="{00000000-0008-0000-2300-000069EC0100}"/>
            </a:ext>
          </a:extLst>
        </xdr:cNvPr>
        <xdr:cNvSpPr>
          <a:spLocks noChangeArrowheads="1" noTextEdit="1"/>
        </xdr:cNvSpPr>
      </xdr:nvSpPr>
      <xdr:spPr bwMode="auto">
        <a:xfrm>
          <a:off x="1724025" y="4619625"/>
          <a:ext cx="29527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fld id="{721818D6-FE26-44D5-9BA5-F2F80C2D9076}" type="TxLink">
            <a:rPr lang="de-CH" sz="1000" b="0" i="0" u="none" strike="noStrike" baseline="0">
              <a:solidFill>
                <a:srgbClr val="000000"/>
              </a:solidFill>
              <a:latin typeface="Arial"/>
              <a:cs typeface="Arial"/>
            </a:rPr>
            <a:pPr algn="l" rtl="0">
              <a:defRPr sz="1000"/>
            </a:pPr>
            <a:t>Flächen auf verschiedene Zonen aufteilen</a:t>
          </a:fld>
          <a:endParaRPr lang="de-CH" sz="1000" b="0" i="0" u="none" strike="noStrike" baseline="0">
            <a:solidFill>
              <a:srgbClr val="000000"/>
            </a:solidFill>
            <a:latin typeface="Arial"/>
            <a:cs typeface="Arial"/>
          </a:endParaRP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xdr:colOff>
      <xdr:row>0</xdr:row>
      <xdr:rowOff>38100</xdr:rowOff>
    </xdr:from>
    <xdr:to>
      <xdr:col>3</xdr:col>
      <xdr:colOff>1009650</xdr:colOff>
      <xdr:row>0</xdr:row>
      <xdr:rowOff>447675</xdr:rowOff>
    </xdr:to>
    <xdr:pic>
      <xdr:nvPicPr>
        <xdr:cNvPr id="458847" name="Logo">
          <a:extLst>
            <a:ext uri="{FF2B5EF4-FFF2-40B4-BE49-F238E27FC236}">
              <a16:creationId xmlns:a16="http://schemas.microsoft.com/office/drawing/2014/main" id="{00000000-0008-0000-2400-00005F00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38100"/>
          <a:ext cx="1352550" cy="40957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8</xdr:row>
          <xdr:rowOff>95250</xdr:rowOff>
        </xdr:from>
        <xdr:to>
          <xdr:col>3</xdr:col>
          <xdr:colOff>38100</xdr:colOff>
          <xdr:row>10</xdr:row>
          <xdr:rowOff>76200</xdr:rowOff>
        </xdr:to>
        <xdr:sp macro="" textlink="">
          <xdr:nvSpPr>
            <xdr:cNvPr id="458754" name="chk_MehrZonen" hidden="1">
              <a:extLst>
                <a:ext uri="{63B3BB69-23CF-44E3-9099-C40C66FF867C}">
                  <a14:compatExt spid="_x0000_s458754"/>
                </a:ext>
                <a:ext uri="{FF2B5EF4-FFF2-40B4-BE49-F238E27FC236}">
                  <a16:creationId xmlns:a16="http://schemas.microsoft.com/office/drawing/2014/main" id="{00000000-0008-0000-1600-000002000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3</xdr:col>
      <xdr:colOff>19050</xdr:colOff>
      <xdr:row>8</xdr:row>
      <xdr:rowOff>76200</xdr:rowOff>
    </xdr:from>
    <xdr:to>
      <xdr:col>3</xdr:col>
      <xdr:colOff>2076450</xdr:colOff>
      <xdr:row>10</xdr:row>
      <xdr:rowOff>142875</xdr:rowOff>
    </xdr:to>
    <xdr:sp macro="" textlink="Texte!A2491">
      <xdr:nvSpPr>
        <xdr:cNvPr id="458755" name="txt_MehrZonen">
          <a:extLst>
            <a:ext uri="{FF2B5EF4-FFF2-40B4-BE49-F238E27FC236}">
              <a16:creationId xmlns:a16="http://schemas.microsoft.com/office/drawing/2014/main" id="{00000000-0008-0000-2400-000003000700}"/>
            </a:ext>
          </a:extLst>
        </xdr:cNvPr>
        <xdr:cNvSpPr>
          <a:spLocks noChangeArrowheads="1" noTextEdit="1"/>
        </xdr:cNvSpPr>
      </xdr:nvSpPr>
      <xdr:spPr bwMode="auto">
        <a:xfrm>
          <a:off x="314325" y="1676400"/>
          <a:ext cx="20574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fld id="{B5B0CF5D-07F5-4D03-BCAF-8729F51FD4E7}" type="TxLink">
            <a:rPr lang="de-CH" sz="850" b="0" i="0" u="none" strike="noStrike" baseline="0">
              <a:solidFill>
                <a:srgbClr val="000000"/>
              </a:solidFill>
              <a:latin typeface="Arial"/>
              <a:cs typeface="Arial"/>
            </a:rPr>
            <a:pPr algn="l" rtl="0">
              <a:defRPr sz="1000"/>
            </a:pPr>
            <a:t>Flächen auf verschiedene Zonen aufteilen</a:t>
          </a:fld>
          <a:endParaRPr lang="de-CH" sz="850" b="0" i="0" u="none" strike="noStrike" baseline="0">
            <a:solidFill>
              <a:srgbClr val="000000"/>
            </a:solidFill>
            <a:latin typeface="Arial"/>
            <a:cs typeface="Arial"/>
          </a:endParaRPr>
        </a:p>
      </xdr:txBody>
    </xdr:sp>
    <xdr:clientData fPrintsWithSheet="0"/>
  </xdr:twoCellAnchor>
  <mc:AlternateContent xmlns:mc="http://schemas.openxmlformats.org/markup-compatibility/2006">
    <mc:Choice xmlns:a14="http://schemas.microsoft.com/office/drawing/2010/main" Requires="a14">
      <xdr:twoCellAnchor editAs="oneCell">
        <xdr:from>
          <xdr:col>8</xdr:col>
          <xdr:colOff>38100</xdr:colOff>
          <xdr:row>48</xdr:row>
          <xdr:rowOff>47625</xdr:rowOff>
        </xdr:from>
        <xdr:to>
          <xdr:col>9</xdr:col>
          <xdr:colOff>85725</xdr:colOff>
          <xdr:row>50</xdr:row>
          <xdr:rowOff>38100</xdr:rowOff>
        </xdr:to>
        <xdr:sp macro="" textlink="">
          <xdr:nvSpPr>
            <xdr:cNvPr id="458756" name="chk_Pausch" hidden="1">
              <a:extLst>
                <a:ext uri="{63B3BB69-23CF-44E3-9099-C40C66FF867C}">
                  <a14:compatExt spid="_x0000_s458756"/>
                </a:ext>
                <a:ext uri="{FF2B5EF4-FFF2-40B4-BE49-F238E27FC236}">
                  <a16:creationId xmlns:a16="http://schemas.microsoft.com/office/drawing/2014/main" id="{00000000-0008-0000-1600-000004000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504825</xdr:colOff>
      <xdr:row>11</xdr:row>
      <xdr:rowOff>171450</xdr:rowOff>
    </xdr:from>
    <xdr:to>
      <xdr:col>16</xdr:col>
      <xdr:colOff>28575</xdr:colOff>
      <xdr:row>44</xdr:row>
      <xdr:rowOff>85725</xdr:rowOff>
    </xdr:to>
    <xdr:sp macro="" textlink="">
      <xdr:nvSpPr>
        <xdr:cNvPr id="458759" name="Text Anmerk_1">
          <a:extLst>
            <a:ext uri="{FF2B5EF4-FFF2-40B4-BE49-F238E27FC236}">
              <a16:creationId xmlns:a16="http://schemas.microsoft.com/office/drawing/2014/main" id="{00000000-0008-0000-2400-000007000700}"/>
            </a:ext>
          </a:extLst>
        </xdr:cNvPr>
        <xdr:cNvSpPr txBox="1">
          <a:spLocks noChangeArrowheads="1"/>
        </xdr:cNvSpPr>
      </xdr:nvSpPr>
      <xdr:spPr bwMode="auto">
        <a:xfrm>
          <a:off x="5200650" y="2219325"/>
          <a:ext cx="1238250" cy="5924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ctr" upright="1"/>
        <a:lstStyle/>
        <a:p>
          <a:pPr algn="l" rtl="0">
            <a:defRPr sz="1000"/>
          </a:pPr>
          <a:endParaRPr lang="de-CH" sz="900" b="0" i="0" u="none" strike="noStrike" baseline="0">
            <a:solidFill>
              <a:srgbClr val="808080"/>
            </a:solidFill>
            <a:latin typeface="Arial"/>
            <a:cs typeface="Arial"/>
          </a:endParaRPr>
        </a:p>
        <a:p>
          <a:pPr algn="l" rtl="0">
            <a:defRPr sz="1000"/>
          </a:pPr>
          <a:endParaRPr lang="de-CH" sz="900" b="0" i="0" u="none" strike="noStrike" baseline="0">
            <a:solidFill>
              <a:srgbClr val="808080"/>
            </a:solidFill>
            <a:latin typeface="Arial"/>
            <a:cs typeface="Arial"/>
          </a:endParaRPr>
        </a:p>
      </xdr:txBody>
    </xdr:sp>
    <xdr:clientData/>
  </xdr:twoCellAnchor>
  <xdr:twoCellAnchor>
    <xdr:from>
      <xdr:col>11</xdr:col>
      <xdr:colOff>504825</xdr:colOff>
      <xdr:row>32</xdr:row>
      <xdr:rowOff>66675</xdr:rowOff>
    </xdr:from>
    <xdr:to>
      <xdr:col>16</xdr:col>
      <xdr:colOff>28575</xdr:colOff>
      <xdr:row>33</xdr:row>
      <xdr:rowOff>180975</xdr:rowOff>
    </xdr:to>
    <xdr:sp macro="" textlink="">
      <xdr:nvSpPr>
        <xdr:cNvPr id="458761" name="Text Anmerk_1b">
          <a:extLst>
            <a:ext uri="{FF2B5EF4-FFF2-40B4-BE49-F238E27FC236}">
              <a16:creationId xmlns:a16="http://schemas.microsoft.com/office/drawing/2014/main" id="{00000000-0008-0000-2400-000009000700}"/>
            </a:ext>
          </a:extLst>
        </xdr:cNvPr>
        <xdr:cNvSpPr txBox="1">
          <a:spLocks noChangeArrowheads="1"/>
        </xdr:cNvSpPr>
      </xdr:nvSpPr>
      <xdr:spPr bwMode="auto">
        <a:xfrm>
          <a:off x="5200650" y="5819775"/>
          <a:ext cx="1238250" cy="3238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t" upright="1"/>
        <a:lstStyle/>
        <a:p>
          <a:pPr algn="l" rtl="0">
            <a:defRPr sz="1000"/>
          </a:pPr>
          <a:r>
            <a:rPr lang="de-CH" sz="1000" b="0" i="0" u="none" strike="noStrike" baseline="0">
              <a:solidFill>
                <a:srgbClr val="808080"/>
              </a:solidFill>
              <a:latin typeface="Arial"/>
              <a:cs typeface="Arial"/>
            </a:rPr>
            <a:t>*****</a:t>
          </a:r>
        </a:p>
        <a:p>
          <a:pPr algn="l" rtl="0">
            <a:defRPr sz="1000"/>
          </a:pPr>
          <a:endParaRPr lang="de-CH" sz="1000" b="0" i="0" u="none" strike="noStrike" baseline="0">
            <a:solidFill>
              <a:srgbClr val="808080"/>
            </a:solidFill>
            <a:latin typeface="Arial"/>
            <a:cs typeface="Arial"/>
          </a:endParaRPr>
        </a:p>
      </xdr:txBody>
    </xdr:sp>
    <xdr:clientData/>
  </xdr:twoCellAnchor>
  <xdr:twoCellAnchor>
    <xdr:from>
      <xdr:col>11</xdr:col>
      <xdr:colOff>504825</xdr:colOff>
      <xdr:row>32</xdr:row>
      <xdr:rowOff>180975</xdr:rowOff>
    </xdr:from>
    <xdr:to>
      <xdr:col>16</xdr:col>
      <xdr:colOff>28575</xdr:colOff>
      <xdr:row>43</xdr:row>
      <xdr:rowOff>152400</xdr:rowOff>
    </xdr:to>
    <xdr:sp macro="" textlink="Texte!A2589">
      <xdr:nvSpPr>
        <xdr:cNvPr id="458760" name="Text Anmerk_1a">
          <a:extLst>
            <a:ext uri="{FF2B5EF4-FFF2-40B4-BE49-F238E27FC236}">
              <a16:creationId xmlns:a16="http://schemas.microsoft.com/office/drawing/2014/main" id="{00000000-0008-0000-2400-000008000700}"/>
            </a:ext>
          </a:extLst>
        </xdr:cNvPr>
        <xdr:cNvSpPr txBox="1">
          <a:spLocks noChangeArrowheads="1" noTextEdit="1"/>
        </xdr:cNvSpPr>
      </xdr:nvSpPr>
      <xdr:spPr bwMode="auto">
        <a:xfrm>
          <a:off x="5200650" y="5934075"/>
          <a:ext cx="1238250" cy="20669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t" upright="1"/>
        <a:lstStyle/>
        <a:p>
          <a:pPr algn="l" rtl="0">
            <a:defRPr sz="1000"/>
          </a:pPr>
          <a:fld id="{FA35F411-FD92-455D-AD79-892D2ACFBE15}" type="TxLink">
            <a:rPr lang="de-CH" sz="900" b="0" i="0" u="none" strike="noStrike" baseline="0">
              <a:solidFill>
                <a:srgbClr val="808080"/>
              </a:solidFill>
              <a:latin typeface="Arial"/>
              <a:cs typeface="Arial"/>
            </a:rPr>
            <a:pPr algn="l" rtl="0">
              <a:defRPr sz="1000"/>
            </a:pPr>
            <a:t>Die Beiträge für die Qualitätsstufe III treten 2016 aufgrund der administrativen Vereinfachung nicht in Kraft.</a:t>
          </a:fld>
          <a:endParaRPr lang="de-CH" sz="900" b="0" i="0" u="none" strike="noStrike" baseline="0">
            <a:solidFill>
              <a:srgbClr val="808080"/>
            </a:solidFill>
            <a:latin typeface="Arial"/>
            <a:cs typeface="Aria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447675</xdr:colOff>
      <xdr:row>0</xdr:row>
      <xdr:rowOff>514350</xdr:rowOff>
    </xdr:to>
    <xdr:pic>
      <xdr:nvPicPr>
        <xdr:cNvPr id="405525" name="Logo">
          <a:extLst>
            <a:ext uri="{FF2B5EF4-FFF2-40B4-BE49-F238E27FC236}">
              <a16:creationId xmlns:a16="http://schemas.microsoft.com/office/drawing/2014/main" id="{00000000-0008-0000-2500-00001530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oneCellAnchor>
    <xdr:from>
      <xdr:col>17</xdr:col>
      <xdr:colOff>0</xdr:colOff>
      <xdr:row>124</xdr:row>
      <xdr:rowOff>123825</xdr:rowOff>
    </xdr:from>
    <xdr:ext cx="457" cy="284911"/>
    <xdr:sp macro="" textlink="">
      <xdr:nvSpPr>
        <xdr:cNvPr id="2" name="ZoneTexte 3">
          <a:extLst>
            <a:ext uri="{FF2B5EF4-FFF2-40B4-BE49-F238E27FC236}">
              <a16:creationId xmlns:a16="http://schemas.microsoft.com/office/drawing/2014/main" id="{00000000-0008-0000-2600-000002000000}"/>
            </a:ext>
          </a:extLst>
        </xdr:cNvPr>
        <xdr:cNvSpPr txBox="1"/>
      </xdr:nvSpPr>
      <xdr:spPr>
        <a:xfrm>
          <a:off x="9563100" y="17973675"/>
          <a:ext cx="45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de-CH"/>
        </a:p>
      </xdr:txBody>
    </xdr:sp>
    <xdr:clientData/>
  </xdr:oneCellAnchor>
  <xdr:twoCellAnchor editAs="oneCell">
    <xdr:from>
      <xdr:col>1</xdr:col>
      <xdr:colOff>9525</xdr:colOff>
      <xdr:row>0</xdr:row>
      <xdr:rowOff>85725</xdr:rowOff>
    </xdr:from>
    <xdr:to>
      <xdr:col>1</xdr:col>
      <xdr:colOff>1426845</xdr:colOff>
      <xdr:row>0</xdr:row>
      <xdr:rowOff>514350</xdr:rowOff>
    </xdr:to>
    <xdr:pic>
      <xdr:nvPicPr>
        <xdr:cNvPr id="94464" name="Logo">
          <a:extLst>
            <a:ext uri="{FF2B5EF4-FFF2-40B4-BE49-F238E27FC236}">
              <a16:creationId xmlns:a16="http://schemas.microsoft.com/office/drawing/2014/main" id="{00000000-0008-0000-2600-00000071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142875</xdr:colOff>
          <xdr:row>11</xdr:row>
          <xdr:rowOff>38100</xdr:rowOff>
        </xdr:from>
        <xdr:to>
          <xdr:col>12</xdr:col>
          <xdr:colOff>447675</xdr:colOff>
          <xdr:row>13</xdr:row>
          <xdr:rowOff>19050</xdr:rowOff>
        </xdr:to>
        <xdr:sp macro="" textlink="">
          <xdr:nvSpPr>
            <xdr:cNvPr id="94219" name="chkLaufstallMiKu" hidden="1">
              <a:extLst>
                <a:ext uri="{63B3BB69-23CF-44E3-9099-C40C66FF867C}">
                  <a14:compatExt spid="_x0000_s94219"/>
                </a:ext>
                <a:ext uri="{FF2B5EF4-FFF2-40B4-BE49-F238E27FC236}">
                  <a16:creationId xmlns:a16="http://schemas.microsoft.com/office/drawing/2014/main" id="{00000000-0008-0000-1800-00000B7001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12</xdr:row>
          <xdr:rowOff>142875</xdr:rowOff>
        </xdr:from>
        <xdr:to>
          <xdr:col>12</xdr:col>
          <xdr:colOff>447675</xdr:colOff>
          <xdr:row>14</xdr:row>
          <xdr:rowOff>47625</xdr:rowOff>
        </xdr:to>
        <xdr:sp macro="" textlink="">
          <xdr:nvSpPr>
            <xdr:cNvPr id="94220" name="chkLaufstallJungvieh" hidden="1">
              <a:extLst>
                <a:ext uri="{63B3BB69-23CF-44E3-9099-C40C66FF867C}">
                  <a14:compatExt spid="_x0000_s94220"/>
                </a:ext>
                <a:ext uri="{FF2B5EF4-FFF2-40B4-BE49-F238E27FC236}">
                  <a16:creationId xmlns:a16="http://schemas.microsoft.com/office/drawing/2014/main" id="{00000000-0008-0000-1800-00000C7001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9</xdr:row>
          <xdr:rowOff>19050</xdr:rowOff>
        </xdr:from>
        <xdr:to>
          <xdr:col>18</xdr:col>
          <xdr:colOff>1162050</xdr:colOff>
          <xdr:row>10</xdr:row>
          <xdr:rowOff>38100</xdr:rowOff>
        </xdr:to>
        <xdr:sp macro="" textlink="">
          <xdr:nvSpPr>
            <xdr:cNvPr id="94236" name="Butt GMF" hidden="1">
              <a:extLst>
                <a:ext uri="{63B3BB69-23CF-44E3-9099-C40C66FF867C}">
                  <a14:compatExt spid="_x0000_s94236"/>
                </a:ext>
                <a:ext uri="{FF2B5EF4-FFF2-40B4-BE49-F238E27FC236}">
                  <a16:creationId xmlns:a16="http://schemas.microsoft.com/office/drawing/2014/main" id="{00000000-0008-0000-1800-00001C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"Tierart" ausfüllen,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xdr:row>
          <xdr:rowOff>85725</xdr:rowOff>
        </xdr:from>
        <xdr:to>
          <xdr:col>2</xdr:col>
          <xdr:colOff>371475</xdr:colOff>
          <xdr:row>3</xdr:row>
          <xdr:rowOff>38100</xdr:rowOff>
        </xdr:to>
        <xdr:sp macro="" textlink="">
          <xdr:nvSpPr>
            <xdr:cNvPr id="94378" name="Butt Vorgehen" hidden="1">
              <a:extLst>
                <a:ext uri="{63B3BB69-23CF-44E3-9099-C40C66FF867C}">
                  <a14:compatExt spid="_x0000_s94378"/>
                </a:ext>
                <a:ext uri="{FF2B5EF4-FFF2-40B4-BE49-F238E27FC236}">
                  <a16:creationId xmlns:a16="http://schemas.microsoft.com/office/drawing/2014/main" id="{00000000-0008-0000-1800-0000AA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Zu den Erläuterungen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207</xdr:row>
          <xdr:rowOff>57150</xdr:rowOff>
        </xdr:from>
        <xdr:to>
          <xdr:col>2</xdr:col>
          <xdr:colOff>390525</xdr:colOff>
          <xdr:row>208</xdr:row>
          <xdr:rowOff>104775</xdr:rowOff>
        </xdr:to>
        <xdr:sp macro="" textlink="">
          <xdr:nvSpPr>
            <xdr:cNvPr id="94379" name="Butt zurück" hidden="1">
              <a:extLst>
                <a:ext uri="{63B3BB69-23CF-44E3-9099-C40C66FF867C}">
                  <a14:compatExt spid="_x0000_s94379"/>
                </a:ext>
                <a:ext uri="{FF2B5EF4-FFF2-40B4-BE49-F238E27FC236}">
                  <a16:creationId xmlns:a16="http://schemas.microsoft.com/office/drawing/2014/main" id="{00000000-0008-0000-1800-0000AB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Zurück zur Bilanz</a:t>
              </a:r>
            </a:p>
          </xdr:txBody>
        </xdr:sp>
        <xdr:clientData fPrintsWithSheet="0"/>
      </xdr:twoCellAnchor>
    </mc:Choice>
    <mc:Fallback/>
  </mc:AlternateContent>
  <xdr:oneCellAnchor>
    <xdr:from>
      <xdr:col>17</xdr:col>
      <xdr:colOff>0</xdr:colOff>
      <xdr:row>127</xdr:row>
      <xdr:rowOff>123825</xdr:rowOff>
    </xdr:from>
    <xdr:ext cx="457" cy="284911"/>
    <xdr:sp macro="" textlink="">
      <xdr:nvSpPr>
        <xdr:cNvPr id="3" name="ZoneTexte 3">
          <a:extLst>
            <a:ext uri="{FF2B5EF4-FFF2-40B4-BE49-F238E27FC236}">
              <a16:creationId xmlns:a16="http://schemas.microsoft.com/office/drawing/2014/main" id="{00000000-0008-0000-2600-000003000000}"/>
            </a:ext>
          </a:extLst>
        </xdr:cNvPr>
        <xdr:cNvSpPr txBox="1"/>
      </xdr:nvSpPr>
      <xdr:spPr>
        <a:xfrm>
          <a:off x="9563100" y="17973675"/>
          <a:ext cx="45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de-CH"/>
        </a:p>
      </xdr:txBody>
    </xdr:sp>
    <xdr:clientData/>
  </xdr:oneCellAnchor>
  <xdr:twoCellAnchor>
    <xdr:from>
      <xdr:col>28</xdr:col>
      <xdr:colOff>38100</xdr:colOff>
      <xdr:row>155</xdr:row>
      <xdr:rowOff>142875</xdr:rowOff>
    </xdr:from>
    <xdr:to>
      <xdr:col>30</xdr:col>
      <xdr:colOff>47625</xdr:colOff>
      <xdr:row>163</xdr:row>
      <xdr:rowOff>28575</xdr:rowOff>
    </xdr:to>
    <xdr:sp macro="" textlink="">
      <xdr:nvSpPr>
        <xdr:cNvPr id="94466" name="Rectangle 57">
          <a:extLst>
            <a:ext uri="{FF2B5EF4-FFF2-40B4-BE49-F238E27FC236}">
              <a16:creationId xmlns:a16="http://schemas.microsoft.com/office/drawing/2014/main" id="{00000000-0008-0000-2600-000002710100}"/>
            </a:ext>
          </a:extLst>
        </xdr:cNvPr>
        <xdr:cNvSpPr>
          <a:spLocks noChangeArrowheads="1"/>
        </xdr:cNvSpPr>
      </xdr:nvSpPr>
      <xdr:spPr bwMode="auto">
        <a:xfrm>
          <a:off x="21021675" y="22840950"/>
          <a:ext cx="1171575" cy="1114425"/>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95250</xdr:colOff>
      <xdr:row>0</xdr:row>
      <xdr:rowOff>514350</xdr:rowOff>
    </xdr:to>
    <xdr:pic>
      <xdr:nvPicPr>
        <xdr:cNvPr id="407576" name="Logo">
          <a:extLst>
            <a:ext uri="{FF2B5EF4-FFF2-40B4-BE49-F238E27FC236}">
              <a16:creationId xmlns:a16="http://schemas.microsoft.com/office/drawing/2014/main" id="{00000000-0008-0000-2700-00001838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19050</xdr:colOff>
          <xdr:row>75</xdr:row>
          <xdr:rowOff>123825</xdr:rowOff>
        </xdr:from>
        <xdr:to>
          <xdr:col>8</xdr:col>
          <xdr:colOff>85725</xdr:colOff>
          <xdr:row>77</xdr:row>
          <xdr:rowOff>47625</xdr:rowOff>
        </xdr:to>
        <xdr:sp macro="" textlink="">
          <xdr:nvSpPr>
            <xdr:cNvPr id="407559" name="chk_ExtBGetr" hidden="1">
              <a:extLst>
                <a:ext uri="{63B3BB69-23CF-44E3-9099-C40C66FF867C}">
                  <a14:compatExt spid="_x0000_s407559"/>
                </a:ext>
                <a:ext uri="{FF2B5EF4-FFF2-40B4-BE49-F238E27FC236}">
                  <a16:creationId xmlns:a16="http://schemas.microsoft.com/office/drawing/2014/main" id="{00000000-0008-0000-1900-000007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112</xdr:row>
          <xdr:rowOff>0</xdr:rowOff>
        </xdr:from>
        <xdr:to>
          <xdr:col>10</xdr:col>
          <xdr:colOff>114300</xdr:colOff>
          <xdr:row>112</xdr:row>
          <xdr:rowOff>219075</xdr:rowOff>
        </xdr:to>
        <xdr:sp macro="" textlink="">
          <xdr:nvSpPr>
            <xdr:cNvPr id="407560" name="Check Box 8" hidden="1">
              <a:extLst>
                <a:ext uri="{63B3BB69-23CF-44E3-9099-C40C66FF867C}">
                  <a14:compatExt spid="_x0000_s407560"/>
                </a:ext>
                <a:ext uri="{FF2B5EF4-FFF2-40B4-BE49-F238E27FC236}">
                  <a16:creationId xmlns:a16="http://schemas.microsoft.com/office/drawing/2014/main" id="{00000000-0008-0000-1900-000008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114</xdr:row>
          <xdr:rowOff>0</xdr:rowOff>
        </xdr:from>
        <xdr:to>
          <xdr:col>10</xdr:col>
          <xdr:colOff>114300</xdr:colOff>
          <xdr:row>114</xdr:row>
          <xdr:rowOff>219075</xdr:rowOff>
        </xdr:to>
        <xdr:sp macro="" textlink="">
          <xdr:nvSpPr>
            <xdr:cNvPr id="407561" name="Check Box 9" hidden="1">
              <a:extLst>
                <a:ext uri="{63B3BB69-23CF-44E3-9099-C40C66FF867C}">
                  <a14:compatExt spid="_x0000_s407561"/>
                </a:ext>
                <a:ext uri="{FF2B5EF4-FFF2-40B4-BE49-F238E27FC236}">
                  <a16:creationId xmlns:a16="http://schemas.microsoft.com/office/drawing/2014/main" id="{00000000-0008-0000-1900-000009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95250</xdr:colOff>
      <xdr:row>0</xdr:row>
      <xdr:rowOff>514350</xdr:rowOff>
    </xdr:to>
    <xdr:pic>
      <xdr:nvPicPr>
        <xdr:cNvPr id="408597" name="Logo">
          <a:extLst>
            <a:ext uri="{FF2B5EF4-FFF2-40B4-BE49-F238E27FC236}">
              <a16:creationId xmlns:a16="http://schemas.microsoft.com/office/drawing/2014/main" id="{00000000-0008-0000-2800-0000153C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4</xdr:col>
      <xdr:colOff>104775</xdr:colOff>
      <xdr:row>0</xdr:row>
      <xdr:rowOff>514350</xdr:rowOff>
    </xdr:to>
    <xdr:pic>
      <xdr:nvPicPr>
        <xdr:cNvPr id="409621" name="Logo">
          <a:extLst>
            <a:ext uri="{FF2B5EF4-FFF2-40B4-BE49-F238E27FC236}">
              <a16:creationId xmlns:a16="http://schemas.microsoft.com/office/drawing/2014/main" id="{00000000-0008-0000-2900-00001540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1314450</xdr:colOff>
      <xdr:row>0</xdr:row>
      <xdr:rowOff>514350</xdr:rowOff>
    </xdr:to>
    <xdr:pic>
      <xdr:nvPicPr>
        <xdr:cNvPr id="132127" name="Logo">
          <a:extLst>
            <a:ext uri="{FF2B5EF4-FFF2-40B4-BE49-F238E27FC236}">
              <a16:creationId xmlns:a16="http://schemas.microsoft.com/office/drawing/2014/main" id="{00000000-0008-0000-2A00-00001F04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504825</xdr:colOff>
          <xdr:row>62</xdr:row>
          <xdr:rowOff>19050</xdr:rowOff>
        </xdr:from>
        <xdr:to>
          <xdr:col>6</xdr:col>
          <xdr:colOff>76200</xdr:colOff>
          <xdr:row>65</xdr:row>
          <xdr:rowOff>0</xdr:rowOff>
        </xdr:to>
        <xdr:sp macro="" textlink="">
          <xdr:nvSpPr>
            <xdr:cNvPr id="132101" name="chk_Rebbau" hidden="1">
              <a:extLst>
                <a:ext uri="{63B3BB69-23CF-44E3-9099-C40C66FF867C}">
                  <a14:compatExt spid="_x0000_s132101"/>
                </a:ext>
                <a:ext uri="{FF2B5EF4-FFF2-40B4-BE49-F238E27FC236}">
                  <a16:creationId xmlns:a16="http://schemas.microsoft.com/office/drawing/2014/main" id="{00000000-0008-0000-1C00-0000050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1314450</xdr:colOff>
      <xdr:row>0</xdr:row>
      <xdr:rowOff>514350</xdr:rowOff>
    </xdr:to>
    <xdr:pic>
      <xdr:nvPicPr>
        <xdr:cNvPr id="411669" name="Logo">
          <a:extLst>
            <a:ext uri="{FF2B5EF4-FFF2-40B4-BE49-F238E27FC236}">
              <a16:creationId xmlns:a16="http://schemas.microsoft.com/office/drawing/2014/main" id="{00000000-0008-0000-2B00-00001548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28</xdr:col>
      <xdr:colOff>0</xdr:colOff>
      <xdr:row>4</xdr:row>
      <xdr:rowOff>9525</xdr:rowOff>
    </xdr:from>
    <xdr:to>
      <xdr:col>28</xdr:col>
      <xdr:colOff>0</xdr:colOff>
      <xdr:row>5</xdr:row>
      <xdr:rowOff>47625</xdr:rowOff>
    </xdr:to>
    <xdr:sp macro="" textlink="">
      <xdr:nvSpPr>
        <xdr:cNvPr id="429163" name="Line 1">
          <a:extLst>
            <a:ext uri="{FF2B5EF4-FFF2-40B4-BE49-F238E27FC236}">
              <a16:creationId xmlns:a16="http://schemas.microsoft.com/office/drawing/2014/main" id="{00000000-0008-0000-3D00-00006B8C0600}"/>
            </a:ext>
          </a:extLst>
        </xdr:cNvPr>
        <xdr:cNvSpPr>
          <a:spLocks noChangeShapeType="1"/>
        </xdr:cNvSpPr>
      </xdr:nvSpPr>
      <xdr:spPr bwMode="auto">
        <a:xfrm>
          <a:off x="18249900" y="561975"/>
          <a:ext cx="0" cy="21907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9</xdr:row>
      <xdr:rowOff>0</xdr:rowOff>
    </xdr:from>
    <xdr:to>
      <xdr:col>10</xdr:col>
      <xdr:colOff>0</xdr:colOff>
      <xdr:row>10</xdr:row>
      <xdr:rowOff>9525</xdr:rowOff>
    </xdr:to>
    <xdr:sp macro="" textlink="">
      <xdr:nvSpPr>
        <xdr:cNvPr id="429164" name="Rectangle 20">
          <a:extLst>
            <a:ext uri="{FF2B5EF4-FFF2-40B4-BE49-F238E27FC236}">
              <a16:creationId xmlns:a16="http://schemas.microsoft.com/office/drawing/2014/main" id="{00000000-0008-0000-3D00-00006C8C0600}"/>
            </a:ext>
          </a:extLst>
        </xdr:cNvPr>
        <xdr:cNvSpPr>
          <a:spLocks noChangeArrowheads="1"/>
        </xdr:cNvSpPr>
      </xdr:nvSpPr>
      <xdr:spPr bwMode="auto">
        <a:xfrm>
          <a:off x="6315075" y="1476375"/>
          <a:ext cx="619125" cy="200025"/>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9</xdr:row>
      <xdr:rowOff>9525</xdr:rowOff>
    </xdr:from>
    <xdr:to>
      <xdr:col>21</xdr:col>
      <xdr:colOff>0</xdr:colOff>
      <xdr:row>10</xdr:row>
      <xdr:rowOff>9525</xdr:rowOff>
    </xdr:to>
    <xdr:sp macro="" textlink="">
      <xdr:nvSpPr>
        <xdr:cNvPr id="429165" name="Rectangle 21">
          <a:extLst>
            <a:ext uri="{FF2B5EF4-FFF2-40B4-BE49-F238E27FC236}">
              <a16:creationId xmlns:a16="http://schemas.microsoft.com/office/drawing/2014/main" id="{00000000-0008-0000-3D00-00006D8C0600}"/>
            </a:ext>
          </a:extLst>
        </xdr:cNvPr>
        <xdr:cNvSpPr>
          <a:spLocks noChangeArrowheads="1"/>
        </xdr:cNvSpPr>
      </xdr:nvSpPr>
      <xdr:spPr bwMode="auto">
        <a:xfrm>
          <a:off x="10715625" y="1485900"/>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0</xdr:colOff>
      <xdr:row>14</xdr:row>
      <xdr:rowOff>9525</xdr:rowOff>
    </xdr:from>
    <xdr:to>
      <xdr:col>9</xdr:col>
      <xdr:colOff>619125</xdr:colOff>
      <xdr:row>17</xdr:row>
      <xdr:rowOff>9525</xdr:rowOff>
    </xdr:to>
    <xdr:sp macro="" textlink="">
      <xdr:nvSpPr>
        <xdr:cNvPr id="429166" name="Rectangle 22">
          <a:extLst>
            <a:ext uri="{FF2B5EF4-FFF2-40B4-BE49-F238E27FC236}">
              <a16:creationId xmlns:a16="http://schemas.microsoft.com/office/drawing/2014/main" id="{00000000-0008-0000-3D00-00006E8C0600}"/>
            </a:ext>
          </a:extLst>
        </xdr:cNvPr>
        <xdr:cNvSpPr>
          <a:spLocks noChangeArrowheads="1"/>
        </xdr:cNvSpPr>
      </xdr:nvSpPr>
      <xdr:spPr bwMode="auto">
        <a:xfrm>
          <a:off x="6315075" y="2438400"/>
          <a:ext cx="619125" cy="571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9525</xdr:colOff>
      <xdr:row>21</xdr:row>
      <xdr:rowOff>9525</xdr:rowOff>
    </xdr:from>
    <xdr:to>
      <xdr:col>10</xdr:col>
      <xdr:colOff>0</xdr:colOff>
      <xdr:row>22</xdr:row>
      <xdr:rowOff>9525</xdr:rowOff>
    </xdr:to>
    <xdr:sp macro="" textlink="">
      <xdr:nvSpPr>
        <xdr:cNvPr id="429167" name="Rectangle 23">
          <a:extLst>
            <a:ext uri="{FF2B5EF4-FFF2-40B4-BE49-F238E27FC236}">
              <a16:creationId xmlns:a16="http://schemas.microsoft.com/office/drawing/2014/main" id="{00000000-0008-0000-3D00-00006F8C0600}"/>
            </a:ext>
          </a:extLst>
        </xdr:cNvPr>
        <xdr:cNvSpPr>
          <a:spLocks noChangeArrowheads="1"/>
        </xdr:cNvSpPr>
      </xdr:nvSpPr>
      <xdr:spPr bwMode="auto">
        <a:xfrm>
          <a:off x="6315075" y="3200400"/>
          <a:ext cx="6191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17</xdr:row>
      <xdr:rowOff>180975</xdr:rowOff>
    </xdr:from>
    <xdr:to>
      <xdr:col>20</xdr:col>
      <xdr:colOff>619125</xdr:colOff>
      <xdr:row>21</xdr:row>
      <xdr:rowOff>1</xdr:rowOff>
    </xdr:to>
    <xdr:sp macro="" textlink="">
      <xdr:nvSpPr>
        <xdr:cNvPr id="429168" name="Rectangle 24">
          <a:extLst>
            <a:ext uri="{FF2B5EF4-FFF2-40B4-BE49-F238E27FC236}">
              <a16:creationId xmlns:a16="http://schemas.microsoft.com/office/drawing/2014/main" id="{00000000-0008-0000-3D00-0000708C0600}"/>
            </a:ext>
          </a:extLst>
        </xdr:cNvPr>
        <xdr:cNvSpPr>
          <a:spLocks noChangeArrowheads="1"/>
        </xdr:cNvSpPr>
      </xdr:nvSpPr>
      <xdr:spPr bwMode="auto">
        <a:xfrm>
          <a:off x="10725150" y="3181350"/>
          <a:ext cx="3124200" cy="581026"/>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21</xdr:row>
      <xdr:rowOff>0</xdr:rowOff>
    </xdr:from>
    <xdr:to>
      <xdr:col>21</xdr:col>
      <xdr:colOff>0</xdr:colOff>
      <xdr:row>22</xdr:row>
      <xdr:rowOff>0</xdr:rowOff>
    </xdr:to>
    <xdr:sp macro="" textlink="">
      <xdr:nvSpPr>
        <xdr:cNvPr id="429169" name="Rectangle 25">
          <a:extLst>
            <a:ext uri="{FF2B5EF4-FFF2-40B4-BE49-F238E27FC236}">
              <a16:creationId xmlns:a16="http://schemas.microsoft.com/office/drawing/2014/main" id="{00000000-0008-0000-3D00-0000718C0600}"/>
            </a:ext>
          </a:extLst>
        </xdr:cNvPr>
        <xdr:cNvSpPr>
          <a:spLocks noChangeArrowheads="1"/>
        </xdr:cNvSpPr>
      </xdr:nvSpPr>
      <xdr:spPr bwMode="auto">
        <a:xfrm>
          <a:off x="10725150" y="3381375"/>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9525</xdr:colOff>
      <xdr:row>27</xdr:row>
      <xdr:rowOff>0</xdr:rowOff>
    </xdr:from>
    <xdr:to>
      <xdr:col>10</xdr:col>
      <xdr:colOff>0</xdr:colOff>
      <xdr:row>28</xdr:row>
      <xdr:rowOff>0</xdr:rowOff>
    </xdr:to>
    <xdr:sp macro="" textlink="">
      <xdr:nvSpPr>
        <xdr:cNvPr id="10" name="Rectangle 23">
          <a:extLst>
            <a:ext uri="{FF2B5EF4-FFF2-40B4-BE49-F238E27FC236}">
              <a16:creationId xmlns:a16="http://schemas.microsoft.com/office/drawing/2014/main" id="{00000000-0008-0000-3D00-00000A000000}"/>
            </a:ext>
          </a:extLst>
        </xdr:cNvPr>
        <xdr:cNvSpPr>
          <a:spLocks noChangeArrowheads="1"/>
        </xdr:cNvSpPr>
      </xdr:nvSpPr>
      <xdr:spPr bwMode="auto">
        <a:xfrm>
          <a:off x="6324600" y="4524375"/>
          <a:ext cx="6191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0</xdr:colOff>
      <xdr:row>27</xdr:row>
      <xdr:rowOff>0</xdr:rowOff>
    </xdr:from>
    <xdr:to>
      <xdr:col>20</xdr:col>
      <xdr:colOff>619125</xdr:colOff>
      <xdr:row>28</xdr:row>
      <xdr:rowOff>0</xdr:rowOff>
    </xdr:to>
    <xdr:sp macro="" textlink="">
      <xdr:nvSpPr>
        <xdr:cNvPr id="11" name="Rectangle 25">
          <a:extLst>
            <a:ext uri="{FF2B5EF4-FFF2-40B4-BE49-F238E27FC236}">
              <a16:creationId xmlns:a16="http://schemas.microsoft.com/office/drawing/2014/main" id="{00000000-0008-0000-3D00-00000B000000}"/>
            </a:ext>
          </a:extLst>
        </xdr:cNvPr>
        <xdr:cNvSpPr>
          <a:spLocks noChangeArrowheads="1"/>
        </xdr:cNvSpPr>
      </xdr:nvSpPr>
      <xdr:spPr bwMode="auto">
        <a:xfrm>
          <a:off x="10715625" y="4524375"/>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8</xdr:col>
      <xdr:colOff>0</xdr:colOff>
      <xdr:row>64</xdr:row>
      <xdr:rowOff>0</xdr:rowOff>
    </xdr:from>
    <xdr:to>
      <xdr:col>8</xdr:col>
      <xdr:colOff>615233</xdr:colOff>
      <xdr:row>65</xdr:row>
      <xdr:rowOff>0</xdr:rowOff>
    </xdr:to>
    <xdr:sp macro="" textlink="">
      <xdr:nvSpPr>
        <xdr:cNvPr id="12" name="Rectangle 23">
          <a:extLst>
            <a:ext uri="{FF2B5EF4-FFF2-40B4-BE49-F238E27FC236}">
              <a16:creationId xmlns:a16="http://schemas.microsoft.com/office/drawing/2014/main" id="{00000000-0008-0000-3D00-00000C000000}"/>
            </a:ext>
          </a:extLst>
        </xdr:cNvPr>
        <xdr:cNvSpPr>
          <a:spLocks noChangeArrowheads="1"/>
        </xdr:cNvSpPr>
      </xdr:nvSpPr>
      <xdr:spPr bwMode="auto">
        <a:xfrm>
          <a:off x="5674032" y="10631129"/>
          <a:ext cx="615233" cy="194597"/>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10</xdr:col>
      <xdr:colOff>0</xdr:colOff>
      <xdr:row>64</xdr:row>
      <xdr:rowOff>0</xdr:rowOff>
    </xdr:from>
    <xdr:to>
      <xdr:col>10</xdr:col>
      <xdr:colOff>615233</xdr:colOff>
      <xdr:row>65</xdr:row>
      <xdr:rowOff>0</xdr:rowOff>
    </xdr:to>
    <xdr:sp macro="" textlink="">
      <xdr:nvSpPr>
        <xdr:cNvPr id="13" name="Rectangle 23">
          <a:extLst>
            <a:ext uri="{FF2B5EF4-FFF2-40B4-BE49-F238E27FC236}">
              <a16:creationId xmlns:a16="http://schemas.microsoft.com/office/drawing/2014/main" id="{00000000-0008-0000-3D00-00000D000000}"/>
            </a:ext>
          </a:extLst>
        </xdr:cNvPr>
        <xdr:cNvSpPr>
          <a:spLocks noChangeArrowheads="1"/>
        </xdr:cNvSpPr>
      </xdr:nvSpPr>
      <xdr:spPr bwMode="auto">
        <a:xfrm>
          <a:off x="6923548" y="10631129"/>
          <a:ext cx="615233" cy="194597"/>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4</xdr:col>
      <xdr:colOff>0</xdr:colOff>
      <xdr:row>2</xdr:row>
      <xdr:rowOff>0</xdr:rowOff>
    </xdr:from>
    <xdr:to>
      <xdr:col>6</xdr:col>
      <xdr:colOff>0</xdr:colOff>
      <xdr:row>16</xdr:row>
      <xdr:rowOff>0</xdr:rowOff>
    </xdr:to>
    <xdr:sp macro="" textlink="">
      <xdr:nvSpPr>
        <xdr:cNvPr id="445475" name="Rectangle 1">
          <a:extLst>
            <a:ext uri="{FF2B5EF4-FFF2-40B4-BE49-F238E27FC236}">
              <a16:creationId xmlns:a16="http://schemas.microsoft.com/office/drawing/2014/main" id="{00000000-0008-0000-4200-000023CC0600}"/>
            </a:ext>
          </a:extLst>
        </xdr:cNvPr>
        <xdr:cNvSpPr>
          <a:spLocks noChangeArrowheads="1"/>
        </xdr:cNvSpPr>
      </xdr:nvSpPr>
      <xdr:spPr bwMode="auto">
        <a:xfrm>
          <a:off x="4295775" y="533400"/>
          <a:ext cx="1695450" cy="21336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4</xdr:col>
      <xdr:colOff>0</xdr:colOff>
      <xdr:row>60</xdr:row>
      <xdr:rowOff>9525</xdr:rowOff>
    </xdr:from>
    <xdr:to>
      <xdr:col>6</xdr:col>
      <xdr:colOff>0</xdr:colOff>
      <xdr:row>65</xdr:row>
      <xdr:rowOff>142875</xdr:rowOff>
    </xdr:to>
    <xdr:sp macro="" textlink="">
      <xdr:nvSpPr>
        <xdr:cNvPr id="445476" name="Rectangle 3">
          <a:extLst>
            <a:ext uri="{FF2B5EF4-FFF2-40B4-BE49-F238E27FC236}">
              <a16:creationId xmlns:a16="http://schemas.microsoft.com/office/drawing/2014/main" id="{00000000-0008-0000-4200-000024CC0600}"/>
            </a:ext>
          </a:extLst>
        </xdr:cNvPr>
        <xdr:cNvSpPr>
          <a:spLocks noChangeArrowheads="1"/>
        </xdr:cNvSpPr>
      </xdr:nvSpPr>
      <xdr:spPr bwMode="auto">
        <a:xfrm>
          <a:off x="4295775" y="9382125"/>
          <a:ext cx="1695450" cy="104775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23</xdr:col>
      <xdr:colOff>0</xdr:colOff>
      <xdr:row>29</xdr:row>
      <xdr:rowOff>9525</xdr:rowOff>
    </xdr:from>
    <xdr:to>
      <xdr:col>32</xdr:col>
      <xdr:colOff>28575</xdr:colOff>
      <xdr:row>36</xdr:row>
      <xdr:rowOff>133350</xdr:rowOff>
    </xdr:to>
    <xdr:sp macro="" textlink="">
      <xdr:nvSpPr>
        <xdr:cNvPr id="5" name="Rectangle 3">
          <a:extLst>
            <a:ext uri="{FF2B5EF4-FFF2-40B4-BE49-F238E27FC236}">
              <a16:creationId xmlns:a16="http://schemas.microsoft.com/office/drawing/2014/main" id="{00000000-0008-0000-4200-000005000000}"/>
            </a:ext>
          </a:extLst>
        </xdr:cNvPr>
        <xdr:cNvSpPr>
          <a:spLocks noChangeArrowheads="1"/>
        </xdr:cNvSpPr>
      </xdr:nvSpPr>
      <xdr:spPr bwMode="auto">
        <a:xfrm>
          <a:off x="20631150" y="4657725"/>
          <a:ext cx="6953250" cy="1190625"/>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wsDr>
</file>

<file path=xl/drawings/drawing32.xml><?xml version="1.0" encoding="utf-8"?>
<xdr:wsDr xmlns:xdr="http://schemas.openxmlformats.org/drawingml/2006/spreadsheetDrawing" xmlns:a="http://schemas.openxmlformats.org/drawingml/2006/main">
  <xdr:twoCellAnchor>
    <xdr:from>
      <xdr:col>3</xdr:col>
      <xdr:colOff>9525</xdr:colOff>
      <xdr:row>90</xdr:row>
      <xdr:rowOff>152400</xdr:rowOff>
    </xdr:from>
    <xdr:to>
      <xdr:col>10</xdr:col>
      <xdr:colOff>19050</xdr:colOff>
      <xdr:row>119</xdr:row>
      <xdr:rowOff>152400</xdr:rowOff>
    </xdr:to>
    <xdr:sp macro="" textlink="">
      <xdr:nvSpPr>
        <xdr:cNvPr id="449710" name="Rectangle 57">
          <a:extLst>
            <a:ext uri="{FF2B5EF4-FFF2-40B4-BE49-F238E27FC236}">
              <a16:creationId xmlns:a16="http://schemas.microsoft.com/office/drawing/2014/main" id="{00000000-0008-0000-4600-0000AEDC0600}"/>
            </a:ext>
          </a:extLst>
        </xdr:cNvPr>
        <xdr:cNvSpPr>
          <a:spLocks noChangeArrowheads="1"/>
        </xdr:cNvSpPr>
      </xdr:nvSpPr>
      <xdr:spPr bwMode="auto">
        <a:xfrm>
          <a:off x="6486525" y="18707100"/>
          <a:ext cx="10810875" cy="4695825"/>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0</xdr:colOff>
      <xdr:row>95</xdr:row>
      <xdr:rowOff>152400</xdr:rowOff>
    </xdr:from>
    <xdr:to>
      <xdr:col>12</xdr:col>
      <xdr:colOff>57150</xdr:colOff>
      <xdr:row>98</xdr:row>
      <xdr:rowOff>0</xdr:rowOff>
    </xdr:to>
    <xdr:sp macro="" textlink="">
      <xdr:nvSpPr>
        <xdr:cNvPr id="449711" name="Rectangle 59">
          <a:extLst>
            <a:ext uri="{FF2B5EF4-FFF2-40B4-BE49-F238E27FC236}">
              <a16:creationId xmlns:a16="http://schemas.microsoft.com/office/drawing/2014/main" id="{00000000-0008-0000-4600-0000AFDC0600}"/>
            </a:ext>
          </a:extLst>
        </xdr:cNvPr>
        <xdr:cNvSpPr>
          <a:spLocks noChangeArrowheads="1"/>
        </xdr:cNvSpPr>
      </xdr:nvSpPr>
      <xdr:spPr bwMode="auto">
        <a:xfrm>
          <a:off x="17278350" y="19030950"/>
          <a:ext cx="3219450" cy="3333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9525</xdr:colOff>
      <xdr:row>75</xdr:row>
      <xdr:rowOff>9525</xdr:rowOff>
    </xdr:from>
    <xdr:to>
      <xdr:col>6</xdr:col>
      <xdr:colOff>838200</xdr:colOff>
      <xdr:row>79</xdr:row>
      <xdr:rowOff>0</xdr:rowOff>
    </xdr:to>
    <xdr:sp macro="" textlink="">
      <xdr:nvSpPr>
        <xdr:cNvPr id="449712" name="Rectangle 59">
          <a:extLst>
            <a:ext uri="{FF2B5EF4-FFF2-40B4-BE49-F238E27FC236}">
              <a16:creationId xmlns:a16="http://schemas.microsoft.com/office/drawing/2014/main" id="{00000000-0008-0000-4600-0000B0DC0600}"/>
            </a:ext>
          </a:extLst>
        </xdr:cNvPr>
        <xdr:cNvSpPr>
          <a:spLocks noChangeArrowheads="1"/>
        </xdr:cNvSpPr>
      </xdr:nvSpPr>
      <xdr:spPr bwMode="auto">
        <a:xfrm>
          <a:off x="10172700" y="16297275"/>
          <a:ext cx="2209800" cy="6381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1247775</xdr:colOff>
      <xdr:row>174</xdr:row>
      <xdr:rowOff>9524</xdr:rowOff>
    </xdr:from>
    <xdr:to>
      <xdr:col>10</xdr:col>
      <xdr:colOff>371474</xdr:colOff>
      <xdr:row>183</xdr:row>
      <xdr:rowOff>0</xdr:rowOff>
    </xdr:to>
    <xdr:sp macro="" textlink="">
      <xdr:nvSpPr>
        <xdr:cNvPr id="449713"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21944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19050</xdr:colOff>
      <xdr:row>70</xdr:row>
      <xdr:rowOff>152400</xdr:rowOff>
    </xdr:from>
    <xdr:to>
      <xdr:col>7</xdr:col>
      <xdr:colOff>0</xdr:colOff>
      <xdr:row>73</xdr:row>
      <xdr:rowOff>152400</xdr:rowOff>
    </xdr:to>
    <xdr:sp macro="" textlink="">
      <xdr:nvSpPr>
        <xdr:cNvPr id="449714" name="Rectangle 59">
          <a:extLst>
            <a:ext uri="{FF2B5EF4-FFF2-40B4-BE49-F238E27FC236}">
              <a16:creationId xmlns:a16="http://schemas.microsoft.com/office/drawing/2014/main" id="{00000000-0008-0000-4600-0000B2DC0600}"/>
            </a:ext>
          </a:extLst>
        </xdr:cNvPr>
        <xdr:cNvSpPr>
          <a:spLocks noChangeArrowheads="1"/>
        </xdr:cNvSpPr>
      </xdr:nvSpPr>
      <xdr:spPr bwMode="auto">
        <a:xfrm>
          <a:off x="10182225" y="15630525"/>
          <a:ext cx="2209800" cy="4857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19050</xdr:colOff>
      <xdr:row>66</xdr:row>
      <xdr:rowOff>152400</xdr:rowOff>
    </xdr:from>
    <xdr:to>
      <xdr:col>7</xdr:col>
      <xdr:colOff>0</xdr:colOff>
      <xdr:row>69</xdr:row>
      <xdr:rowOff>152400</xdr:rowOff>
    </xdr:to>
    <xdr:sp macro="" textlink="">
      <xdr:nvSpPr>
        <xdr:cNvPr id="449715" name="Rectangle 59">
          <a:extLst>
            <a:ext uri="{FF2B5EF4-FFF2-40B4-BE49-F238E27FC236}">
              <a16:creationId xmlns:a16="http://schemas.microsoft.com/office/drawing/2014/main" id="{00000000-0008-0000-4600-0000B3DC0600}"/>
            </a:ext>
          </a:extLst>
        </xdr:cNvPr>
        <xdr:cNvSpPr>
          <a:spLocks noChangeArrowheads="1"/>
        </xdr:cNvSpPr>
      </xdr:nvSpPr>
      <xdr:spPr bwMode="auto">
        <a:xfrm>
          <a:off x="10182225" y="14982825"/>
          <a:ext cx="2209800" cy="4857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16</xdr:col>
      <xdr:colOff>1066800</xdr:colOff>
      <xdr:row>76</xdr:row>
      <xdr:rowOff>9525</xdr:rowOff>
    </xdr:from>
    <xdr:to>
      <xdr:col>22</xdr:col>
      <xdr:colOff>1126387</xdr:colOff>
      <xdr:row>89</xdr:row>
      <xdr:rowOff>5980</xdr:rowOff>
    </xdr:to>
    <xdr:sp macro="" textlink="">
      <xdr:nvSpPr>
        <xdr:cNvPr id="449716" name="AutoShape 103">
          <a:extLst>
            <a:ext uri="{FF2B5EF4-FFF2-40B4-BE49-F238E27FC236}">
              <a16:creationId xmlns:a16="http://schemas.microsoft.com/office/drawing/2014/main" id="{00000000-0008-0000-4600-0000B4DC0600}"/>
            </a:ext>
          </a:extLst>
        </xdr:cNvPr>
        <xdr:cNvSpPr>
          <a:spLocks noChangeArrowheads="1"/>
        </xdr:cNvSpPr>
      </xdr:nvSpPr>
      <xdr:spPr bwMode="auto">
        <a:xfrm>
          <a:off x="26108025" y="16459200"/>
          <a:ext cx="7774837" cy="2101480"/>
        </a:xfrm>
        <a:prstGeom prst="wedgeRectCallout">
          <a:avLst>
            <a:gd name="adj1" fmla="val 41565"/>
            <a:gd name="adj2" fmla="val -38463"/>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1314449</xdr:colOff>
      <xdr:row>80</xdr:row>
      <xdr:rowOff>9525</xdr:rowOff>
    </xdr:from>
    <xdr:to>
      <xdr:col>7</xdr:col>
      <xdr:colOff>28574</xdr:colOff>
      <xdr:row>83</xdr:row>
      <xdr:rowOff>152400</xdr:rowOff>
    </xdr:to>
    <xdr:sp macro="" textlink="">
      <xdr:nvSpPr>
        <xdr:cNvPr id="9" name="Rectangle 59">
          <a:extLst>
            <a:ext uri="{FF2B5EF4-FFF2-40B4-BE49-F238E27FC236}">
              <a16:creationId xmlns:a16="http://schemas.microsoft.com/office/drawing/2014/main" id="{00000000-0008-0000-4600-000009000000}"/>
            </a:ext>
          </a:extLst>
        </xdr:cNvPr>
        <xdr:cNvSpPr>
          <a:spLocks noChangeArrowheads="1"/>
        </xdr:cNvSpPr>
      </xdr:nvSpPr>
      <xdr:spPr bwMode="auto">
        <a:xfrm>
          <a:off x="10163174" y="17106900"/>
          <a:ext cx="2257425" cy="628650"/>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0</xdr:colOff>
      <xdr:row>209</xdr:row>
      <xdr:rowOff>0</xdr:rowOff>
    </xdr:from>
    <xdr:to>
      <xdr:col>7</xdr:col>
      <xdr:colOff>28575</xdr:colOff>
      <xdr:row>209</xdr:row>
      <xdr:rowOff>161925</xdr:rowOff>
    </xdr:to>
    <xdr:pic>
      <xdr:nvPicPr>
        <xdr:cNvPr id="12" name="Grafik 11">
          <a:extLst>
            <a:ext uri="{FF2B5EF4-FFF2-40B4-BE49-F238E27FC236}">
              <a16:creationId xmlns:a16="http://schemas.microsoft.com/office/drawing/2014/main" id="{00000000-0008-0000-4600-00000C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144750" y="37014150"/>
          <a:ext cx="285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210</xdr:row>
      <xdr:rowOff>0</xdr:rowOff>
    </xdr:from>
    <xdr:to>
      <xdr:col>7</xdr:col>
      <xdr:colOff>28575</xdr:colOff>
      <xdr:row>210</xdr:row>
      <xdr:rowOff>161925</xdr:rowOff>
    </xdr:to>
    <xdr:pic>
      <xdr:nvPicPr>
        <xdr:cNvPr id="15" name="Grafik 14">
          <a:extLst>
            <a:ext uri="{FF2B5EF4-FFF2-40B4-BE49-F238E27FC236}">
              <a16:creationId xmlns:a16="http://schemas.microsoft.com/office/drawing/2014/main" id="{00000000-0008-0000-4600-00000F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92025" y="34299525"/>
          <a:ext cx="285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1266824</xdr:colOff>
      <xdr:row>204</xdr:row>
      <xdr:rowOff>19050</xdr:rowOff>
    </xdr:from>
    <xdr:to>
      <xdr:col>13</xdr:col>
      <xdr:colOff>19050</xdr:colOff>
      <xdr:row>213</xdr:row>
      <xdr:rowOff>19051</xdr:rowOff>
    </xdr:to>
    <xdr:sp macro="" textlink="">
      <xdr:nvSpPr>
        <xdr:cNvPr id="13" name="Rectangle 57">
          <a:extLst>
            <a:ext uri="{FF2B5EF4-FFF2-40B4-BE49-F238E27FC236}">
              <a16:creationId xmlns:a16="http://schemas.microsoft.com/office/drawing/2014/main" id="{00000000-0008-0000-4600-00000D000000}"/>
            </a:ext>
          </a:extLst>
        </xdr:cNvPr>
        <xdr:cNvSpPr>
          <a:spLocks noChangeArrowheads="1"/>
        </xdr:cNvSpPr>
      </xdr:nvSpPr>
      <xdr:spPr bwMode="auto">
        <a:xfrm>
          <a:off x="1323974" y="33623250"/>
          <a:ext cx="20259676" cy="149542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1247775</xdr:colOff>
      <xdr:row>184</xdr:row>
      <xdr:rowOff>9524</xdr:rowOff>
    </xdr:from>
    <xdr:to>
      <xdr:col>10</xdr:col>
      <xdr:colOff>371474</xdr:colOff>
      <xdr:row>193</xdr:row>
      <xdr:rowOff>0</xdr:rowOff>
    </xdr:to>
    <xdr:sp macro="" textlink="">
      <xdr:nvSpPr>
        <xdr:cNvPr id="14"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21944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a:lstStyle/>
        <a:p>
          <a:endParaRPr lang="de-CH"/>
        </a:p>
      </xdr:txBody>
    </xdr:sp>
    <xdr:clientData/>
  </xdr:twoCellAnchor>
  <xdr:twoCellAnchor>
    <xdr:from>
      <xdr:col>1</xdr:col>
      <xdr:colOff>1247775</xdr:colOff>
      <xdr:row>194</xdr:row>
      <xdr:rowOff>9524</xdr:rowOff>
    </xdr:from>
    <xdr:to>
      <xdr:col>10</xdr:col>
      <xdr:colOff>371474</xdr:colOff>
      <xdr:row>203</xdr:row>
      <xdr:rowOff>0</xdr:rowOff>
    </xdr:to>
    <xdr:sp macro="" textlink="">
      <xdr:nvSpPr>
        <xdr:cNvPr id="16"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53948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a:lstStyle/>
        <a:p>
          <a:endParaRPr lang="de-CH"/>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37.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47" Type="http://schemas.openxmlformats.org/officeDocument/2006/relationships/ctrlProp" Target="../ctrlProps/ctrlProp58.xml"/><Relationship Id="rId50" Type="http://schemas.openxmlformats.org/officeDocument/2006/relationships/ctrlProp" Target="../ctrlProps/ctrlProp61.xml"/><Relationship Id="rId55" Type="http://schemas.openxmlformats.org/officeDocument/2006/relationships/ctrlProp" Target="../ctrlProps/ctrlProp66.xml"/><Relationship Id="rId63" Type="http://schemas.openxmlformats.org/officeDocument/2006/relationships/ctrlProp" Target="../ctrlProps/ctrlProp74.xml"/><Relationship Id="rId68" Type="http://schemas.openxmlformats.org/officeDocument/2006/relationships/ctrlProp" Target="../ctrlProps/ctrlProp79.xml"/><Relationship Id="rId76" Type="http://schemas.openxmlformats.org/officeDocument/2006/relationships/ctrlProp" Target="../ctrlProps/ctrlProp87.xml"/><Relationship Id="rId84" Type="http://schemas.openxmlformats.org/officeDocument/2006/relationships/ctrlProp" Target="../ctrlProps/ctrlProp95.xml"/><Relationship Id="rId89" Type="http://schemas.openxmlformats.org/officeDocument/2006/relationships/ctrlProp" Target="../ctrlProps/ctrlProp100.xml"/><Relationship Id="rId97" Type="http://schemas.openxmlformats.org/officeDocument/2006/relationships/ctrlProp" Target="../ctrlProps/ctrlProp108.xml"/><Relationship Id="rId7" Type="http://schemas.openxmlformats.org/officeDocument/2006/relationships/ctrlProp" Target="../ctrlProps/ctrlProp18.xml"/><Relationship Id="rId71" Type="http://schemas.openxmlformats.org/officeDocument/2006/relationships/ctrlProp" Target="../ctrlProps/ctrlProp82.xml"/><Relationship Id="rId92" Type="http://schemas.openxmlformats.org/officeDocument/2006/relationships/ctrlProp" Target="../ctrlProps/ctrlProp103.xml"/><Relationship Id="rId2" Type="http://schemas.openxmlformats.org/officeDocument/2006/relationships/drawing" Target="../drawings/drawing4.xml"/><Relationship Id="rId16" Type="http://schemas.openxmlformats.org/officeDocument/2006/relationships/ctrlProp" Target="../ctrlProps/ctrlProp27.xml"/><Relationship Id="rId29" Type="http://schemas.openxmlformats.org/officeDocument/2006/relationships/ctrlProp" Target="../ctrlProps/ctrlProp40.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3" Type="http://schemas.openxmlformats.org/officeDocument/2006/relationships/ctrlProp" Target="../ctrlProps/ctrlProp64.xml"/><Relationship Id="rId58" Type="http://schemas.openxmlformats.org/officeDocument/2006/relationships/ctrlProp" Target="../ctrlProps/ctrlProp69.xml"/><Relationship Id="rId66" Type="http://schemas.openxmlformats.org/officeDocument/2006/relationships/ctrlProp" Target="../ctrlProps/ctrlProp77.xml"/><Relationship Id="rId74" Type="http://schemas.openxmlformats.org/officeDocument/2006/relationships/ctrlProp" Target="../ctrlProps/ctrlProp85.xml"/><Relationship Id="rId79" Type="http://schemas.openxmlformats.org/officeDocument/2006/relationships/ctrlProp" Target="../ctrlProps/ctrlProp90.xml"/><Relationship Id="rId87" Type="http://schemas.openxmlformats.org/officeDocument/2006/relationships/ctrlProp" Target="../ctrlProps/ctrlProp98.xml"/><Relationship Id="rId5" Type="http://schemas.openxmlformats.org/officeDocument/2006/relationships/ctrlProp" Target="../ctrlProps/ctrlProp16.xml"/><Relationship Id="rId61" Type="http://schemas.openxmlformats.org/officeDocument/2006/relationships/ctrlProp" Target="../ctrlProps/ctrlProp72.xml"/><Relationship Id="rId82" Type="http://schemas.openxmlformats.org/officeDocument/2006/relationships/ctrlProp" Target="../ctrlProps/ctrlProp93.xml"/><Relationship Id="rId90" Type="http://schemas.openxmlformats.org/officeDocument/2006/relationships/ctrlProp" Target="../ctrlProps/ctrlProp101.xml"/><Relationship Id="rId95" Type="http://schemas.openxmlformats.org/officeDocument/2006/relationships/ctrlProp" Target="../ctrlProps/ctrlProp106.xml"/><Relationship Id="rId19" Type="http://schemas.openxmlformats.org/officeDocument/2006/relationships/ctrlProp" Target="../ctrlProps/ctrlProp3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48" Type="http://schemas.openxmlformats.org/officeDocument/2006/relationships/ctrlProp" Target="../ctrlProps/ctrlProp59.xml"/><Relationship Id="rId56" Type="http://schemas.openxmlformats.org/officeDocument/2006/relationships/ctrlProp" Target="../ctrlProps/ctrlProp67.xml"/><Relationship Id="rId64" Type="http://schemas.openxmlformats.org/officeDocument/2006/relationships/ctrlProp" Target="../ctrlProps/ctrlProp75.xml"/><Relationship Id="rId69" Type="http://schemas.openxmlformats.org/officeDocument/2006/relationships/ctrlProp" Target="../ctrlProps/ctrlProp80.xml"/><Relationship Id="rId77" Type="http://schemas.openxmlformats.org/officeDocument/2006/relationships/ctrlProp" Target="../ctrlProps/ctrlProp88.xml"/><Relationship Id="rId8" Type="http://schemas.openxmlformats.org/officeDocument/2006/relationships/ctrlProp" Target="../ctrlProps/ctrlProp19.xml"/><Relationship Id="rId51" Type="http://schemas.openxmlformats.org/officeDocument/2006/relationships/ctrlProp" Target="../ctrlProps/ctrlProp62.xml"/><Relationship Id="rId72" Type="http://schemas.openxmlformats.org/officeDocument/2006/relationships/ctrlProp" Target="../ctrlProps/ctrlProp83.xml"/><Relationship Id="rId80" Type="http://schemas.openxmlformats.org/officeDocument/2006/relationships/ctrlProp" Target="../ctrlProps/ctrlProp91.xml"/><Relationship Id="rId85" Type="http://schemas.openxmlformats.org/officeDocument/2006/relationships/ctrlProp" Target="../ctrlProps/ctrlProp96.xml"/><Relationship Id="rId93" Type="http://schemas.openxmlformats.org/officeDocument/2006/relationships/ctrlProp" Target="../ctrlProps/ctrlProp104.xml"/><Relationship Id="rId3" Type="http://schemas.openxmlformats.org/officeDocument/2006/relationships/vmlDrawing" Target="../drawings/vmlDrawing3.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59" Type="http://schemas.openxmlformats.org/officeDocument/2006/relationships/ctrlProp" Target="../ctrlProps/ctrlProp70.xml"/><Relationship Id="rId67" Type="http://schemas.openxmlformats.org/officeDocument/2006/relationships/ctrlProp" Target="../ctrlProps/ctrlProp78.xml"/><Relationship Id="rId20" Type="http://schemas.openxmlformats.org/officeDocument/2006/relationships/ctrlProp" Target="../ctrlProps/ctrlProp31.xml"/><Relationship Id="rId41" Type="http://schemas.openxmlformats.org/officeDocument/2006/relationships/ctrlProp" Target="../ctrlProps/ctrlProp52.xml"/><Relationship Id="rId54" Type="http://schemas.openxmlformats.org/officeDocument/2006/relationships/ctrlProp" Target="../ctrlProps/ctrlProp65.xml"/><Relationship Id="rId62" Type="http://schemas.openxmlformats.org/officeDocument/2006/relationships/ctrlProp" Target="../ctrlProps/ctrlProp73.xml"/><Relationship Id="rId70" Type="http://schemas.openxmlformats.org/officeDocument/2006/relationships/ctrlProp" Target="../ctrlProps/ctrlProp81.xml"/><Relationship Id="rId75" Type="http://schemas.openxmlformats.org/officeDocument/2006/relationships/ctrlProp" Target="../ctrlProps/ctrlProp86.xml"/><Relationship Id="rId83" Type="http://schemas.openxmlformats.org/officeDocument/2006/relationships/ctrlProp" Target="../ctrlProps/ctrlProp94.xml"/><Relationship Id="rId88" Type="http://schemas.openxmlformats.org/officeDocument/2006/relationships/ctrlProp" Target="../ctrlProps/ctrlProp99.xml"/><Relationship Id="rId91" Type="http://schemas.openxmlformats.org/officeDocument/2006/relationships/ctrlProp" Target="../ctrlProps/ctrlProp102.xml"/><Relationship Id="rId96" Type="http://schemas.openxmlformats.org/officeDocument/2006/relationships/ctrlProp" Target="../ctrlProps/ctrlProp107.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49" Type="http://schemas.openxmlformats.org/officeDocument/2006/relationships/ctrlProp" Target="../ctrlProps/ctrlProp60.xml"/><Relationship Id="rId57" Type="http://schemas.openxmlformats.org/officeDocument/2006/relationships/ctrlProp" Target="../ctrlProps/ctrlProp68.xml"/><Relationship Id="rId10" Type="http://schemas.openxmlformats.org/officeDocument/2006/relationships/ctrlProp" Target="../ctrlProps/ctrlProp21.xml"/><Relationship Id="rId31" Type="http://schemas.openxmlformats.org/officeDocument/2006/relationships/ctrlProp" Target="../ctrlProps/ctrlProp42.xml"/><Relationship Id="rId44" Type="http://schemas.openxmlformats.org/officeDocument/2006/relationships/ctrlProp" Target="../ctrlProps/ctrlProp55.xml"/><Relationship Id="rId52" Type="http://schemas.openxmlformats.org/officeDocument/2006/relationships/ctrlProp" Target="../ctrlProps/ctrlProp63.xml"/><Relationship Id="rId60" Type="http://schemas.openxmlformats.org/officeDocument/2006/relationships/ctrlProp" Target="../ctrlProps/ctrlProp71.xml"/><Relationship Id="rId65" Type="http://schemas.openxmlformats.org/officeDocument/2006/relationships/ctrlProp" Target="../ctrlProps/ctrlProp76.xml"/><Relationship Id="rId73" Type="http://schemas.openxmlformats.org/officeDocument/2006/relationships/ctrlProp" Target="../ctrlProps/ctrlProp84.xml"/><Relationship Id="rId78" Type="http://schemas.openxmlformats.org/officeDocument/2006/relationships/ctrlProp" Target="../ctrlProps/ctrlProp89.xml"/><Relationship Id="rId81" Type="http://schemas.openxmlformats.org/officeDocument/2006/relationships/ctrlProp" Target="../ctrlProps/ctrlProp92.xml"/><Relationship Id="rId86" Type="http://schemas.openxmlformats.org/officeDocument/2006/relationships/ctrlProp" Target="../ctrlProps/ctrlProp97.xml"/><Relationship Id="rId94" Type="http://schemas.openxmlformats.org/officeDocument/2006/relationships/ctrlProp" Target="../ctrlProps/ctrlProp105.xml"/><Relationship Id="rId4" Type="http://schemas.openxmlformats.org/officeDocument/2006/relationships/ctrlProp" Target="../ctrlProps/ctrlProp15.xml"/><Relationship Id="rId9" Type="http://schemas.openxmlformats.org/officeDocument/2006/relationships/ctrlProp" Target="../ctrlProps/ctrlProp20.xml"/><Relationship Id="rId13" Type="http://schemas.openxmlformats.org/officeDocument/2006/relationships/ctrlProp" Target="../ctrlProps/ctrlProp24.xml"/><Relationship Id="rId18" Type="http://schemas.openxmlformats.org/officeDocument/2006/relationships/ctrlProp" Target="../ctrlProps/ctrlProp29.xml"/><Relationship Id="rId39" Type="http://schemas.openxmlformats.org/officeDocument/2006/relationships/ctrlProp" Target="../ctrlProps/ctrlProp5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3" Type="http://schemas.openxmlformats.org/officeDocument/2006/relationships/vmlDrawing" Target="../drawings/vmlDrawing4.vml"/><Relationship Id="rId7" Type="http://schemas.openxmlformats.org/officeDocument/2006/relationships/ctrlProp" Target="../ctrlProps/ctrlProp112.xml"/><Relationship Id="rId12" Type="http://schemas.openxmlformats.org/officeDocument/2006/relationships/ctrlProp" Target="../ctrlProps/ctrlProp117.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0" Type="http://schemas.openxmlformats.org/officeDocument/2006/relationships/ctrlProp" Target="../ctrlProps/ctrlProp115.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1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12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12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12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22.bin"/><Relationship Id="rId4" Type="http://schemas.openxmlformats.org/officeDocument/2006/relationships/ctrlProp" Target="../ctrlProps/ctrlProp12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1.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15.vml"/><Relationship Id="rId7" Type="http://schemas.openxmlformats.org/officeDocument/2006/relationships/ctrlProp" Target="../ctrlProps/ctrlProp135.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139.xml"/><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9.bin"/><Relationship Id="rId4" Type="http://schemas.openxmlformats.org/officeDocument/2006/relationships/ctrlProp" Target="../ctrlProps/ctrlProp140.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indexed="22"/>
  </sheetPr>
  <dimension ref="B1:AI425"/>
  <sheetViews>
    <sheetView showRowColHeaders="0" workbookViewId="0">
      <selection activeCell="D2" sqref="D2"/>
      <extLst>
        <ext xmlns:xlsdti="http://schemas.microsoft.com/office/spreadsheetml/2023/showDataTypeIcons" uri="{77bfe23e-c014-4d31-8a63-9c772dbf06b6}">
          <xlsdti:showDataTypeIcons visible="0"/>
        </ext>
      </extLst>
    </sheetView>
  </sheetViews>
  <sheetFormatPr baseColWidth="10" defaultRowHeight="12"/>
  <cols>
    <col min="1" max="1" width="2.28515625" customWidth="1"/>
    <col min="2" max="2" width="37.28515625" customWidth="1"/>
    <col min="3" max="3" width="14.28515625" customWidth="1"/>
    <col min="4" max="4" width="16.7109375" customWidth="1"/>
    <col min="5" max="5" width="14.140625" customWidth="1"/>
    <col min="6" max="6" width="33.42578125" customWidth="1"/>
    <col min="7" max="8" width="33.5703125" customWidth="1"/>
    <col min="9" max="9" width="76" customWidth="1"/>
    <col min="10" max="10" width="28.28515625" customWidth="1"/>
    <col min="11" max="11" width="14.42578125" customWidth="1"/>
    <col min="12" max="12" width="13.7109375" customWidth="1"/>
    <col min="23" max="23" width="20.7109375" customWidth="1"/>
    <col min="24" max="24" width="11.42578125" style="2386"/>
    <col min="25" max="25" width="11.42578125" style="674"/>
    <col min="26" max="27" width="11.42578125" style="2386"/>
    <col min="30" max="30" width="14.42578125" customWidth="1"/>
    <col min="31" max="34" width="11.42578125" style="2352"/>
  </cols>
  <sheetData>
    <row r="1" spans="2:35" ht="12.75">
      <c r="G1" t="s">
        <v>5863</v>
      </c>
      <c r="H1" t="s">
        <v>5864</v>
      </c>
      <c r="I1" t="s">
        <v>3072</v>
      </c>
      <c r="K1" t="s">
        <v>5863</v>
      </c>
      <c r="L1" t="s">
        <v>5864</v>
      </c>
      <c r="M1" t="s">
        <v>3072</v>
      </c>
      <c r="V1" s="921" t="s">
        <v>7133</v>
      </c>
      <c r="X1" s="921"/>
      <c r="Y1"/>
      <c r="Z1" s="921"/>
      <c r="AA1" s="921"/>
      <c r="AC1" t="s">
        <v>4505</v>
      </c>
    </row>
    <row r="2" spans="2:35" ht="15.75">
      <c r="B2" s="3" t="s">
        <v>6249</v>
      </c>
      <c r="C2" s="3" t="str">
        <f>NW</f>
        <v>Nachweis</v>
      </c>
      <c r="D2" s="1"/>
      <c r="E2" s="3" t="s">
        <v>5477</v>
      </c>
      <c r="F2" s="1002" t="s">
        <v>5862</v>
      </c>
      <c r="J2" s="1002" t="s">
        <v>6596</v>
      </c>
      <c r="V2" s="921" t="s">
        <v>7134</v>
      </c>
      <c r="W2" s="921" t="s">
        <v>7135</v>
      </c>
      <c r="X2" s="921" t="s">
        <v>7136</v>
      </c>
      <c r="Y2" t="s">
        <v>5645</v>
      </c>
      <c r="Z2" s="921" t="s">
        <v>5646</v>
      </c>
      <c r="AA2" s="921" t="s">
        <v>5647</v>
      </c>
      <c r="AC2" s="921" t="s">
        <v>7134</v>
      </c>
      <c r="AD2" s="921" t="s">
        <v>7135</v>
      </c>
      <c r="AE2" s="2387" t="s">
        <v>7136</v>
      </c>
      <c r="AF2" s="2387" t="s">
        <v>5645</v>
      </c>
      <c r="AG2" s="2387" t="s">
        <v>5646</v>
      </c>
      <c r="AH2" s="2387" t="s">
        <v>5647</v>
      </c>
      <c r="AI2" s="1875" t="s">
        <v>6670</v>
      </c>
    </row>
    <row r="3" spans="2:35" ht="12.75">
      <c r="B3" s="3" t="s">
        <v>6250</v>
      </c>
      <c r="C3" s="713">
        <v>9.9</v>
      </c>
      <c r="D3" s="2407">
        <v>45982</v>
      </c>
      <c r="E3">
        <v>2025</v>
      </c>
      <c r="F3" t="str">
        <f>IF(Texte!SprachIdx=1,G3,IF(Texte!SprachIdx=2,H3,IF(Texte!SprachIdx=3,I3,"")))</f>
        <v>Betvor</v>
      </c>
      <c r="G3" t="s">
        <v>4679</v>
      </c>
      <c r="H3" t="s">
        <v>2424</v>
      </c>
      <c r="I3" t="s">
        <v>12195</v>
      </c>
      <c r="J3">
        <f>IF(Texte!SprachIdx=1,K3,IF(Texte!SprachIdx=2,L3,IF(Texte!SprachIdx=3,M3,"")))</f>
        <v>0</v>
      </c>
      <c r="V3" t="s">
        <v>5118</v>
      </c>
      <c r="W3" t="s">
        <v>5648</v>
      </c>
      <c r="X3" s="2386">
        <v>0</v>
      </c>
      <c r="Y3" s="674">
        <v>6.75</v>
      </c>
      <c r="Z3" s="2386">
        <v>103.34999847412109</v>
      </c>
      <c r="AA3" s="2386">
        <v>33.599998474121094</v>
      </c>
      <c r="AC3" t="s">
        <v>5118</v>
      </c>
      <c r="AD3" t="s">
        <v>5648</v>
      </c>
      <c r="AE3" s="2352">
        <v>4.5</v>
      </c>
      <c r="AF3" s="2352">
        <v>6.75</v>
      </c>
      <c r="AG3" s="2352">
        <v>112.5</v>
      </c>
      <c r="AH3" s="2352">
        <v>33.75</v>
      </c>
      <c r="AI3" s="1876">
        <v>44985</v>
      </c>
    </row>
    <row r="4" spans="2:35" ht="12.75">
      <c r="B4" s="3" t="s">
        <v>5476</v>
      </c>
      <c r="C4" s="3">
        <v>2024</v>
      </c>
      <c r="D4" s="2048">
        <v>9.8000000000000007</v>
      </c>
      <c r="E4">
        <v>2025</v>
      </c>
      <c r="F4" t="str">
        <f>IF(Texte!SprachIdx=1,G4,IF(Texte!SprachIdx=2,H4,IF(Texte!SprachIdx=3,I4,"")))</f>
        <v>Nachweis</v>
      </c>
      <c r="G4" t="s">
        <v>2210</v>
      </c>
      <c r="H4" t="s">
        <v>6910</v>
      </c>
      <c r="I4" t="s">
        <v>10822</v>
      </c>
      <c r="J4" t="str">
        <f>IF(Texte!SprachIdx=1,K4,IF(Texte!SprachIdx=2,L4,IF(Texte!SprachIdx=3,M4,"")))</f>
        <v xml:space="preserve">                                   Nachweis</v>
      </c>
      <c r="K4" t="s">
        <v>6697</v>
      </c>
      <c r="L4" s="1185" t="s">
        <v>5842</v>
      </c>
      <c r="M4" s="1185" t="s">
        <v>6396</v>
      </c>
      <c r="V4" t="s">
        <v>5121</v>
      </c>
      <c r="W4" t="s">
        <v>2508</v>
      </c>
      <c r="X4" s="2386">
        <v>426</v>
      </c>
      <c r="Y4" s="674">
        <v>160.80000305175781</v>
      </c>
      <c r="Z4" s="2386">
        <v>61.200000762939453</v>
      </c>
      <c r="AA4" s="2386">
        <v>15.600000381469727</v>
      </c>
      <c r="AC4" t="s">
        <v>5119</v>
      </c>
      <c r="AD4" t="s">
        <v>5648</v>
      </c>
      <c r="AE4" s="2352">
        <v>5.25</v>
      </c>
      <c r="AF4" s="2352">
        <v>6.75</v>
      </c>
      <c r="AG4" s="2352">
        <v>112.5</v>
      </c>
      <c r="AH4" s="2352">
        <v>33.75</v>
      </c>
      <c r="AI4" s="1875" t="s">
        <v>6671</v>
      </c>
    </row>
    <row r="5" spans="2:35" ht="12.75">
      <c r="B5" s="3" t="s">
        <v>5320</v>
      </c>
      <c r="C5" s="3">
        <v>0</v>
      </c>
      <c r="D5" s="5"/>
      <c r="E5">
        <v>2025</v>
      </c>
      <c r="F5" t="str">
        <f>IF(Texte!SprachIdx=1,G5,IF(Texte!SprachIdx=2,H5,IF(Texte!SprachIdx=3,I5,"")))</f>
        <v>Betvor light</v>
      </c>
      <c r="G5" t="s">
        <v>6597</v>
      </c>
      <c r="H5" t="s">
        <v>7302</v>
      </c>
      <c r="I5" t="s">
        <v>4502</v>
      </c>
      <c r="J5">
        <f>IF(Texte!SprachIdx=1,K5,IF(Texte!SprachIdx=2,L5,IF(Texte!SprachIdx=3,M5,"")))</f>
        <v>0</v>
      </c>
      <c r="W5" t="s">
        <v>5648</v>
      </c>
      <c r="X5" s="2386">
        <v>4.1999998092651367</v>
      </c>
      <c r="Y5" s="674">
        <v>6.75</v>
      </c>
      <c r="Z5" s="2386">
        <v>112.5</v>
      </c>
      <c r="AA5" s="2386">
        <v>33.75</v>
      </c>
      <c r="AD5" t="s">
        <v>3507</v>
      </c>
      <c r="AE5" s="2352">
        <v>173.25</v>
      </c>
      <c r="AF5" s="2352">
        <v>23.25</v>
      </c>
      <c r="AG5" s="2352">
        <v>155.25</v>
      </c>
      <c r="AH5" s="2352">
        <v>16.5</v>
      </c>
      <c r="AI5" s="718" t="s">
        <v>12094</v>
      </c>
    </row>
    <row r="6" spans="2:35" ht="12.75">
      <c r="B6" s="3" t="str">
        <f xml:space="preserve"> "Suisse-Bilanz Edition / " &amp; J46 &amp; ":"</f>
        <v>Suisse-Bilanz Edition / GMF:</v>
      </c>
      <c r="C6" s="3">
        <v>1.19</v>
      </c>
      <c r="D6" s="3356" t="s">
        <v>12161</v>
      </c>
      <c r="E6">
        <v>2025</v>
      </c>
      <c r="F6" t="str">
        <f>IF(Texte!SprachIdx=1,G6,IF(Texte!SprachIdx=2,H6,IF(Texte!SprachIdx=3,I6,"")))</f>
        <v>Dirzahl</v>
      </c>
      <c r="G6" t="s">
        <v>6598</v>
      </c>
      <c r="H6" t="s">
        <v>7303</v>
      </c>
      <c r="I6" t="s">
        <v>10823</v>
      </c>
      <c r="J6" t="str">
        <f>IF(Texte!SprachIdx=1,K6,IF(Texte!SprachIdx=2,L6,IF(Texte!SprachIdx=3,M6,"")))</f>
        <v xml:space="preserve">                                   Dirzahl</v>
      </c>
      <c r="K6" t="s">
        <v>5485</v>
      </c>
      <c r="L6" s="1185" t="s">
        <v>2915</v>
      </c>
      <c r="M6" s="1185" t="s">
        <v>6397</v>
      </c>
      <c r="W6" t="s">
        <v>7268</v>
      </c>
      <c r="X6" s="2386">
        <v>206.10000610351563</v>
      </c>
      <c r="Y6" s="674">
        <v>42</v>
      </c>
      <c r="Z6" s="2386">
        <v>53.25</v>
      </c>
      <c r="AA6" s="2386">
        <v>19.5</v>
      </c>
      <c r="AC6" t="s">
        <v>5120</v>
      </c>
      <c r="AD6" t="s">
        <v>5648</v>
      </c>
      <c r="AE6" s="2352">
        <v>4.5</v>
      </c>
      <c r="AF6" s="2352">
        <v>6.75</v>
      </c>
      <c r="AG6" s="2352">
        <v>112.5</v>
      </c>
      <c r="AH6" s="2352">
        <v>33.75</v>
      </c>
    </row>
    <row r="7" spans="2:35" ht="15.75">
      <c r="B7" s="1001" t="s">
        <v>2206</v>
      </c>
      <c r="C7" s="6" t="s">
        <v>7359</v>
      </c>
      <c r="D7" s="725" t="s">
        <v>2207</v>
      </c>
      <c r="E7" s="728" t="s">
        <v>2208</v>
      </c>
      <c r="F7" s="1002" t="s">
        <v>3073</v>
      </c>
      <c r="J7" s="1002" t="s">
        <v>5285</v>
      </c>
      <c r="N7" s="1002" t="s">
        <v>2481</v>
      </c>
      <c r="P7" s="1002" t="s">
        <v>829</v>
      </c>
      <c r="W7" t="s">
        <v>3323</v>
      </c>
      <c r="X7" s="2386">
        <v>4.8000001907348633</v>
      </c>
      <c r="Y7" s="674">
        <v>105</v>
      </c>
      <c r="Z7" s="2386">
        <v>182.39999389648438</v>
      </c>
      <c r="AA7" s="2386">
        <v>27</v>
      </c>
      <c r="AD7" t="s">
        <v>3508</v>
      </c>
      <c r="AE7" s="2352">
        <v>177</v>
      </c>
      <c r="AF7" s="2352">
        <v>75.75</v>
      </c>
      <c r="AG7" s="2352">
        <v>59.25</v>
      </c>
      <c r="AH7" s="2352">
        <v>12.75</v>
      </c>
    </row>
    <row r="8" spans="2:35" ht="12.75" customHeight="1">
      <c r="B8" s="1007" t="s">
        <v>4475</v>
      </c>
      <c r="C8" s="8" t="b">
        <v>1</v>
      </c>
      <c r="D8" s="726" t="b">
        <v>1</v>
      </c>
      <c r="E8" s="724" t="b">
        <v>1</v>
      </c>
      <c r="F8" s="1002"/>
      <c r="J8" t="str">
        <f>IF(Texte!SprachIdx=1,K8,IF(Texte!SprachIdx=2,L8,IF(Texte!SprachIdx=3,M8,"")))</f>
        <v>Q</v>
      </c>
      <c r="K8" t="s">
        <v>4475</v>
      </c>
      <c r="L8" t="s">
        <v>4475</v>
      </c>
      <c r="M8" t="s">
        <v>4475</v>
      </c>
      <c r="N8" t="s">
        <v>4475</v>
      </c>
      <c r="O8" s="648"/>
      <c r="W8" t="s">
        <v>3324</v>
      </c>
      <c r="X8" s="2386">
        <v>497.39999389648438</v>
      </c>
      <c r="Y8" s="674">
        <v>9</v>
      </c>
      <c r="Z8" s="2386">
        <v>87.114883422851563</v>
      </c>
      <c r="AA8" s="2386">
        <v>30</v>
      </c>
      <c r="AD8" t="s">
        <v>3509</v>
      </c>
      <c r="AE8" s="2352">
        <v>267</v>
      </c>
      <c r="AF8" s="2352">
        <v>76.5</v>
      </c>
      <c r="AG8" s="2352">
        <v>59.25</v>
      </c>
      <c r="AH8" s="2352">
        <v>12.75</v>
      </c>
    </row>
    <row r="9" spans="2:35" ht="12.75">
      <c r="B9" s="7" t="str">
        <f>Dblatt!A9</f>
        <v>Inhaltsverzeichnis</v>
      </c>
      <c r="C9" s="8" t="b">
        <v>1</v>
      </c>
      <c r="D9" s="726" t="b">
        <v>1</v>
      </c>
      <c r="E9" s="724" t="b">
        <v>1</v>
      </c>
      <c r="F9" t="str">
        <f>IF(Texte!SprachIdx=1,G9,IF(Texte!SprachIdx=2,H9,IF(Texte!SprachIdx=3,I9,"")))</f>
        <v>Inhaltsverzeichnis</v>
      </c>
      <c r="G9" t="s">
        <v>4467</v>
      </c>
      <c r="H9" t="s">
        <v>4662</v>
      </c>
      <c r="I9" t="s">
        <v>635</v>
      </c>
      <c r="J9" t="str">
        <f>IF(Texte!SprachIdx=1,K9,IF(Texte!SprachIdx=2,L9,IF(Texte!SprachIdx=3,M9,"")))</f>
        <v>Dblatt</v>
      </c>
      <c r="K9" t="s">
        <v>5118</v>
      </c>
      <c r="L9" t="s">
        <v>1504</v>
      </c>
      <c r="M9" t="s">
        <v>635</v>
      </c>
      <c r="N9" t="s">
        <v>5118</v>
      </c>
      <c r="O9" s="648"/>
      <c r="W9" t="s">
        <v>3327</v>
      </c>
      <c r="X9" s="2386">
        <v>497.39999389648438</v>
      </c>
      <c r="Y9" s="674">
        <v>45.599998474121094</v>
      </c>
      <c r="Z9" s="2386">
        <v>87.114883422851563</v>
      </c>
      <c r="AA9" s="2386">
        <v>30</v>
      </c>
      <c r="AD9" t="s">
        <v>3510</v>
      </c>
      <c r="AE9" s="2352">
        <v>357</v>
      </c>
      <c r="AF9" s="2352">
        <v>75.75</v>
      </c>
      <c r="AG9" s="2352">
        <v>59.25</v>
      </c>
      <c r="AH9" s="2352">
        <v>12.75</v>
      </c>
    </row>
    <row r="10" spans="2:35" ht="12.75">
      <c r="B10" s="7"/>
      <c r="C10" s="8" t="b">
        <v>0</v>
      </c>
      <c r="D10" s="726" t="b">
        <v>1</v>
      </c>
      <c r="E10" s="724" t="b">
        <v>0</v>
      </c>
      <c r="F10" t="str">
        <f>IF(Texte!SprachIdx=1,G10,IF(Texte!SprachIdx=2,H10,IF(Texte!SprachIdx=3,I10,"")))</f>
        <v>Übersicht Betriebsdaten</v>
      </c>
      <c r="G10" t="s">
        <v>6555</v>
      </c>
      <c r="H10" t="s">
        <v>1478</v>
      </c>
      <c r="I10" t="s">
        <v>10824</v>
      </c>
      <c r="K10" t="s">
        <v>5119</v>
      </c>
      <c r="L10" t="s">
        <v>1695</v>
      </c>
      <c r="M10" t="s">
        <v>4422</v>
      </c>
      <c r="N10" t="s">
        <v>5121</v>
      </c>
      <c r="O10" s="648"/>
      <c r="W10" t="s">
        <v>2507</v>
      </c>
      <c r="X10" s="2386">
        <v>470.39999389648438</v>
      </c>
      <c r="Y10" s="674">
        <v>159.60000610351563</v>
      </c>
      <c r="Z10" s="2386">
        <v>19.799999237060547</v>
      </c>
      <c r="AA10" s="2386">
        <v>16.799999237060547</v>
      </c>
      <c r="AD10" t="s">
        <v>3511</v>
      </c>
      <c r="AE10" s="2352">
        <v>447</v>
      </c>
      <c r="AF10" s="2352">
        <v>75.75</v>
      </c>
      <c r="AG10" s="2352">
        <v>59.25</v>
      </c>
      <c r="AH10" s="2352">
        <v>12.75</v>
      </c>
    </row>
    <row r="11" spans="2:35" ht="12.75">
      <c r="B11" s="11"/>
      <c r="C11" s="8" t="b">
        <v>0</v>
      </c>
      <c r="D11" s="726" t="b">
        <v>1</v>
      </c>
      <c r="E11" s="724" t="b">
        <v>0</v>
      </c>
      <c r="F11" t="str">
        <f>IF(Texte!SprachIdx=1,G11,IF(Texte!SprachIdx=2,H11,IF(Texte!SprachIdx=3,I11,"")))</f>
        <v>Projektvarianten</v>
      </c>
      <c r="G11" t="s">
        <v>4305</v>
      </c>
      <c r="H11" t="s">
        <v>1834</v>
      </c>
      <c r="I11" t="s">
        <v>3926</v>
      </c>
      <c r="K11" t="s">
        <v>5120</v>
      </c>
      <c r="L11" t="s">
        <v>5120</v>
      </c>
      <c r="M11" t="s">
        <v>3926</v>
      </c>
      <c r="N11" t="s">
        <v>5348</v>
      </c>
      <c r="O11" s="648"/>
      <c r="W11" t="s">
        <v>2509</v>
      </c>
      <c r="X11" s="2386">
        <v>261.60000610351563</v>
      </c>
      <c r="Y11" s="674">
        <v>43.799999237060547</v>
      </c>
      <c r="Z11" s="2386">
        <v>78.599998474121094</v>
      </c>
      <c r="AA11" s="2386">
        <v>18.600000381469727</v>
      </c>
      <c r="AC11" t="s">
        <v>5121</v>
      </c>
      <c r="AD11" t="s">
        <v>2508</v>
      </c>
      <c r="AE11" s="2352">
        <v>461.25</v>
      </c>
      <c r="AF11" s="2352">
        <v>161.25</v>
      </c>
      <c r="AG11" s="2352">
        <v>73.5</v>
      </c>
      <c r="AH11" s="2352">
        <v>21.75</v>
      </c>
    </row>
    <row r="12" spans="2:35" ht="12.75">
      <c r="B12" s="7" t="str">
        <f>Allg!$G$1</f>
        <v>Allgemeine Angaben</v>
      </c>
      <c r="C12" s="8" t="b">
        <v>1</v>
      </c>
      <c r="D12" s="726" t="b">
        <v>1</v>
      </c>
      <c r="E12" s="724" t="b">
        <v>1</v>
      </c>
      <c r="F12" t="str">
        <f>IF(Texte!SprachIdx=1,G12,IF(Texte!SprachIdx=2,H12,IF(Texte!SprachIdx=3,I12,"")))</f>
        <v>Allgemeine Angaben</v>
      </c>
      <c r="G12" t="s">
        <v>5959</v>
      </c>
      <c r="H12" t="s">
        <v>3964</v>
      </c>
      <c r="I12" t="s">
        <v>412</v>
      </c>
      <c r="J12" t="str">
        <f>IF(Texte!SprachIdx=1,K12,IF(Texte!SprachIdx=2,L12,IF(Texte!SprachIdx=3,M12,"")))</f>
        <v>Allg</v>
      </c>
      <c r="K12" t="s">
        <v>5121</v>
      </c>
      <c r="L12" t="s">
        <v>1696</v>
      </c>
      <c r="M12" t="s">
        <v>4423</v>
      </c>
      <c r="N12" t="s">
        <v>5122</v>
      </c>
      <c r="O12" s="648"/>
      <c r="V12" t="s">
        <v>5348</v>
      </c>
      <c r="W12" t="s">
        <v>5648</v>
      </c>
      <c r="X12" s="2386">
        <v>4.1999998092651367</v>
      </c>
      <c r="Y12" s="674">
        <v>6.75</v>
      </c>
      <c r="Z12" s="2386">
        <v>112.5</v>
      </c>
      <c r="AA12" s="2386">
        <v>33.75</v>
      </c>
      <c r="AD12" t="s">
        <v>5648</v>
      </c>
      <c r="AE12" s="2352">
        <v>4.5</v>
      </c>
      <c r="AF12" s="2352">
        <v>6.75</v>
      </c>
      <c r="AG12" s="2352">
        <v>112.5</v>
      </c>
      <c r="AH12" s="2352">
        <v>33.75</v>
      </c>
    </row>
    <row r="13" spans="2:35" ht="12.75">
      <c r="B13" s="9" t="str">
        <f>Fläche!$P$1</f>
        <v>Fläche</v>
      </c>
      <c r="C13" s="8" t="b">
        <v>1</v>
      </c>
      <c r="D13" s="726" t="b">
        <v>1</v>
      </c>
      <c r="E13" s="724" t="b">
        <v>1</v>
      </c>
      <c r="F13" t="str">
        <f>IF(Texte!SprachIdx=1,G13,IF(Texte!SprachIdx=2,H13,IF(Texte!SprachIdx=3,I13,"")))</f>
        <v>Fläche</v>
      </c>
      <c r="G13" t="s">
        <v>5348</v>
      </c>
      <c r="H13" t="s">
        <v>1479</v>
      </c>
      <c r="I13" t="s">
        <v>3927</v>
      </c>
      <c r="J13" t="str">
        <f>IF(Texte!SprachIdx=1,K13,IF(Texte!SprachIdx=2,L13,IF(Texte!SprachIdx=3,M13,"")))</f>
        <v>Fläche</v>
      </c>
      <c r="K13" t="s">
        <v>5348</v>
      </c>
      <c r="L13" t="s">
        <v>1697</v>
      </c>
      <c r="M13" t="s">
        <v>3927</v>
      </c>
      <c r="N13" t="s">
        <v>5123</v>
      </c>
      <c r="O13" s="648"/>
      <c r="W13" t="s">
        <v>5301</v>
      </c>
      <c r="X13" s="2386">
        <v>141.89999389648438</v>
      </c>
      <c r="Y13" s="674">
        <v>49.349998474121094</v>
      </c>
      <c r="Z13" s="2386">
        <v>9.3000001907348633</v>
      </c>
      <c r="AA13" s="2386">
        <v>10.5</v>
      </c>
      <c r="AD13" t="s">
        <v>7268</v>
      </c>
      <c r="AE13" s="2352">
        <v>242.25</v>
      </c>
      <c r="AF13" s="2352">
        <v>45.75</v>
      </c>
      <c r="AG13" s="2352">
        <v>47.25</v>
      </c>
      <c r="AH13" s="2352">
        <v>14.25</v>
      </c>
    </row>
    <row r="14" spans="2:35" ht="12.75">
      <c r="B14" s="7" t="str">
        <f>Tierb!$T$1</f>
        <v>Tierbestand</v>
      </c>
      <c r="C14" s="8" t="b">
        <v>1</v>
      </c>
      <c r="D14" s="726" t="b">
        <v>1</v>
      </c>
      <c r="E14" s="724" t="b">
        <v>1</v>
      </c>
      <c r="F14" t="str">
        <f>IF(Texte!SprachIdx=1,G14,IF(Texte!SprachIdx=2,H14,IF(Texte!SprachIdx=3,I14,"")))</f>
        <v>Tierbestand</v>
      </c>
      <c r="G14" t="s">
        <v>6980</v>
      </c>
      <c r="H14" t="s">
        <v>150</v>
      </c>
      <c r="I14" t="s">
        <v>3928</v>
      </c>
      <c r="J14" t="str">
        <f>IF(Texte!SprachIdx=1,K14,IF(Texte!SprachIdx=2,L14,IF(Texte!SprachIdx=3,M14,"")))</f>
        <v>Tierb</v>
      </c>
      <c r="K14" t="s">
        <v>5122</v>
      </c>
      <c r="L14" t="s">
        <v>1698</v>
      </c>
      <c r="M14" t="s">
        <v>8437</v>
      </c>
      <c r="N14" t="s">
        <v>5124</v>
      </c>
      <c r="O14" s="648"/>
      <c r="W14" t="s">
        <v>601</v>
      </c>
      <c r="X14" s="2386">
        <v>140.39999389648438</v>
      </c>
      <c r="Y14" s="674">
        <v>151.19999694824219</v>
      </c>
      <c r="Z14" s="2386">
        <v>20.399999618530273</v>
      </c>
      <c r="AA14" s="2386">
        <v>18</v>
      </c>
      <c r="AD14" t="s">
        <v>3323</v>
      </c>
      <c r="AE14" s="2352">
        <v>5.25</v>
      </c>
      <c r="AF14" s="2352">
        <v>106.5</v>
      </c>
      <c r="AG14" s="2352">
        <v>193.5</v>
      </c>
      <c r="AH14" s="2352">
        <v>27.75</v>
      </c>
    </row>
    <row r="15" spans="2:35" ht="12.75">
      <c r="B15" s="7" t="str">
        <f>Kennz!$J$1</f>
        <v>Kennziffern Biodiversitätsförderflächen</v>
      </c>
      <c r="C15" s="8" t="b">
        <v>1</v>
      </c>
      <c r="D15" s="726" t="b">
        <v>1</v>
      </c>
      <c r="E15" s="724" t="b">
        <v>1</v>
      </c>
      <c r="F15" t="str">
        <f>IF(Texte!SprachIdx=1,G15,IF(Texte!SprachIdx=2,H15,IF(Texte!SprachIdx=3,I15,"")))</f>
        <v>Kennziffern Biodiversitätsförderflächen</v>
      </c>
      <c r="G15" s="1006" t="s">
        <v>3236</v>
      </c>
      <c r="H15" t="s">
        <v>3414</v>
      </c>
      <c r="I15" t="s">
        <v>10825</v>
      </c>
      <c r="J15" t="str">
        <f>IF(Texte!SprachIdx=1,K15,IF(Texte!SprachIdx=2,L15,IF(Texte!SprachIdx=3,M15,"")))</f>
        <v>Kennz</v>
      </c>
      <c r="K15" t="s">
        <v>5123</v>
      </c>
      <c r="L15" t="s">
        <v>1699</v>
      </c>
      <c r="M15" t="s">
        <v>4439</v>
      </c>
      <c r="N15" t="s">
        <v>5125</v>
      </c>
      <c r="O15" s="648"/>
      <c r="W15" t="s">
        <v>602</v>
      </c>
      <c r="X15" s="2386">
        <v>140.39999389648438</v>
      </c>
      <c r="Y15" s="674">
        <v>166.19999694824219</v>
      </c>
      <c r="Z15" s="2386">
        <v>20.399999618530273</v>
      </c>
      <c r="AA15" s="2386">
        <v>18</v>
      </c>
      <c r="AD15" t="s">
        <v>3324</v>
      </c>
      <c r="AE15" s="2352">
        <v>542.25</v>
      </c>
      <c r="AF15" s="2352">
        <v>9</v>
      </c>
      <c r="AG15" s="2352">
        <v>92.25</v>
      </c>
      <c r="AH15" s="2352">
        <v>30</v>
      </c>
    </row>
    <row r="16" spans="2:35" ht="12.75">
      <c r="B16" s="7" t="str">
        <f>BioKennz!$L$1</f>
        <v>Kennziffern Biolandbau</v>
      </c>
      <c r="C16" s="8" t="b">
        <v>1</v>
      </c>
      <c r="D16" s="726" t="b">
        <v>0</v>
      </c>
      <c r="E16" s="724" t="b">
        <v>0</v>
      </c>
      <c r="F16" t="str">
        <f>IF(Texte!SprachIdx=1,G16,IF(Texte!SprachIdx=2,H16,IF(Texte!SprachIdx=3,I16,"")))</f>
        <v>Kennziffern Biolandbau</v>
      </c>
      <c r="G16" s="1006" t="s">
        <v>7571</v>
      </c>
      <c r="H16" t="s">
        <v>3472</v>
      </c>
      <c r="I16" t="s">
        <v>10826</v>
      </c>
      <c r="J16" t="str">
        <f>IF(Texte!SprachIdx=1,K16,IF(Texte!SprachIdx=2,L16,IF(Texte!SprachIdx=3,M16,"")))</f>
        <v>BioKennz</v>
      </c>
      <c r="K16" t="s">
        <v>5124</v>
      </c>
      <c r="L16" t="s">
        <v>1700</v>
      </c>
      <c r="M16" t="s">
        <v>10962</v>
      </c>
      <c r="N16" t="s">
        <v>5126</v>
      </c>
      <c r="O16" s="648"/>
      <c r="W16" t="s">
        <v>781</v>
      </c>
      <c r="X16" s="2386">
        <v>140.39999389648438</v>
      </c>
      <c r="Y16" s="674">
        <v>196.19999694824219</v>
      </c>
      <c r="Z16" s="2386">
        <v>20.399999618530273</v>
      </c>
      <c r="AA16" s="2386">
        <v>18</v>
      </c>
      <c r="AD16" t="s">
        <v>3325</v>
      </c>
      <c r="AE16" s="2352">
        <v>542.25</v>
      </c>
      <c r="AF16" s="2352">
        <v>146.25</v>
      </c>
      <c r="AG16" s="2352">
        <v>92.25</v>
      </c>
      <c r="AH16" s="2352">
        <v>38.25</v>
      </c>
    </row>
    <row r="17" spans="2:34" ht="12.75">
      <c r="B17" s="7" t="str">
        <f>Fzukauf!$H$1</f>
        <v>Futterzukauf</v>
      </c>
      <c r="C17" s="8" t="b">
        <v>1</v>
      </c>
      <c r="D17" s="726" t="b">
        <v>0</v>
      </c>
      <c r="E17" s="724" t="b">
        <v>0</v>
      </c>
      <c r="F17" t="str">
        <f>IF(Texte!SprachIdx=1,G17,IF(Texte!SprachIdx=2,H17,IF(Texte!SprachIdx=3,I17,"")))</f>
        <v>Futterzukauf</v>
      </c>
      <c r="G17" t="s">
        <v>823</v>
      </c>
      <c r="H17" t="s">
        <v>3473</v>
      </c>
      <c r="I17" t="s">
        <v>3915</v>
      </c>
      <c r="J17" t="str">
        <f>IF(Texte!SprachIdx=1,K17,IF(Texte!SprachIdx=2,L17,IF(Texte!SprachIdx=3,M17,"")))</f>
        <v>Fzukauf</v>
      </c>
      <c r="K17" t="s">
        <v>5125</v>
      </c>
      <c r="L17" t="s">
        <v>1701</v>
      </c>
      <c r="M17" t="s">
        <v>10963</v>
      </c>
      <c r="N17" t="s">
        <v>7295</v>
      </c>
      <c r="O17" s="648"/>
      <c r="W17" t="s">
        <v>782</v>
      </c>
      <c r="X17" s="2386">
        <v>140.39999389648438</v>
      </c>
      <c r="Y17" s="674">
        <v>256.20001220703125</v>
      </c>
      <c r="Z17" s="2386">
        <v>20.399999618530273</v>
      </c>
      <c r="AA17" s="2386">
        <v>18</v>
      </c>
      <c r="AD17" t="s">
        <v>3326</v>
      </c>
      <c r="AE17" s="2352">
        <v>542.25</v>
      </c>
      <c r="AF17" s="2352">
        <v>201.75</v>
      </c>
      <c r="AG17" s="2352">
        <v>92.25</v>
      </c>
      <c r="AH17" s="2352">
        <v>38.25</v>
      </c>
    </row>
    <row r="18" spans="2:34" ht="12.75">
      <c r="B18" s="10" t="str">
        <f>Ff!$J$1</f>
        <v>Fruchtfolge-Kennziffern</v>
      </c>
      <c r="C18" s="8" t="b">
        <v>1</v>
      </c>
      <c r="D18" s="726" t="b">
        <v>0</v>
      </c>
      <c r="E18" s="724" t="b">
        <v>0</v>
      </c>
      <c r="F18" t="str">
        <f>IF(Texte!SprachIdx=1,G18,IF(Texte!SprachIdx=2,H18,IF(Texte!SprachIdx=3,I18,"")))</f>
        <v>Fruchtfolge-Kennziffern</v>
      </c>
      <c r="G18" t="s">
        <v>5029</v>
      </c>
      <c r="H18" t="s">
        <v>4678</v>
      </c>
      <c r="I18" t="s">
        <v>10827</v>
      </c>
      <c r="J18" t="str">
        <f>IF(Texte!SprachIdx=1,K18,IF(Texte!SprachIdx=2,L18,IF(Texte!SprachIdx=3,M18,"")))</f>
        <v>Ff</v>
      </c>
      <c r="K18" t="s">
        <v>5126</v>
      </c>
      <c r="L18" t="s">
        <v>1702</v>
      </c>
      <c r="M18" t="s">
        <v>3003</v>
      </c>
      <c r="N18" t="s">
        <v>1526</v>
      </c>
      <c r="O18" s="648"/>
      <c r="W18" t="s">
        <v>783</v>
      </c>
      <c r="X18" s="2386">
        <v>140.39999389648438</v>
      </c>
      <c r="Y18" s="674">
        <v>271.20001220703125</v>
      </c>
      <c r="Z18" s="2386">
        <v>20.399999618530273</v>
      </c>
      <c r="AA18" s="2386">
        <v>18</v>
      </c>
      <c r="AD18" t="s">
        <v>3327</v>
      </c>
      <c r="AE18" s="2352">
        <v>542.25</v>
      </c>
      <c r="AF18" s="2352">
        <v>45.75</v>
      </c>
      <c r="AG18" s="2352">
        <v>92.25</v>
      </c>
      <c r="AH18" s="2352">
        <v>30</v>
      </c>
    </row>
    <row r="19" spans="2:34" ht="12.75">
      <c r="B19" s="9" t="str">
        <f>FormE!R1</f>
        <v>SuiBi: Formular E Vergärungsprodukte und Ernterückstände Gemüse</v>
      </c>
      <c r="C19" s="8" t="b">
        <v>1</v>
      </c>
      <c r="D19" s="726" t="b">
        <v>0</v>
      </c>
      <c r="E19" s="724" t="b">
        <v>0</v>
      </c>
      <c r="F19" t="str">
        <f>IF(Texte!SprachIdx=1,G19,IF(Texte!SprachIdx=2,H19,IF(Texte!SprachIdx=3,I19,"")))</f>
        <v xml:space="preserve">Vergärungsprodukte </v>
      </c>
      <c r="G19" t="s">
        <v>4122</v>
      </c>
      <c r="H19" t="s">
        <v>7294</v>
      </c>
      <c r="I19" t="s">
        <v>10828</v>
      </c>
      <c r="J19" t="str">
        <f>IF(Texte!SprachIdx=1,K19,IF(Texte!SprachIdx=2,L19,IF(Texte!SprachIdx=3,M19,"")))</f>
        <v>FormE</v>
      </c>
      <c r="K19" t="s">
        <v>7295</v>
      </c>
      <c r="L19" t="s">
        <v>7295</v>
      </c>
      <c r="M19" t="s">
        <v>10805</v>
      </c>
      <c r="N19" t="s">
        <v>1527</v>
      </c>
      <c r="O19" s="648"/>
      <c r="W19" t="s">
        <v>784</v>
      </c>
      <c r="X19" s="2386">
        <v>140.39999389648438</v>
      </c>
      <c r="Y19" s="674">
        <v>316.20001220703125</v>
      </c>
      <c r="Z19" s="2386">
        <v>20.399999618530273</v>
      </c>
      <c r="AA19" s="2386">
        <v>18</v>
      </c>
      <c r="AD19" t="s">
        <v>877</v>
      </c>
      <c r="AE19" s="2352">
        <v>542.25</v>
      </c>
      <c r="AF19" s="2352">
        <v>258</v>
      </c>
      <c r="AG19" s="2352">
        <v>92.25</v>
      </c>
      <c r="AH19" s="2352">
        <v>38.25</v>
      </c>
    </row>
    <row r="20" spans="2:34" ht="12.75">
      <c r="B20" s="7" t="str">
        <f>'SB1'!Y1</f>
        <v>SuiBi: Anfall und Grundfutter</v>
      </c>
      <c r="C20" s="8" t="b">
        <v>1</v>
      </c>
      <c r="D20" s="726" t="b">
        <v>0</v>
      </c>
      <c r="E20" s="724" t="b">
        <v>0</v>
      </c>
      <c r="F20" t="str">
        <f>IF(Texte!SprachIdx=1,G20,IF(Texte!SprachIdx=2,H20,IF(Texte!SprachIdx=3,I20,"")))</f>
        <v>SuiBi: Anfall und Grundfutter</v>
      </c>
      <c r="G20" t="s">
        <v>2517</v>
      </c>
      <c r="H20" t="s">
        <v>6767</v>
      </c>
      <c r="I20" t="s">
        <v>10829</v>
      </c>
      <c r="J20" t="str">
        <f>IF(Texte!SprachIdx=1,K20,IF(Texte!SprachIdx=2,L20,IF(Texte!SprachIdx=3,M20,"")))</f>
        <v>SB1</v>
      </c>
      <c r="K20" t="s">
        <v>1526</v>
      </c>
      <c r="L20" t="s">
        <v>1526</v>
      </c>
      <c r="M20" t="s">
        <v>10806</v>
      </c>
      <c r="N20" t="s">
        <v>1996</v>
      </c>
      <c r="O20" s="648"/>
      <c r="W20" t="s">
        <v>785</v>
      </c>
      <c r="X20" s="2386">
        <v>140.39999389648438</v>
      </c>
      <c r="Y20" s="674">
        <v>391.20001220703125</v>
      </c>
      <c r="Z20" s="2386">
        <v>20.399999618530273</v>
      </c>
      <c r="AA20" s="2386">
        <v>18</v>
      </c>
      <c r="AD20" t="s">
        <v>2507</v>
      </c>
      <c r="AE20" s="2352">
        <v>504.75</v>
      </c>
      <c r="AF20" s="2352">
        <v>162.75</v>
      </c>
      <c r="AG20" s="2352">
        <v>24</v>
      </c>
      <c r="AH20" s="2352">
        <v>17.25</v>
      </c>
    </row>
    <row r="21" spans="2:34" ht="12.75">
      <c r="B21" s="7" t="str">
        <f>'SB2'!U1</f>
        <v>SuiBi: Bedarf und Bilanz</v>
      </c>
      <c r="C21" s="8" t="b">
        <v>1</v>
      </c>
      <c r="D21" s="726" t="b">
        <v>0</v>
      </c>
      <c r="E21" s="724" t="b">
        <v>0</v>
      </c>
      <c r="F21" t="str">
        <f>IF(Texte!SprachIdx=1,G21,IF(Texte!SprachIdx=2,H21,IF(Texte!SprachIdx=3,I21,"")))</f>
        <v>SuiBi: Bedarf und Bilanz</v>
      </c>
      <c r="G21" t="s">
        <v>3554</v>
      </c>
      <c r="H21" t="s">
        <v>6768</v>
      </c>
      <c r="I21" t="s">
        <v>10830</v>
      </c>
      <c r="J21" t="str">
        <f>IF(Texte!SprachIdx=1,K21,IF(Texte!SprachIdx=2,L21,IF(Texte!SprachIdx=3,M21,"")))</f>
        <v>SB2</v>
      </c>
      <c r="K21" t="s">
        <v>1527</v>
      </c>
      <c r="L21" t="s">
        <v>1527</v>
      </c>
      <c r="M21" t="s">
        <v>10807</v>
      </c>
      <c r="N21" t="s">
        <v>5559</v>
      </c>
      <c r="O21" s="648"/>
      <c r="W21" t="s">
        <v>786</v>
      </c>
      <c r="X21" s="2386">
        <v>140.39999389648438</v>
      </c>
      <c r="Y21" s="674">
        <v>721.20001220703125</v>
      </c>
      <c r="Z21" s="2386">
        <v>20.399999618530273</v>
      </c>
      <c r="AA21" s="2386">
        <v>18</v>
      </c>
      <c r="AD21" t="s">
        <v>2509</v>
      </c>
      <c r="AE21" s="2352">
        <v>294.75</v>
      </c>
      <c r="AF21" s="2352">
        <v>45</v>
      </c>
      <c r="AG21" s="2352">
        <v>71.25</v>
      </c>
      <c r="AH21" s="2352">
        <v>15.75</v>
      </c>
    </row>
    <row r="22" spans="2:34" ht="12.75">
      <c r="B22" s="7" t="str">
        <f>RH!O1</f>
        <v>SuiBi: Reben, andere Dauerkulturen</v>
      </c>
      <c r="C22" s="8" t="b">
        <v>1</v>
      </c>
      <c r="D22" s="726" t="b">
        <v>0</v>
      </c>
      <c r="E22" s="724" t="b">
        <v>0</v>
      </c>
      <c r="F22" t="str">
        <f>IF(Texte!SprachIdx=1,G22,IF(Texte!SprachIdx=2,H22,IF(Texte!SprachIdx=3,I22,"")))</f>
        <v>SuiBi: Reben, andere Dauerkulturen</v>
      </c>
      <c r="G22" t="s">
        <v>11767</v>
      </c>
      <c r="H22" t="s">
        <v>11768</v>
      </c>
      <c r="I22" t="s">
        <v>11769</v>
      </c>
      <c r="J22" t="str">
        <f>IF(Texte!SprachIdx=1,K22,IF(Texte!SprachIdx=2,L22,IF(Texte!SprachIdx=3,M22,"")))</f>
        <v>RH</v>
      </c>
      <c r="K22" s="1006" t="s">
        <v>1996</v>
      </c>
      <c r="L22" s="1006" t="s">
        <v>5069</v>
      </c>
      <c r="M22" t="s">
        <v>10808</v>
      </c>
      <c r="N22" s="1006" t="s">
        <v>5560</v>
      </c>
      <c r="O22" s="648"/>
      <c r="W22" t="s">
        <v>12095</v>
      </c>
      <c r="X22" s="2386">
        <v>358.34991455078125</v>
      </c>
      <c r="Y22" s="674">
        <v>1030.800048828125</v>
      </c>
      <c r="Z22" s="2386">
        <v>286.19992065429688</v>
      </c>
      <c r="AA22" s="2386">
        <v>13.800000190734863</v>
      </c>
      <c r="AC22" t="s">
        <v>5348</v>
      </c>
      <c r="AD22" t="s">
        <v>7269</v>
      </c>
      <c r="AE22" s="2352">
        <v>372.75</v>
      </c>
      <c r="AF22" s="2352">
        <v>844.5</v>
      </c>
      <c r="AG22" s="2352">
        <v>322.5</v>
      </c>
      <c r="AH22" s="2352">
        <v>49.5</v>
      </c>
    </row>
    <row r="23" spans="2:34" ht="12.75">
      <c r="B23" s="7" t="str">
        <f>'Gem1'!$P$1</f>
        <v>SuiBi: Freilandgemüse</v>
      </c>
      <c r="C23" s="8" t="b">
        <v>1</v>
      </c>
      <c r="D23" s="726" t="b">
        <v>0</v>
      </c>
      <c r="E23" s="724" t="b">
        <v>0</v>
      </c>
      <c r="F23" t="str">
        <f>IF(Texte!SprachIdx=1,G23,IF(Texte!SprachIdx=2,H23,IF(Texte!SprachIdx=3,I23,"")))</f>
        <v>SuiBi: Freilandgemüse</v>
      </c>
      <c r="G23" t="s">
        <v>1983</v>
      </c>
      <c r="H23" t="s">
        <v>3069</v>
      </c>
      <c r="I23" t="s">
        <v>10831</v>
      </c>
      <c r="J23" t="str">
        <f>IF(Texte!SprachIdx=1,K23,IF(Texte!SprachIdx=2,L23,IF(Texte!SprachIdx=3,M23,"")))</f>
        <v>Gem1</v>
      </c>
      <c r="K23" t="s">
        <v>5559</v>
      </c>
      <c r="L23" t="s">
        <v>5576</v>
      </c>
      <c r="M23" t="s">
        <v>10809</v>
      </c>
      <c r="N23" t="s">
        <v>690</v>
      </c>
      <c r="O23" s="648"/>
      <c r="W23" t="s">
        <v>12096</v>
      </c>
      <c r="X23" s="2386">
        <v>358.34991455078125</v>
      </c>
      <c r="Y23" s="674">
        <v>1004.4000244140625</v>
      </c>
      <c r="Z23" s="2386">
        <v>286.19992065429688</v>
      </c>
      <c r="AA23" s="2386">
        <v>25.200000762939453</v>
      </c>
      <c r="AD23" t="s">
        <v>5648</v>
      </c>
      <c r="AE23" s="2352">
        <v>4.5</v>
      </c>
      <c r="AF23" s="2352">
        <v>6.75</v>
      </c>
      <c r="AG23" s="2352">
        <v>112.5</v>
      </c>
      <c r="AH23" s="2352">
        <v>33.75</v>
      </c>
    </row>
    <row r="24" spans="2:34" ht="12.75">
      <c r="B24" s="7" t="str">
        <f>'Gem2'!$P$1</f>
        <v>SuiBi: Gemüse Gewächshaus/Hochtunnel</v>
      </c>
      <c r="C24" s="8" t="b">
        <v>1</v>
      </c>
      <c r="D24" s="726" t="b">
        <v>0</v>
      </c>
      <c r="E24" s="724" t="b">
        <v>0</v>
      </c>
      <c r="F24" t="str">
        <f>IF(Texte!SprachIdx=1,G24,IF(Texte!SprachIdx=2,H24,IF(Texte!SprachIdx=3,I24,"")))</f>
        <v>SuiBi: Gemüse Gewächshaus/Hochtunnel</v>
      </c>
      <c r="G24" t="s">
        <v>1334</v>
      </c>
      <c r="H24" t="s">
        <v>6740</v>
      </c>
      <c r="I24" t="s">
        <v>10832</v>
      </c>
      <c r="J24" t="str">
        <f>IF(Texte!SprachIdx=1,K24,IF(Texte!SprachIdx=2,L24,IF(Texte!SprachIdx=3,M24,"")))</f>
        <v>Gem2</v>
      </c>
      <c r="K24" t="s">
        <v>5560</v>
      </c>
      <c r="L24" t="s">
        <v>5577</v>
      </c>
      <c r="M24" t="s">
        <v>10810</v>
      </c>
      <c r="N24" t="s">
        <v>5178</v>
      </c>
      <c r="O24" s="648"/>
      <c r="W24" t="s">
        <v>6044</v>
      </c>
      <c r="X24" s="2386">
        <v>358.34991455078125</v>
      </c>
      <c r="Y24" s="674">
        <v>966.45001220703125</v>
      </c>
      <c r="Z24" s="2386">
        <v>286.35000610351563</v>
      </c>
      <c r="AA24" s="2386">
        <v>36.75</v>
      </c>
      <c r="AD24" t="s">
        <v>600</v>
      </c>
      <c r="AE24" s="2352">
        <v>372</v>
      </c>
      <c r="AF24" s="2352">
        <v>887.25</v>
      </c>
      <c r="AG24" s="2352">
        <v>320.25</v>
      </c>
      <c r="AH24" s="2352">
        <v>51.75</v>
      </c>
    </row>
    <row r="25" spans="2:34" ht="12.75">
      <c r="B25" s="7" t="str">
        <f>OB!O1</f>
        <v>SuiBi: Obst und Beeren</v>
      </c>
      <c r="C25" s="8" t="b">
        <v>1</v>
      </c>
      <c r="D25" s="726" t="b">
        <v>0</v>
      </c>
      <c r="E25" s="724" t="b">
        <v>0</v>
      </c>
      <c r="F25" t="str">
        <f>IF(Texte!SprachIdx=1,G25,IF(Texte!SprachIdx=2,H25,IF(Texte!SprachIdx=3,I25,"")))</f>
        <v>SuiBi: Obst und Beeren</v>
      </c>
      <c r="G25" t="s">
        <v>4537</v>
      </c>
      <c r="H25" t="s">
        <v>6741</v>
      </c>
      <c r="I25" t="s">
        <v>10833</v>
      </c>
      <c r="J25" t="str">
        <f>IF(Texte!SprachIdx=1,K25,IF(Texte!SprachIdx=2,L25,IF(Texte!SprachIdx=3,M25,"")))</f>
        <v>OB</v>
      </c>
      <c r="K25" t="s">
        <v>690</v>
      </c>
      <c r="L25" t="s">
        <v>1833</v>
      </c>
      <c r="M25" t="s">
        <v>10708</v>
      </c>
      <c r="N25" t="s">
        <v>4360</v>
      </c>
      <c r="O25" s="648"/>
      <c r="W25" t="s">
        <v>787</v>
      </c>
      <c r="X25" s="2386">
        <v>358.34991455078125</v>
      </c>
      <c r="Y25" s="674">
        <v>945.45001220703125</v>
      </c>
      <c r="Z25" s="2386">
        <v>286.35000610351563</v>
      </c>
      <c r="AA25" s="2386">
        <v>25.5</v>
      </c>
      <c r="AD25" t="s">
        <v>6044</v>
      </c>
      <c r="AE25" s="2352">
        <v>372.75</v>
      </c>
      <c r="AF25" s="2352">
        <v>963</v>
      </c>
      <c r="AG25" s="2352">
        <v>320.25</v>
      </c>
      <c r="AH25" s="2352">
        <v>36.75</v>
      </c>
    </row>
    <row r="26" spans="2:34" ht="12.75">
      <c r="B26" s="7"/>
      <c r="C26" s="8" t="b">
        <v>0</v>
      </c>
      <c r="D26" s="726" t="b">
        <v>1</v>
      </c>
      <c r="E26" s="724" t="b">
        <v>0</v>
      </c>
      <c r="F26" t="str">
        <f>IF(Texte!SprachIdx=1,G26,IF(Texte!SprachIdx=2,H26,IF(Texte!SprachIdx=3,I26,"")))</f>
        <v>Jungviehbilanz</v>
      </c>
      <c r="G26" t="s">
        <v>3188</v>
      </c>
      <c r="H26" t="s">
        <v>6742</v>
      </c>
      <c r="I26" t="s">
        <v>10834</v>
      </c>
      <c r="K26" t="s">
        <v>691</v>
      </c>
      <c r="L26" t="s">
        <v>5578</v>
      </c>
      <c r="M26" t="s">
        <v>8836</v>
      </c>
      <c r="N26" t="s">
        <v>4361</v>
      </c>
      <c r="O26" s="648"/>
      <c r="W26" t="s">
        <v>600</v>
      </c>
      <c r="X26" s="2386">
        <v>345.60000610351563</v>
      </c>
      <c r="Y26" s="674">
        <v>901.20001220703125</v>
      </c>
      <c r="Z26" s="2386">
        <v>298.5</v>
      </c>
      <c r="AA26" s="2386">
        <v>51.75</v>
      </c>
      <c r="AD26" t="s">
        <v>787</v>
      </c>
      <c r="AE26" s="2352">
        <v>372.75</v>
      </c>
      <c r="AF26" s="2352">
        <v>937.5</v>
      </c>
      <c r="AG26" s="2352">
        <v>320.25</v>
      </c>
      <c r="AH26" s="2352">
        <v>25.5</v>
      </c>
    </row>
    <row r="27" spans="2:34" ht="12.75">
      <c r="B27" s="7"/>
      <c r="C27" s="8" t="b">
        <v>0</v>
      </c>
      <c r="D27" s="726" t="b">
        <v>1</v>
      </c>
      <c r="E27" s="724" t="b">
        <v>0</v>
      </c>
      <c r="F27" t="str">
        <f>IF(Texte!SprachIdx=1,G27,IF(Texte!SprachIdx=2,H27,IF(Texte!SprachIdx=3,I27,"")))</f>
        <v>Milchbilanz</v>
      </c>
      <c r="G27" t="s">
        <v>2640</v>
      </c>
      <c r="H27" t="s">
        <v>6743</v>
      </c>
      <c r="I27" t="s">
        <v>8449</v>
      </c>
      <c r="K27" t="s">
        <v>692</v>
      </c>
      <c r="L27" t="s">
        <v>5579</v>
      </c>
      <c r="M27" t="s">
        <v>3004</v>
      </c>
      <c r="N27" t="s">
        <v>488</v>
      </c>
      <c r="O27" s="648"/>
      <c r="W27" t="s">
        <v>7269</v>
      </c>
      <c r="X27" s="2386">
        <v>346.35000610351563</v>
      </c>
      <c r="Y27" s="674">
        <v>857.70001220703125</v>
      </c>
      <c r="Z27" s="2386">
        <v>298.04998779296875</v>
      </c>
      <c r="AA27" s="2386">
        <v>49.5</v>
      </c>
      <c r="AD27" t="s">
        <v>5301</v>
      </c>
      <c r="AE27" s="2352">
        <v>155.25</v>
      </c>
      <c r="AF27" s="2352">
        <v>49.5</v>
      </c>
      <c r="AG27" s="2352">
        <v>10.5</v>
      </c>
      <c r="AH27" s="2352">
        <v>10.5</v>
      </c>
    </row>
    <row r="28" spans="2:34" ht="12.75">
      <c r="B28" s="7"/>
      <c r="C28" s="8" t="b">
        <v>0</v>
      </c>
      <c r="D28" s="726" t="b">
        <v>1</v>
      </c>
      <c r="E28" s="724" t="b">
        <v>0</v>
      </c>
      <c r="F28" t="str">
        <f>IF(Texte!SprachIdx=1,G28,IF(Texte!SprachIdx=2,H28,IF(Texte!SprachIdx=3,I28,"")))</f>
        <v>Grundfutter-TS-Bilanz</v>
      </c>
      <c r="G28" t="s">
        <v>2557</v>
      </c>
      <c r="H28" t="s">
        <v>2135</v>
      </c>
      <c r="I28" t="s">
        <v>8448</v>
      </c>
      <c r="K28" t="s">
        <v>693</v>
      </c>
      <c r="L28" t="s">
        <v>5580</v>
      </c>
      <c r="M28" t="s">
        <v>10811</v>
      </c>
      <c r="N28" t="s">
        <v>7530</v>
      </c>
      <c r="O28" s="648"/>
      <c r="W28" t="s">
        <v>12095</v>
      </c>
      <c r="X28" s="2386">
        <v>5.6999211311340332</v>
      </c>
      <c r="Y28" s="674">
        <v>826.199951171875</v>
      </c>
      <c r="Z28" s="2386">
        <v>198.42520141601563</v>
      </c>
      <c r="AA28" s="2386">
        <v>16.257244110107422</v>
      </c>
      <c r="AD28" t="s">
        <v>601</v>
      </c>
      <c r="AE28" s="2352">
        <v>151.5</v>
      </c>
      <c r="AF28" s="2352">
        <v>151.5</v>
      </c>
      <c r="AG28" s="2352">
        <v>24</v>
      </c>
      <c r="AH28" s="2352">
        <v>17.25</v>
      </c>
    </row>
    <row r="29" spans="2:34" ht="12.75">
      <c r="B29" s="7" t="str">
        <f>Hd!$N$1</f>
        <v>Hofdüngeranfall</v>
      </c>
      <c r="C29" s="8" t="b">
        <v>1</v>
      </c>
      <c r="D29" s="726" t="b">
        <v>1</v>
      </c>
      <c r="E29" s="724" t="b">
        <v>0</v>
      </c>
      <c r="F29" t="str">
        <f>IF(Texte!SprachIdx=1,G29,IF(Texte!SprachIdx=2,H29,IF(Texte!SprachIdx=3,I29,"")))</f>
        <v>Hofdüngeranfall</v>
      </c>
      <c r="G29" t="s">
        <v>1152</v>
      </c>
      <c r="H29" t="s">
        <v>264</v>
      </c>
      <c r="I29" t="s">
        <v>10835</v>
      </c>
      <c r="J29" t="str">
        <f>IF(Texte!SprachIdx=1,K29,IF(Texte!SprachIdx=2,L29,IF(Texte!SprachIdx=3,M29,"")))</f>
        <v>Hd</v>
      </c>
      <c r="K29" t="s">
        <v>5178</v>
      </c>
      <c r="L29" t="s">
        <v>5581</v>
      </c>
      <c r="M29" t="s">
        <v>10812</v>
      </c>
      <c r="N29" t="s">
        <v>3528</v>
      </c>
      <c r="O29" s="648"/>
      <c r="V29" t="s">
        <v>5122</v>
      </c>
      <c r="W29" t="s">
        <v>1006</v>
      </c>
      <c r="X29" s="2386">
        <v>598.20001220703125</v>
      </c>
      <c r="Y29" s="674">
        <v>403.20001220703125</v>
      </c>
      <c r="Z29" s="2386">
        <v>21.600000381469727</v>
      </c>
      <c r="AA29" s="2386">
        <v>18</v>
      </c>
      <c r="AD29" t="s">
        <v>602</v>
      </c>
      <c r="AE29" s="2352">
        <v>151.5</v>
      </c>
      <c r="AF29" s="2352">
        <v>166.5</v>
      </c>
      <c r="AG29" s="2352">
        <v>24</v>
      </c>
      <c r="AH29" s="2352">
        <v>17.25</v>
      </c>
    </row>
    <row r="30" spans="2:34" ht="12.75">
      <c r="B30" s="7" t="str">
        <f>HDA!Titel</f>
        <v>A. Angaben zum Hofdüngeranfall</v>
      </c>
      <c r="C30" s="8" t="b">
        <v>1</v>
      </c>
      <c r="D30" s="726" t="b">
        <v>0</v>
      </c>
      <c r="E30" s="724" t="b">
        <v>0</v>
      </c>
      <c r="F30" t="str">
        <f>IF(Texte!SprachIdx=1,G30,IF(Texte!SprachIdx=2,H30,IF(Texte!SprachIdx=3,I30,"")))</f>
        <v>A. Angaben zum Hofdüngeranfall</v>
      </c>
      <c r="G30" t="s">
        <v>4902</v>
      </c>
      <c r="H30" s="1006" t="s">
        <v>1383</v>
      </c>
      <c r="I30" t="s">
        <v>10836</v>
      </c>
      <c r="J30" t="str">
        <f>IF(Texte!SprachIdx=1,K30,IF(Texte!SprachIdx=2,L30,IF(Texte!SprachIdx=3,M30,"")))</f>
        <v>HDA</v>
      </c>
      <c r="K30" t="s">
        <v>4360</v>
      </c>
      <c r="L30" t="s">
        <v>489</v>
      </c>
      <c r="M30" t="s">
        <v>10813</v>
      </c>
      <c r="N30" t="s">
        <v>2504</v>
      </c>
      <c r="O30" s="648"/>
      <c r="W30" t="s">
        <v>952</v>
      </c>
      <c r="X30" s="2386">
        <v>569.4000244140625</v>
      </c>
      <c r="Y30" s="674">
        <v>403.20001220703125</v>
      </c>
      <c r="Z30" s="2386">
        <v>21</v>
      </c>
      <c r="AA30" s="2386">
        <v>18</v>
      </c>
      <c r="AD30" t="s">
        <v>781</v>
      </c>
      <c r="AE30" s="2352">
        <v>151.5</v>
      </c>
      <c r="AF30" s="2352">
        <v>196.5</v>
      </c>
      <c r="AG30" s="2352">
        <v>24</v>
      </c>
      <c r="AH30" s="2352">
        <v>17.25</v>
      </c>
    </row>
    <row r="31" spans="2:34" ht="12.75">
      <c r="B31" s="7" t="str">
        <f>HDB!Titel</f>
        <v>B. Abwasser / Verdünnungswasser in der Gülle</v>
      </c>
      <c r="C31" s="8" t="b">
        <v>1</v>
      </c>
      <c r="D31" s="726" t="b">
        <v>0</v>
      </c>
      <c r="E31" s="724" t="b">
        <v>0</v>
      </c>
      <c r="F31" t="str">
        <f>IF(Texte!SprachIdx=1,G31,IF(Texte!SprachIdx=2,H31,IF(Texte!SprachIdx=3,I31,"")))</f>
        <v>B. Abwasser / Verdünnungswasser in der Gülle</v>
      </c>
      <c r="G31" t="s">
        <v>5508</v>
      </c>
      <c r="H31" s="1006" t="s">
        <v>1392</v>
      </c>
      <c r="I31" t="s">
        <v>10837</v>
      </c>
      <c r="J31" t="str">
        <f>IF(Texte!SprachIdx=1,K31,IF(Texte!SprachIdx=2,L31,IF(Texte!SprachIdx=3,M31,"")))</f>
        <v>HDB</v>
      </c>
      <c r="K31" t="s">
        <v>4361</v>
      </c>
      <c r="L31" t="s">
        <v>490</v>
      </c>
      <c r="M31" t="s">
        <v>10814</v>
      </c>
      <c r="N31" t="s">
        <v>3530</v>
      </c>
      <c r="O31" s="648"/>
      <c r="AD31" t="s">
        <v>782</v>
      </c>
      <c r="AE31" s="2352">
        <v>151.5</v>
      </c>
      <c r="AF31" s="2352">
        <v>256.5</v>
      </c>
      <c r="AG31" s="2352">
        <v>24</v>
      </c>
      <c r="AH31" s="2352">
        <v>17.25</v>
      </c>
    </row>
    <row r="32" spans="2:34" ht="12.75">
      <c r="B32" s="7" t="str">
        <f>HDC!Titel</f>
        <v>C. Gülle-, Mist- und Nährstoffanfall</v>
      </c>
      <c r="C32" s="8" t="b">
        <v>1</v>
      </c>
      <c r="D32" s="726" t="b">
        <v>0</v>
      </c>
      <c r="E32" s="724" t="b">
        <v>0</v>
      </c>
      <c r="F32" t="str">
        <f>IF(Texte!SprachIdx=1,G32,IF(Texte!SprachIdx=2,H32,IF(Texte!SprachIdx=3,I32,"")))</f>
        <v>C. Gülle-, Mist- und Nährstoffanfall</v>
      </c>
      <c r="G32" t="s">
        <v>115</v>
      </c>
      <c r="H32" s="1006" t="s">
        <v>6838</v>
      </c>
      <c r="I32" t="s">
        <v>10838</v>
      </c>
      <c r="J32" t="str">
        <f>IF(Texte!SprachIdx=1,K32,IF(Texte!SprachIdx=2,L32,IF(Texte!SprachIdx=3,M32,"")))</f>
        <v>HDC</v>
      </c>
      <c r="K32" t="s">
        <v>488</v>
      </c>
      <c r="L32" t="s">
        <v>3662</v>
      </c>
      <c r="M32" t="s">
        <v>10964</v>
      </c>
      <c r="N32" t="s">
        <v>5907</v>
      </c>
      <c r="O32" s="648"/>
      <c r="W32" t="s">
        <v>5648</v>
      </c>
      <c r="X32" s="2386">
        <v>0.75</v>
      </c>
      <c r="Y32" s="674">
        <v>6.75</v>
      </c>
      <c r="Z32" s="2386">
        <v>106.5</v>
      </c>
      <c r="AA32" s="2386">
        <v>33.75</v>
      </c>
      <c r="AD32" t="s">
        <v>783</v>
      </c>
      <c r="AE32" s="2352">
        <v>151.5</v>
      </c>
      <c r="AF32" s="2352">
        <v>271.5</v>
      </c>
      <c r="AG32" s="2352">
        <v>24</v>
      </c>
      <c r="AH32" s="2352">
        <v>17.25</v>
      </c>
    </row>
    <row r="33" spans="2:34" ht="12.75">
      <c r="B33" s="7"/>
      <c r="C33" s="8" t="b">
        <v>0</v>
      </c>
      <c r="D33" s="726" t="b">
        <v>1</v>
      </c>
      <c r="E33" s="724" t="b">
        <v>0</v>
      </c>
      <c r="F33" t="str">
        <f>IF(Texte!SprachIdx=1,G33,IF(Texte!SprachIdx=2,H33,IF(Texte!SprachIdx=3,I33,"")))</f>
        <v>Arbeitskraftbilanz</v>
      </c>
      <c r="G33" t="s">
        <v>5976</v>
      </c>
      <c r="H33" t="s">
        <v>3379</v>
      </c>
      <c r="I33" t="s">
        <v>10839</v>
      </c>
      <c r="K33" t="s">
        <v>5179</v>
      </c>
      <c r="L33" t="s">
        <v>6518</v>
      </c>
      <c r="M33" t="s">
        <v>3005</v>
      </c>
      <c r="N33" t="s">
        <v>3536</v>
      </c>
      <c r="O33" s="648"/>
      <c r="AD33" t="s">
        <v>784</v>
      </c>
      <c r="AE33" s="2352">
        <v>151.5</v>
      </c>
      <c r="AF33" s="2352">
        <v>316.5</v>
      </c>
      <c r="AG33" s="2352">
        <v>24</v>
      </c>
      <c r="AH33" s="2352">
        <v>17.25</v>
      </c>
    </row>
    <row r="34" spans="2:34" ht="12.75">
      <c r="B34" s="7"/>
      <c r="C34" s="8" t="b">
        <v>0</v>
      </c>
      <c r="D34" s="726" t="b">
        <v>1</v>
      </c>
      <c r="E34" s="724" t="b">
        <v>0</v>
      </c>
      <c r="F34" t="str">
        <f>IF(Texte!SprachIdx=1,G34,IF(Texte!SprachIdx=2,H34,IF(Texte!SprachIdx=3,I34,"")))</f>
        <v>Mechanisierungsplan 1</v>
      </c>
      <c r="G34" t="s">
        <v>5410</v>
      </c>
      <c r="H34" t="s">
        <v>4767</v>
      </c>
      <c r="I34" t="s">
        <v>5597</v>
      </c>
      <c r="K34" t="s">
        <v>5180</v>
      </c>
      <c r="L34" t="s">
        <v>5599</v>
      </c>
      <c r="M34" t="s">
        <v>3006</v>
      </c>
      <c r="N34" t="s">
        <v>2998</v>
      </c>
      <c r="O34" s="648"/>
      <c r="AD34" t="s">
        <v>785</v>
      </c>
      <c r="AE34" s="2352">
        <v>151.5</v>
      </c>
      <c r="AF34" s="2352">
        <v>391.5</v>
      </c>
      <c r="AG34" s="2352">
        <v>24</v>
      </c>
      <c r="AH34" s="2352">
        <v>17.25</v>
      </c>
    </row>
    <row r="35" spans="2:34" ht="12.75">
      <c r="B35" s="7"/>
      <c r="C35" s="8" t="b">
        <v>0</v>
      </c>
      <c r="D35" s="726" t="b">
        <v>1</v>
      </c>
      <c r="E35" s="724" t="b">
        <v>0</v>
      </c>
      <c r="F35" t="str">
        <f>IF(Texte!SprachIdx=1,G35,IF(Texte!SprachIdx=2,H35,IF(Texte!SprachIdx=3,I35,"")))</f>
        <v>Mechanisierungsplan 2</v>
      </c>
      <c r="G35" t="s">
        <v>3402</v>
      </c>
      <c r="H35" t="s">
        <v>2512</v>
      </c>
      <c r="I35" t="s">
        <v>5598</v>
      </c>
      <c r="K35" t="s">
        <v>7322</v>
      </c>
      <c r="L35" t="s">
        <v>2985</v>
      </c>
      <c r="M35" t="s">
        <v>3007</v>
      </c>
      <c r="N35" t="s">
        <v>245</v>
      </c>
      <c r="O35" s="648"/>
      <c r="W35" t="s">
        <v>941</v>
      </c>
      <c r="X35" s="2386">
        <v>569.4000244140625</v>
      </c>
      <c r="Y35" s="674">
        <v>143.39999389648438</v>
      </c>
      <c r="Z35" s="2386">
        <v>21</v>
      </c>
      <c r="AA35" s="2386">
        <v>18</v>
      </c>
      <c r="AD35" t="s">
        <v>786</v>
      </c>
      <c r="AE35" s="2352">
        <v>151.5</v>
      </c>
      <c r="AF35" s="2352">
        <v>721.5</v>
      </c>
      <c r="AG35" s="2352">
        <v>24</v>
      </c>
      <c r="AH35" s="2352">
        <v>17.25</v>
      </c>
    </row>
    <row r="36" spans="2:34" ht="12.75">
      <c r="B36" s="7"/>
      <c r="C36" s="8" t="b">
        <v>0</v>
      </c>
      <c r="D36" s="726" t="b">
        <v>1</v>
      </c>
      <c r="E36" s="724" t="b">
        <v>0</v>
      </c>
      <c r="F36" t="str">
        <f>IF(Texte!SprachIdx=1,G36,IF(Texte!SprachIdx=2,H36,IF(Texte!SprachIdx=3,I36,"")))</f>
        <v>Raumprogramm 1</v>
      </c>
      <c r="G36" t="s">
        <v>4610</v>
      </c>
      <c r="H36" t="s">
        <v>2460</v>
      </c>
      <c r="I36" t="s">
        <v>10840</v>
      </c>
      <c r="K36" t="s">
        <v>7323</v>
      </c>
      <c r="L36" t="s">
        <v>2986</v>
      </c>
      <c r="M36" t="s">
        <v>10815</v>
      </c>
      <c r="N36" t="s">
        <v>2165</v>
      </c>
      <c r="O36" s="648"/>
      <c r="W36" t="s">
        <v>942</v>
      </c>
      <c r="X36" s="2386">
        <v>569.4000244140625</v>
      </c>
      <c r="Y36" s="674">
        <v>160.19999694824219</v>
      </c>
      <c r="Z36" s="2386">
        <v>21</v>
      </c>
      <c r="AA36" s="2386">
        <v>18</v>
      </c>
      <c r="AD36" t="s">
        <v>787</v>
      </c>
      <c r="AE36" s="2352">
        <v>372</v>
      </c>
      <c r="AF36" s="2352">
        <v>1003.5</v>
      </c>
      <c r="AG36" s="2352">
        <v>320.25</v>
      </c>
      <c r="AH36" s="2352">
        <v>25.5</v>
      </c>
    </row>
    <row r="37" spans="2:34" ht="12.75">
      <c r="B37" s="7"/>
      <c r="C37" s="8" t="b">
        <v>0</v>
      </c>
      <c r="D37" s="726" t="b">
        <v>1</v>
      </c>
      <c r="E37" s="724" t="b">
        <v>0</v>
      </c>
      <c r="F37" t="str">
        <f>IF(Texte!SprachIdx=1,G37,IF(Texte!SprachIdx=2,H37,IF(Texte!SprachIdx=3,I37,"")))</f>
        <v>Raumprogramm 2</v>
      </c>
      <c r="G37" t="s">
        <v>7142</v>
      </c>
      <c r="H37" t="s">
        <v>6667</v>
      </c>
      <c r="I37" t="s">
        <v>10841</v>
      </c>
      <c r="K37" t="s">
        <v>7324</v>
      </c>
      <c r="L37" t="s">
        <v>2987</v>
      </c>
      <c r="M37" t="s">
        <v>10816</v>
      </c>
      <c r="N37" t="s">
        <v>3535</v>
      </c>
      <c r="O37" s="648"/>
      <c r="W37" t="s">
        <v>943</v>
      </c>
      <c r="X37" s="2386">
        <v>569.4000244140625</v>
      </c>
      <c r="Y37" s="674">
        <v>192.60000610351563</v>
      </c>
      <c r="Z37" s="2386">
        <v>21</v>
      </c>
      <c r="AA37" s="2386">
        <v>18</v>
      </c>
      <c r="AC37" t="s">
        <v>5122</v>
      </c>
      <c r="AE37" s="2352">
        <v>0</v>
      </c>
      <c r="AF37" s="2352">
        <v>0</v>
      </c>
      <c r="AG37" s="2352">
        <v>0</v>
      </c>
      <c r="AH37" s="2352">
        <v>0</v>
      </c>
    </row>
    <row r="38" spans="2:34" ht="12.75">
      <c r="B38" s="7"/>
      <c r="C38" s="8" t="b">
        <v>0</v>
      </c>
      <c r="D38" s="726" t="b">
        <v>1</v>
      </c>
      <c r="E38" s="724" t="b">
        <v>0</v>
      </c>
      <c r="F38" t="str">
        <f>IF(Texte!SprachIdx=1,G38,IF(Texte!SprachIdx=2,H38,IF(Texte!SprachIdx=3,I38,"")))</f>
        <v>Deckungsbeiträge</v>
      </c>
      <c r="G38" t="s">
        <v>5784</v>
      </c>
      <c r="H38" t="s">
        <v>6668</v>
      </c>
      <c r="I38" t="s">
        <v>4200</v>
      </c>
      <c r="K38" t="s">
        <v>2162</v>
      </c>
      <c r="L38" t="s">
        <v>2988</v>
      </c>
      <c r="M38" t="s">
        <v>3008</v>
      </c>
      <c r="N38" t="s">
        <v>2958</v>
      </c>
      <c r="O38" s="648"/>
      <c r="W38" t="s">
        <v>944</v>
      </c>
      <c r="X38" s="2386">
        <v>569.4000244140625</v>
      </c>
      <c r="Y38" s="674">
        <v>225</v>
      </c>
      <c r="Z38" s="2386">
        <v>21</v>
      </c>
      <c r="AA38" s="2386">
        <v>18</v>
      </c>
      <c r="AE38" s="2352">
        <v>0</v>
      </c>
      <c r="AF38" s="2352">
        <v>0</v>
      </c>
      <c r="AG38" s="2352">
        <v>0</v>
      </c>
      <c r="AH38" s="2352">
        <v>0</v>
      </c>
    </row>
    <row r="39" spans="2:34" ht="12.75">
      <c r="B39" s="7"/>
      <c r="C39" s="8" t="b">
        <v>0</v>
      </c>
      <c r="D39" s="726" t="b">
        <v>1</v>
      </c>
      <c r="E39" s="724" t="b">
        <v>0</v>
      </c>
      <c r="F39" t="str">
        <f>IF(Texte!SprachIdx=1,G39,IF(Texte!SprachIdx=2,H39,IF(Texte!SprachIdx=3,I39,"")))</f>
        <v>DB Milch und Aufzucht</v>
      </c>
      <c r="G39" t="s">
        <v>4872</v>
      </c>
      <c r="H39" t="s">
        <v>6669</v>
      </c>
      <c r="I39" t="s">
        <v>10842</v>
      </c>
      <c r="K39" t="s">
        <v>2163</v>
      </c>
      <c r="L39" t="s">
        <v>2284</v>
      </c>
      <c r="M39" t="s">
        <v>10817</v>
      </c>
      <c r="N39" t="s">
        <v>2959</v>
      </c>
      <c r="O39" s="648"/>
      <c r="W39" t="s">
        <v>945</v>
      </c>
      <c r="X39" s="2386">
        <v>569.4000244140625</v>
      </c>
      <c r="Y39" s="674">
        <v>241.19999694824219</v>
      </c>
      <c r="Z39" s="2386">
        <v>21</v>
      </c>
      <c r="AA39" s="2386">
        <v>18</v>
      </c>
      <c r="AD39" t="s">
        <v>5648</v>
      </c>
      <c r="AE39" s="2352">
        <v>23.25</v>
      </c>
      <c r="AF39" s="2352">
        <v>6.75</v>
      </c>
      <c r="AG39" s="2352">
        <v>112.5</v>
      </c>
      <c r="AH39" s="2352">
        <v>33.75</v>
      </c>
    </row>
    <row r="40" spans="2:34" ht="12.75">
      <c r="B40" s="1896"/>
      <c r="C40" s="8" t="b">
        <v>0</v>
      </c>
      <c r="D40" s="726" t="b">
        <v>1</v>
      </c>
      <c r="E40" s="724" t="b">
        <v>0</v>
      </c>
      <c r="F40" t="str">
        <f>IF(Texte!SprachIdx=1,G40,IF(Texte!SprachIdx=2,H40,IF(Texte!SprachIdx=3,I40,"")))</f>
        <v>DB Mutterkühe</v>
      </c>
      <c r="G40" t="s">
        <v>3797</v>
      </c>
      <c r="H40" t="s">
        <v>6536</v>
      </c>
      <c r="I40" t="s">
        <v>10843</v>
      </c>
      <c r="K40" t="s">
        <v>3798</v>
      </c>
      <c r="L40" t="s">
        <v>2285</v>
      </c>
      <c r="M40" t="s">
        <v>3009</v>
      </c>
      <c r="N40" t="s">
        <v>2960</v>
      </c>
      <c r="O40" s="648"/>
      <c r="W40" t="s">
        <v>946</v>
      </c>
      <c r="X40" s="2386">
        <v>569.4000244140625</v>
      </c>
      <c r="Y40" s="674">
        <v>257.39999389648438</v>
      </c>
      <c r="Z40" s="2386">
        <v>21</v>
      </c>
      <c r="AA40" s="2386">
        <v>18</v>
      </c>
      <c r="AE40" s="2352">
        <v>0</v>
      </c>
      <c r="AF40" s="2352">
        <v>0</v>
      </c>
      <c r="AG40" s="2352">
        <v>0</v>
      </c>
      <c r="AH40" s="2352">
        <v>0</v>
      </c>
    </row>
    <row r="41" spans="2:34" ht="12.75">
      <c r="B41" s="7"/>
      <c r="C41" s="8" t="b">
        <v>0</v>
      </c>
      <c r="D41" s="726" t="b">
        <v>1</v>
      </c>
      <c r="E41" s="724" t="b">
        <v>0</v>
      </c>
      <c r="F41" t="str">
        <f>IF(Texte!SprachIdx=1,G41,IF(Texte!SprachIdx=2,H41,IF(Texte!SprachIdx=3,I41,"")))</f>
        <v>Grundfutterkosten</v>
      </c>
      <c r="G41" t="s">
        <v>5067</v>
      </c>
      <c r="H41" t="s">
        <v>7555</v>
      </c>
      <c r="I41" t="s">
        <v>4201</v>
      </c>
      <c r="K41" t="s">
        <v>2164</v>
      </c>
      <c r="L41" t="s">
        <v>2989</v>
      </c>
      <c r="M41" t="s">
        <v>10818</v>
      </c>
      <c r="N41" t="s">
        <v>2961</v>
      </c>
      <c r="O41" s="648"/>
      <c r="W41" t="s">
        <v>947</v>
      </c>
      <c r="X41" s="2386">
        <v>569.4000244140625</v>
      </c>
      <c r="Y41" s="674">
        <v>273.60000610351563</v>
      </c>
      <c r="Z41" s="2386">
        <v>21</v>
      </c>
      <c r="AA41" s="2386">
        <v>18</v>
      </c>
      <c r="AE41" s="2352">
        <v>0</v>
      </c>
      <c r="AF41" s="2352">
        <v>0</v>
      </c>
      <c r="AG41" s="2352">
        <v>0</v>
      </c>
      <c r="AH41" s="2352">
        <v>0</v>
      </c>
    </row>
    <row r="42" spans="2:34" ht="12.75">
      <c r="B42" s="7" t="str">
        <f>KLB!O1</f>
        <v>Kulturlandschaft</v>
      </c>
      <c r="C42" s="8" t="b">
        <v>1</v>
      </c>
      <c r="D42" s="726" t="b">
        <v>1</v>
      </c>
      <c r="E42" s="724" t="b">
        <v>1</v>
      </c>
      <c r="F42" t="str">
        <f>IF(Texte!SprachIdx=1,G42,IF(Texte!SprachIdx=2,H42,IF(Texte!SprachIdx=3,I42,"")))</f>
        <v>Kulturlandschaft</v>
      </c>
      <c r="G42" t="s">
        <v>246</v>
      </c>
      <c r="H42" t="s">
        <v>5078</v>
      </c>
      <c r="I42" t="s">
        <v>10844</v>
      </c>
      <c r="J42" t="str">
        <f>IF(Texte!SprachIdx=1,K42,IF(Texte!SprachIdx=2,L42,IF(Texte!SprachIdx=3,M42,"")))</f>
        <v>KLB</v>
      </c>
      <c r="K42" t="s">
        <v>7530</v>
      </c>
      <c r="L42" t="s">
        <v>7531</v>
      </c>
      <c r="M42" t="s">
        <v>7531</v>
      </c>
      <c r="N42" t="s">
        <v>2962</v>
      </c>
      <c r="O42" s="648"/>
      <c r="W42" t="s">
        <v>7852</v>
      </c>
      <c r="X42" s="2386">
        <v>569.4000244140625</v>
      </c>
      <c r="Y42" s="674">
        <v>289.79998779296875</v>
      </c>
      <c r="Z42" s="2386">
        <v>21</v>
      </c>
      <c r="AA42" s="2386">
        <v>18</v>
      </c>
      <c r="AD42" t="s">
        <v>941</v>
      </c>
      <c r="AE42" s="2352">
        <v>654</v>
      </c>
      <c r="AF42" s="2352">
        <v>143.25</v>
      </c>
      <c r="AG42" s="2352">
        <v>24</v>
      </c>
      <c r="AH42" s="2352">
        <v>17.25</v>
      </c>
    </row>
    <row r="43" spans="2:34" ht="12.75">
      <c r="B43" s="7" t="str">
        <f>VSB!Q1</f>
        <v>Versorgungssicherheit</v>
      </c>
      <c r="C43" s="8" t="b">
        <v>1</v>
      </c>
      <c r="D43" s="726" t="b">
        <v>1</v>
      </c>
      <c r="E43" s="724" t="b">
        <v>1</v>
      </c>
      <c r="F43" t="str">
        <f>IF(Texte!SprachIdx=1,G43,IF(Texte!SprachIdx=2,H43,IF(Texte!SprachIdx=3,I43,"")))</f>
        <v>Versorgungssicherheit</v>
      </c>
      <c r="G43" t="s">
        <v>247</v>
      </c>
      <c r="H43" t="s">
        <v>5079</v>
      </c>
      <c r="I43" t="s">
        <v>4202</v>
      </c>
      <c r="J43" t="str">
        <f>IF(Texte!SprachIdx=1,K43,IF(Texte!SprachIdx=2,L43,IF(Texte!SprachIdx=3,M43,"")))</f>
        <v>VSB</v>
      </c>
      <c r="K43" t="s">
        <v>3528</v>
      </c>
      <c r="L43" t="s">
        <v>3529</v>
      </c>
      <c r="M43" t="s">
        <v>3529</v>
      </c>
      <c r="N43" t="s">
        <v>2963</v>
      </c>
      <c r="O43" s="648"/>
      <c r="W43" t="s">
        <v>949</v>
      </c>
      <c r="X43" s="2386">
        <v>569.4000244140625</v>
      </c>
      <c r="Y43" s="674">
        <v>370.79998779296875</v>
      </c>
      <c r="Z43" s="2386">
        <v>21</v>
      </c>
      <c r="AA43" s="2386">
        <v>18</v>
      </c>
      <c r="AD43" t="s">
        <v>942</v>
      </c>
      <c r="AE43" s="2352">
        <v>654</v>
      </c>
      <c r="AF43" s="2352">
        <v>159.75</v>
      </c>
      <c r="AG43" s="2352">
        <v>24</v>
      </c>
      <c r="AH43" s="2352">
        <v>17.25</v>
      </c>
    </row>
    <row r="44" spans="2:34" ht="12.75">
      <c r="B44" s="7" t="str">
        <f>BDB!V1</f>
        <v>Biodiversität</v>
      </c>
      <c r="C44" s="8" t="b">
        <v>1</v>
      </c>
      <c r="D44" s="726" t="b">
        <v>1</v>
      </c>
      <c r="E44" s="724" t="b">
        <v>1</v>
      </c>
      <c r="F44" t="str">
        <f>IF(Texte!SprachIdx=1,G44,IF(Texte!SprachIdx=2,H44,IF(Texte!SprachIdx=3,I44,"")))</f>
        <v>Biodiversität</v>
      </c>
      <c r="G44" t="s">
        <v>248</v>
      </c>
      <c r="H44" t="s">
        <v>6947</v>
      </c>
      <c r="I44" t="s">
        <v>4203</v>
      </c>
      <c r="J44" t="str">
        <f>IF(Texte!SprachIdx=1,K44,IF(Texte!SprachIdx=2,L44,IF(Texte!SprachIdx=3,M44,"")))</f>
        <v>BDB</v>
      </c>
      <c r="K44" t="s">
        <v>2504</v>
      </c>
      <c r="L44" t="s">
        <v>2505</v>
      </c>
      <c r="M44" t="s">
        <v>2505</v>
      </c>
      <c r="N44" t="s">
        <v>2964</v>
      </c>
      <c r="O44" s="648"/>
      <c r="W44" t="s">
        <v>950</v>
      </c>
      <c r="X44" s="2386">
        <v>569.4000244140625</v>
      </c>
      <c r="Y44" s="674">
        <v>372</v>
      </c>
      <c r="Z44" s="2386">
        <v>21</v>
      </c>
      <c r="AA44" s="2386">
        <v>18</v>
      </c>
      <c r="AD44" t="s">
        <v>943</v>
      </c>
      <c r="AE44" s="2352">
        <v>654</v>
      </c>
      <c r="AF44" s="2352">
        <v>191.25</v>
      </c>
      <c r="AG44" s="2352">
        <v>24</v>
      </c>
      <c r="AH44" s="2352">
        <v>17.25</v>
      </c>
    </row>
    <row r="45" spans="2:34" ht="12.75">
      <c r="B45" s="7" t="str">
        <f>LQB!R1</f>
        <v>Landschaftsqualität</v>
      </c>
      <c r="C45" s="8" t="b">
        <v>1</v>
      </c>
      <c r="D45" s="726" t="b">
        <v>1</v>
      </c>
      <c r="E45" s="724" t="b">
        <v>1</v>
      </c>
      <c r="F45" t="str">
        <f>IF(Texte!SprachIdx=1,G45,IF(Texte!SprachIdx=2,H45,IF(Texte!SprachIdx=3,I45,"")))</f>
        <v>Landschaftsqualität</v>
      </c>
      <c r="G45" t="s">
        <v>5077</v>
      </c>
      <c r="H45" t="s">
        <v>6948</v>
      </c>
      <c r="I45" t="s">
        <v>4204</v>
      </c>
      <c r="J45" t="str">
        <f>IF(Texte!SprachIdx=1,K45,IF(Texte!SprachIdx=2,L45,IF(Texte!SprachIdx=3,M45,"")))</f>
        <v>LQB</v>
      </c>
      <c r="K45" t="s">
        <v>3530</v>
      </c>
      <c r="L45" t="s">
        <v>3531</v>
      </c>
      <c r="M45" t="s">
        <v>3531</v>
      </c>
      <c r="N45" t="s">
        <v>3664</v>
      </c>
      <c r="O45" s="648"/>
      <c r="W45" t="s">
        <v>953</v>
      </c>
      <c r="X45" s="2386">
        <v>569.4000244140625</v>
      </c>
      <c r="Y45" s="674">
        <v>420.60000610351563</v>
      </c>
      <c r="Z45" s="2386">
        <v>21</v>
      </c>
      <c r="AA45" s="2386">
        <v>18</v>
      </c>
      <c r="AD45" t="s">
        <v>944</v>
      </c>
      <c r="AE45" s="2352">
        <v>654</v>
      </c>
      <c r="AF45" s="2352">
        <v>222.75</v>
      </c>
      <c r="AG45" s="2352">
        <v>24</v>
      </c>
      <c r="AH45" s="2352">
        <v>17.25</v>
      </c>
    </row>
    <row r="46" spans="2:34" ht="12.75">
      <c r="B46" s="7" t="str">
        <f>GMF!S1</f>
        <v>Futterbilanz für graslandbasierte Milch- u. Fleischproduktion</v>
      </c>
      <c r="C46" s="8" t="b">
        <v>1</v>
      </c>
      <c r="D46" s="726" t="b">
        <v>1</v>
      </c>
      <c r="E46" s="724" t="b">
        <v>1</v>
      </c>
      <c r="F46" t="str">
        <f>IF(Texte!SprachIdx=1,G46,IF(Texte!SprachIdx=2,H46,IF(Texte!SprachIdx=3,I46,"")))</f>
        <v>Futterbilanz für graslandbasierte Milch- u. Fleischproduktion</v>
      </c>
      <c r="G46" t="s">
        <v>3178</v>
      </c>
      <c r="H46" t="s">
        <v>3179</v>
      </c>
      <c r="I46" t="s">
        <v>10845</v>
      </c>
      <c r="J46" t="str">
        <f>IF(Texte!SprachIdx=1,K46,IF(Texte!SprachIdx=2,L46,IF(Texte!SprachIdx=3,M46,"")))</f>
        <v>GMF</v>
      </c>
      <c r="K46" t="s">
        <v>5907</v>
      </c>
      <c r="L46" t="s">
        <v>236</v>
      </c>
      <c r="M46" t="s">
        <v>249</v>
      </c>
      <c r="N46" t="s">
        <v>3665</v>
      </c>
      <c r="O46" s="648"/>
      <c r="W46" t="s">
        <v>954</v>
      </c>
      <c r="X46" s="2386">
        <v>569.4000244140625</v>
      </c>
      <c r="Y46" s="674">
        <v>468</v>
      </c>
      <c r="Z46" s="2386">
        <v>21</v>
      </c>
      <c r="AA46" s="2386">
        <v>18</v>
      </c>
      <c r="AD46" t="s">
        <v>945</v>
      </c>
      <c r="AE46" s="2352">
        <v>654</v>
      </c>
      <c r="AF46" s="2352">
        <v>238.5</v>
      </c>
      <c r="AG46" s="2352">
        <v>24</v>
      </c>
      <c r="AH46" s="2352">
        <v>17.25</v>
      </c>
    </row>
    <row r="47" spans="2:34" ht="12.75">
      <c r="B47" s="7" t="str">
        <f>PSB!S1</f>
        <v>Produktionssysteme</v>
      </c>
      <c r="C47" s="8" t="b">
        <v>1</v>
      </c>
      <c r="D47" s="726" t="b">
        <v>1</v>
      </c>
      <c r="E47" s="724" t="b">
        <v>1</v>
      </c>
      <c r="F47" t="str">
        <f>IF(Texte!SprachIdx=1,G47,IF(Texte!SprachIdx=2,H47,IF(Texte!SprachIdx=3,I47,"")))</f>
        <v>Produktionssysteme</v>
      </c>
      <c r="G47" t="s">
        <v>6933</v>
      </c>
      <c r="H47" t="s">
        <v>7233</v>
      </c>
      <c r="I47" t="s">
        <v>4209</v>
      </c>
      <c r="J47" t="str">
        <f>IF(Texte!SprachIdx=1,K47,IF(Texte!SprachIdx=2,L47,IF(Texte!SprachIdx=3,M47,"")))</f>
        <v>PSB</v>
      </c>
      <c r="K47" t="s">
        <v>3536</v>
      </c>
      <c r="L47" t="s">
        <v>3532</v>
      </c>
      <c r="M47" t="s">
        <v>3532</v>
      </c>
      <c r="N47" t="s">
        <v>1503</v>
      </c>
      <c r="O47" s="648"/>
      <c r="W47" t="s">
        <v>955</v>
      </c>
      <c r="X47" s="2386">
        <v>569.4000244140625</v>
      </c>
      <c r="Y47" s="674">
        <v>484.20001220703125</v>
      </c>
      <c r="Z47" s="2386">
        <v>21</v>
      </c>
      <c r="AA47" s="2386">
        <v>18</v>
      </c>
      <c r="AD47" t="s">
        <v>946</v>
      </c>
      <c r="AE47" s="2352">
        <v>654</v>
      </c>
      <c r="AF47" s="2352">
        <v>254.25</v>
      </c>
      <c r="AG47" s="2352">
        <v>24</v>
      </c>
      <c r="AH47" s="2352">
        <v>17.25</v>
      </c>
    </row>
    <row r="48" spans="2:34" ht="12.75">
      <c r="B48" s="7" t="str">
        <f>REB!Q1</f>
        <v>Ressourceneffizienz</v>
      </c>
      <c r="C48" s="8" t="b">
        <v>1</v>
      </c>
      <c r="D48" s="726" t="b">
        <v>1</v>
      </c>
      <c r="E48" s="724" t="b">
        <v>1</v>
      </c>
      <c r="F48" t="str">
        <f>IF(Texte!SprachIdx=1,G48,IF(Texte!SprachIdx=2,H48,IF(Texte!SprachIdx=3,I48,"")))</f>
        <v>Ressourceneffizienz</v>
      </c>
      <c r="G48" t="s">
        <v>4495</v>
      </c>
      <c r="H48" t="s">
        <v>7234</v>
      </c>
      <c r="I48" t="s">
        <v>4210</v>
      </c>
      <c r="J48" t="str">
        <f>IF(Texte!SprachIdx=1,K48,IF(Texte!SprachIdx=2,L48,IF(Texte!SprachIdx=3,M48,"")))</f>
        <v>REB</v>
      </c>
      <c r="K48" t="s">
        <v>2998</v>
      </c>
      <c r="L48" t="s">
        <v>3533</v>
      </c>
      <c r="M48" t="s">
        <v>3533</v>
      </c>
      <c r="N48" t="s">
        <v>1521</v>
      </c>
      <c r="O48" s="648"/>
      <c r="W48" t="s">
        <v>956</v>
      </c>
      <c r="X48" s="2386">
        <v>569.4000244140625</v>
      </c>
      <c r="Y48" s="674">
        <v>500.39999389648438</v>
      </c>
      <c r="Z48" s="2386">
        <v>21</v>
      </c>
      <c r="AA48" s="2386">
        <v>18</v>
      </c>
      <c r="AD48" t="s">
        <v>947</v>
      </c>
      <c r="AE48" s="2352">
        <v>654</v>
      </c>
      <c r="AF48" s="2352">
        <v>270</v>
      </c>
      <c r="AG48" s="2352">
        <v>24</v>
      </c>
      <c r="AH48" s="2352">
        <v>17.25</v>
      </c>
    </row>
    <row r="49" spans="2:34" ht="12.75">
      <c r="B49" s="7" t="str">
        <f>ÜGB!O1</f>
        <v>Übergang</v>
      </c>
      <c r="C49" s="8" t="b">
        <v>1</v>
      </c>
      <c r="D49" s="726" t="b">
        <v>1</v>
      </c>
      <c r="E49" s="724" t="b">
        <v>1</v>
      </c>
      <c r="F49" t="str">
        <f>IF(Texte!SprachIdx=1,G49,IF(Texte!SprachIdx=2,H49,IF(Texte!SprachIdx=3,I49,"")))</f>
        <v>Übergang</v>
      </c>
      <c r="G49" t="s">
        <v>4494</v>
      </c>
      <c r="H49" t="s">
        <v>7235</v>
      </c>
      <c r="I49" t="s">
        <v>10846</v>
      </c>
      <c r="J49" t="str">
        <f>IF(Texte!SprachIdx=1,K49,IF(Texte!SprachIdx=2,L49,IF(Texte!SprachIdx=3,M49,"")))</f>
        <v>ÜGB</v>
      </c>
      <c r="K49" t="s">
        <v>245</v>
      </c>
      <c r="L49" t="s">
        <v>3534</v>
      </c>
      <c r="M49" t="s">
        <v>3534</v>
      </c>
      <c r="O49" s="648"/>
      <c r="W49" t="s">
        <v>957</v>
      </c>
      <c r="X49" s="2386">
        <v>569.4000244140625</v>
      </c>
      <c r="Y49" s="674">
        <v>516.5999755859375</v>
      </c>
      <c r="Z49" s="2386">
        <v>21</v>
      </c>
      <c r="AA49" s="2386">
        <v>18</v>
      </c>
      <c r="AD49" t="s">
        <v>7852</v>
      </c>
      <c r="AE49" s="2352">
        <v>654</v>
      </c>
      <c r="AF49" s="2352">
        <v>285.75</v>
      </c>
      <c r="AG49" s="2352">
        <v>24</v>
      </c>
      <c r="AH49" s="2352">
        <v>17.25</v>
      </c>
    </row>
    <row r="50" spans="2:34" ht="12.75">
      <c r="B50" s="7" t="str">
        <f>SAK!O1</f>
        <v>SAK</v>
      </c>
      <c r="C50" s="8" t="b">
        <v>1</v>
      </c>
      <c r="D50" s="726" t="b">
        <v>1</v>
      </c>
      <c r="E50" s="724" t="b">
        <v>1</v>
      </c>
      <c r="F50" t="str">
        <f>IF(Texte!SprachIdx=1,G50,IF(Texte!SprachIdx=2,H50,IF(Texte!SprachIdx=3,I50,"")))</f>
        <v>SAK</v>
      </c>
      <c r="G50" t="s">
        <v>2165</v>
      </c>
      <c r="H50" t="s">
        <v>4850</v>
      </c>
      <c r="I50" t="s">
        <v>4245</v>
      </c>
      <c r="J50" t="str">
        <f>IF(Texte!SprachIdx=1,K50,IF(Texte!SprachIdx=2,L50,IF(Texte!SprachIdx=3,M50,"")))</f>
        <v>SAK</v>
      </c>
      <c r="K50" t="s">
        <v>2165</v>
      </c>
      <c r="L50" t="s">
        <v>4850</v>
      </c>
      <c r="M50" t="s">
        <v>4245</v>
      </c>
      <c r="O50" s="648"/>
      <c r="W50" t="s">
        <v>958</v>
      </c>
      <c r="X50" s="2386">
        <v>569.4000244140625</v>
      </c>
      <c r="Y50" s="674">
        <v>532.79998779296875</v>
      </c>
      <c r="Z50" s="2386">
        <v>21</v>
      </c>
      <c r="AA50" s="2386">
        <v>18</v>
      </c>
      <c r="AD50" t="s">
        <v>949</v>
      </c>
      <c r="AE50" s="2352">
        <v>654</v>
      </c>
      <c r="AF50" s="2352">
        <v>411.75</v>
      </c>
      <c r="AG50" s="2352">
        <v>24</v>
      </c>
      <c r="AH50" s="2352">
        <v>17.25</v>
      </c>
    </row>
    <row r="51" spans="2:34" ht="12.75">
      <c r="B51" s="7" t="str">
        <f>RED!O1</f>
        <v>Grenzen</v>
      </c>
      <c r="C51" s="8" t="b">
        <v>1</v>
      </c>
      <c r="D51" s="726" t="b">
        <v>1</v>
      </c>
      <c r="E51" s="724" t="b">
        <v>1</v>
      </c>
      <c r="F51" t="str">
        <f>IF(Texte!SprachIdx=1,G51,IF(Texte!SprachIdx=2,H51,IF(Texte!SprachIdx=3,I51,"")))</f>
        <v>Grenzen</v>
      </c>
      <c r="G51" t="s">
        <v>7237</v>
      </c>
      <c r="H51" t="s">
        <v>7236</v>
      </c>
      <c r="I51" t="s">
        <v>4246</v>
      </c>
      <c r="J51" t="str">
        <f>IF(Texte!SprachIdx=1,K51,IF(Texte!SprachIdx=2,L51,IF(Texte!SprachIdx=3,M51,"")))</f>
        <v>RED</v>
      </c>
      <c r="K51" t="s">
        <v>3535</v>
      </c>
      <c r="L51" t="s">
        <v>3535</v>
      </c>
      <c r="M51" t="s">
        <v>3010</v>
      </c>
      <c r="O51" s="648"/>
      <c r="W51" t="s">
        <v>960</v>
      </c>
      <c r="X51" s="2386">
        <v>569.4000244140625</v>
      </c>
      <c r="Y51" s="674">
        <v>581.4000244140625</v>
      </c>
      <c r="Z51" s="2386">
        <v>21</v>
      </c>
      <c r="AA51" s="2386">
        <v>18</v>
      </c>
      <c r="AD51" t="s">
        <v>950</v>
      </c>
      <c r="AE51" s="2352">
        <v>654</v>
      </c>
      <c r="AF51" s="2352">
        <v>428.25</v>
      </c>
      <c r="AG51" s="2352">
        <v>24</v>
      </c>
      <c r="AH51" s="2352">
        <v>17.25</v>
      </c>
    </row>
    <row r="52" spans="2:34" ht="12.75">
      <c r="B52" s="7"/>
      <c r="C52" s="8" t="b">
        <v>0</v>
      </c>
      <c r="D52" s="726" t="b">
        <v>1</v>
      </c>
      <c r="E52" s="724" t="b">
        <v>0</v>
      </c>
      <c r="F52" t="str">
        <f>IF(Texte!SprachIdx=1,G52,IF(Texte!SprachIdx=2,H52,IF(Texte!SprachIdx=3,I52,"")))</f>
        <v>Strukturkosten A</v>
      </c>
      <c r="G52" t="s">
        <v>4925</v>
      </c>
      <c r="H52" t="s">
        <v>5070</v>
      </c>
      <c r="I52" t="s">
        <v>9909</v>
      </c>
      <c r="K52" t="s">
        <v>2166</v>
      </c>
      <c r="L52" t="s">
        <v>4851</v>
      </c>
      <c r="M52" t="s">
        <v>10819</v>
      </c>
      <c r="O52" s="648"/>
      <c r="W52" t="s">
        <v>961</v>
      </c>
      <c r="X52" s="2386">
        <v>568.79998779296875</v>
      </c>
      <c r="Y52" s="674">
        <v>647.4000244140625</v>
      </c>
      <c r="Z52" s="2386">
        <v>21.600000381469727</v>
      </c>
      <c r="AA52" s="2386">
        <v>18</v>
      </c>
      <c r="AD52" t="s">
        <v>951</v>
      </c>
      <c r="AE52" s="2352">
        <v>654</v>
      </c>
      <c r="AF52" s="2352">
        <v>443.25</v>
      </c>
      <c r="AG52" s="2352">
        <v>24</v>
      </c>
      <c r="AH52" s="2352">
        <v>17.25</v>
      </c>
    </row>
    <row r="53" spans="2:34" ht="12.75">
      <c r="B53" s="7"/>
      <c r="C53" s="8" t="b">
        <v>0</v>
      </c>
      <c r="D53" s="726" t="b">
        <v>1</v>
      </c>
      <c r="E53" s="724" t="b">
        <v>0</v>
      </c>
      <c r="F53" t="str">
        <f>IF(Texte!SprachIdx=1,G53,IF(Texte!SprachIdx=2,H53,IF(Texte!SprachIdx=3,I53,"")))</f>
        <v>Strukturkosten B</v>
      </c>
      <c r="G53" t="s">
        <v>5908</v>
      </c>
      <c r="H53" t="s">
        <v>296</v>
      </c>
      <c r="I53" t="s">
        <v>10847</v>
      </c>
      <c r="K53" t="s">
        <v>2167</v>
      </c>
      <c r="L53" t="s">
        <v>4852</v>
      </c>
      <c r="M53" t="s">
        <v>10820</v>
      </c>
      <c r="O53" s="648"/>
      <c r="W53" t="s">
        <v>962</v>
      </c>
      <c r="X53" s="2386">
        <v>569.4000244140625</v>
      </c>
      <c r="Y53" s="674">
        <v>744.5999755859375</v>
      </c>
      <c r="Z53" s="2386">
        <v>21</v>
      </c>
      <c r="AA53" s="2386">
        <v>18</v>
      </c>
      <c r="AD53" t="s">
        <v>952</v>
      </c>
      <c r="AE53" s="2352">
        <v>654</v>
      </c>
      <c r="AF53" s="2352">
        <v>459</v>
      </c>
      <c r="AG53" s="2352">
        <v>24</v>
      </c>
      <c r="AH53" s="2352">
        <v>17.25</v>
      </c>
    </row>
    <row r="54" spans="2:34" ht="12.75">
      <c r="B54" s="7"/>
      <c r="C54" s="8" t="b">
        <v>0</v>
      </c>
      <c r="D54" s="726" t="b">
        <v>1</v>
      </c>
      <c r="E54" s="724" t="b">
        <v>0</v>
      </c>
      <c r="F54" t="str">
        <f>IF(Texte!SprachIdx=1,G54,IF(Texte!SprachIdx=2,H54,IF(Texte!SprachIdx=3,I54,"")))</f>
        <v>Nebeneinkommen und Privat</v>
      </c>
      <c r="G54" t="s">
        <v>306</v>
      </c>
      <c r="H54" t="s">
        <v>6776</v>
      </c>
      <c r="I54" t="s">
        <v>10848</v>
      </c>
      <c r="K54" t="s">
        <v>4787</v>
      </c>
      <c r="L54" t="s">
        <v>4853</v>
      </c>
      <c r="M54" t="s">
        <v>1386</v>
      </c>
      <c r="O54" s="648"/>
      <c r="W54" t="s">
        <v>963</v>
      </c>
      <c r="X54" s="2386">
        <v>569.4000244140625</v>
      </c>
      <c r="Y54" s="674">
        <v>759.5999755859375</v>
      </c>
      <c r="Z54" s="2386">
        <v>21</v>
      </c>
      <c r="AA54" s="2386">
        <v>18</v>
      </c>
      <c r="AD54" t="s">
        <v>953</v>
      </c>
      <c r="AE54" s="2352">
        <v>653.25</v>
      </c>
      <c r="AF54" s="2352">
        <v>475.5</v>
      </c>
      <c r="AG54" s="2352">
        <v>24</v>
      </c>
      <c r="AH54" s="2352">
        <v>17.25</v>
      </c>
    </row>
    <row r="55" spans="2:34" ht="12.75">
      <c r="B55" s="7"/>
      <c r="C55" s="8" t="b">
        <v>0</v>
      </c>
      <c r="D55" s="726" t="b">
        <v>1</v>
      </c>
      <c r="E55" s="724" t="b">
        <v>0</v>
      </c>
      <c r="F55" t="str">
        <f>IF(Texte!SprachIdx=1,G55,IF(Texte!SprachIdx=2,H55,IF(Texte!SprachIdx=3,I55,"")))</f>
        <v>Zusammenfassung</v>
      </c>
      <c r="G55" t="s">
        <v>342</v>
      </c>
      <c r="H55" t="s">
        <v>6777</v>
      </c>
      <c r="I55" t="s">
        <v>6406</v>
      </c>
      <c r="K55" t="s">
        <v>5158</v>
      </c>
      <c r="L55" t="s">
        <v>4854</v>
      </c>
      <c r="M55" t="s">
        <v>6406</v>
      </c>
      <c r="O55" s="648"/>
      <c r="W55" t="s">
        <v>964</v>
      </c>
      <c r="X55" s="2386">
        <v>569.4000244140625</v>
      </c>
      <c r="Y55" s="674">
        <v>921.5999755859375</v>
      </c>
      <c r="Z55" s="2386">
        <v>21</v>
      </c>
      <c r="AA55" s="2386">
        <v>18</v>
      </c>
      <c r="AD55" t="s">
        <v>954</v>
      </c>
      <c r="AE55" s="2352">
        <v>654</v>
      </c>
      <c r="AF55" s="2352">
        <v>522</v>
      </c>
      <c r="AG55" s="2352">
        <v>24</v>
      </c>
      <c r="AH55" s="2352">
        <v>17.25</v>
      </c>
    </row>
    <row r="56" spans="2:34" ht="12.75">
      <c r="B56" s="7"/>
      <c r="C56" s="8" t="b">
        <v>0</v>
      </c>
      <c r="D56" s="726" t="b">
        <v>0</v>
      </c>
      <c r="E56" s="724" t="b">
        <v>0</v>
      </c>
      <c r="F56" t="str">
        <f>IF(Texte!SprachIdx=1,G56,IF(Texte!SprachIdx=2,H56,IF(Texte!SprachIdx=3,I56,"")))</f>
        <v>Veränderungen</v>
      </c>
      <c r="G56" t="s">
        <v>3273</v>
      </c>
      <c r="H56" t="s">
        <v>2759</v>
      </c>
      <c r="I56" t="s">
        <v>7086</v>
      </c>
      <c r="K56" t="s">
        <v>2470</v>
      </c>
      <c r="L56" t="s">
        <v>2469</v>
      </c>
      <c r="M56" t="s">
        <v>7086</v>
      </c>
      <c r="O56" s="648"/>
      <c r="W56" t="s">
        <v>965</v>
      </c>
      <c r="X56" s="2386">
        <v>569.4000244140625</v>
      </c>
      <c r="Y56" s="674">
        <v>937.79998779296875</v>
      </c>
      <c r="Z56" s="2386">
        <v>21</v>
      </c>
      <c r="AA56" s="2386">
        <v>18</v>
      </c>
      <c r="AD56" t="s">
        <v>955</v>
      </c>
      <c r="AE56" s="2352">
        <v>654</v>
      </c>
      <c r="AF56" s="2352">
        <v>537.75</v>
      </c>
      <c r="AG56" s="2352">
        <v>24</v>
      </c>
      <c r="AH56" s="2352">
        <v>17.25</v>
      </c>
    </row>
    <row r="57" spans="2:34" ht="12.75">
      <c r="B57" s="7"/>
      <c r="C57" s="8" t="b">
        <v>0</v>
      </c>
      <c r="D57" s="726" t="b">
        <v>1</v>
      </c>
      <c r="E57" s="724" t="b">
        <v>0</v>
      </c>
      <c r="F57" t="str">
        <f>IF(Texte!SprachIdx=1,G57,IF(Texte!SprachIdx=2,H57,IF(Texte!SprachIdx=3,I57,"")))</f>
        <v>Finanzplan</v>
      </c>
      <c r="G57" t="s">
        <v>4921</v>
      </c>
      <c r="H57" t="s">
        <v>6778</v>
      </c>
      <c r="I57" t="s">
        <v>10849</v>
      </c>
      <c r="K57" t="s">
        <v>4921</v>
      </c>
      <c r="L57" t="s">
        <v>4855</v>
      </c>
      <c r="M57" t="s">
        <v>10965</v>
      </c>
      <c r="O57" s="648"/>
      <c r="W57" t="s">
        <v>966</v>
      </c>
      <c r="X57" s="2386">
        <v>569.4000244140625</v>
      </c>
      <c r="Y57" s="674">
        <v>954</v>
      </c>
      <c r="Z57" s="2386">
        <v>21</v>
      </c>
      <c r="AA57" s="2386">
        <v>18</v>
      </c>
      <c r="AD57" t="s">
        <v>956</v>
      </c>
      <c r="AE57" s="2352">
        <v>654</v>
      </c>
      <c r="AF57" s="2352">
        <v>553.5</v>
      </c>
      <c r="AG57" s="2352">
        <v>24</v>
      </c>
      <c r="AH57" s="2352">
        <v>17.25</v>
      </c>
    </row>
    <row r="58" spans="2:34" ht="12.75">
      <c r="B58" s="7"/>
      <c r="C58" s="8" t="b">
        <v>0</v>
      </c>
      <c r="D58" s="726" t="b">
        <v>1</v>
      </c>
      <c r="E58" s="724" t="b">
        <v>0</v>
      </c>
      <c r="F58" t="str">
        <f>IF(Texte!SprachIdx=1,G58,IF(Texte!SprachIdx=2,H58,IF(Texte!SprachIdx=3,I58,"")))</f>
        <v>Diagramm Finanzplan</v>
      </c>
      <c r="G58" t="s">
        <v>6226</v>
      </c>
      <c r="H58" t="s">
        <v>6877</v>
      </c>
      <c r="I58" t="s">
        <v>10850</v>
      </c>
      <c r="K58" t="s">
        <v>5114</v>
      </c>
      <c r="L58" t="s">
        <v>1039</v>
      </c>
      <c r="M58" t="s">
        <v>10966</v>
      </c>
      <c r="O58" s="648"/>
      <c r="W58" t="s">
        <v>967</v>
      </c>
      <c r="X58" s="2386">
        <v>569.4000244140625</v>
      </c>
      <c r="Y58" s="674">
        <v>1067.4000244140625</v>
      </c>
      <c r="Z58" s="2386">
        <v>21</v>
      </c>
      <c r="AA58" s="2386">
        <v>18</v>
      </c>
      <c r="AD58" t="s">
        <v>957</v>
      </c>
      <c r="AE58" s="2352">
        <v>654</v>
      </c>
      <c r="AF58" s="2352">
        <v>569.25</v>
      </c>
      <c r="AG58" s="2352">
        <v>24</v>
      </c>
      <c r="AH58" s="2352">
        <v>17.25</v>
      </c>
    </row>
    <row r="59" spans="2:34" ht="12.75">
      <c r="B59" s="7"/>
      <c r="C59" s="8" t="b">
        <v>0</v>
      </c>
      <c r="D59" s="726" t="b">
        <v>1</v>
      </c>
      <c r="E59" s="724" t="b">
        <v>0</v>
      </c>
      <c r="F59" t="str">
        <f>IF(Texte!SprachIdx=1,G59,IF(Texte!SprachIdx=2,H59,IF(Texte!SprachIdx=3,I59,"")))</f>
        <v>Anhang 1: Privat</v>
      </c>
      <c r="G59" t="s">
        <v>6227</v>
      </c>
      <c r="H59" t="s">
        <v>6878</v>
      </c>
      <c r="I59" t="s">
        <v>10851</v>
      </c>
      <c r="K59" t="s">
        <v>929</v>
      </c>
      <c r="L59" t="s">
        <v>2701</v>
      </c>
      <c r="M59" t="s">
        <v>3011</v>
      </c>
      <c r="O59" s="648"/>
      <c r="W59" t="s">
        <v>968</v>
      </c>
      <c r="X59" s="2386">
        <v>569.4000244140625</v>
      </c>
      <c r="Y59" s="674">
        <v>1083.5999755859375</v>
      </c>
      <c r="Z59" s="2386">
        <v>21</v>
      </c>
      <c r="AA59" s="2386">
        <v>18</v>
      </c>
      <c r="AD59" t="s">
        <v>958</v>
      </c>
      <c r="AE59" s="2352">
        <v>654</v>
      </c>
      <c r="AF59" s="2352">
        <v>585</v>
      </c>
      <c r="AG59" s="2352">
        <v>24</v>
      </c>
      <c r="AH59" s="2352">
        <v>17.25</v>
      </c>
    </row>
    <row r="60" spans="2:34" ht="12.75">
      <c r="B60" s="11"/>
      <c r="C60" s="8" t="b">
        <v>0</v>
      </c>
      <c r="D60" s="726" t="b">
        <v>1</v>
      </c>
      <c r="E60" s="724" t="b">
        <v>0</v>
      </c>
      <c r="F60" t="str">
        <f>IF(Texte!SprachIdx=1,G60,IF(Texte!SprachIdx=2,H60,IF(Texte!SprachIdx=3,I60,"")))</f>
        <v>Anhang 2: Investitionen</v>
      </c>
      <c r="G60" t="s">
        <v>7433</v>
      </c>
      <c r="H60" t="s">
        <v>6166</v>
      </c>
      <c r="I60" t="s">
        <v>3177</v>
      </c>
      <c r="K60" t="s">
        <v>7434</v>
      </c>
      <c r="L60" t="s">
        <v>2702</v>
      </c>
      <c r="M60" t="s">
        <v>3241</v>
      </c>
      <c r="O60" s="648"/>
      <c r="W60" t="s">
        <v>969</v>
      </c>
      <c r="X60" s="2386">
        <v>569.4000244140625</v>
      </c>
      <c r="Y60" s="674">
        <v>1099.800048828125</v>
      </c>
      <c r="Z60" s="2386">
        <v>21</v>
      </c>
      <c r="AA60" s="2386">
        <v>18</v>
      </c>
      <c r="AD60" t="s">
        <v>959</v>
      </c>
      <c r="AE60" s="2352">
        <v>654</v>
      </c>
      <c r="AF60" s="2352">
        <v>695.25</v>
      </c>
      <c r="AG60" s="2352">
        <v>24</v>
      </c>
      <c r="AH60" s="2352">
        <v>17.25</v>
      </c>
    </row>
    <row r="61" spans="2:34" ht="12.75">
      <c r="B61" s="11"/>
      <c r="C61" s="8" t="b">
        <v>0</v>
      </c>
      <c r="D61" s="726" t="b">
        <v>1</v>
      </c>
      <c r="E61" s="724" t="b">
        <v>0</v>
      </c>
      <c r="F61" t="str">
        <f>IF(Texte!SprachIdx=1,G61,IF(Texte!SprachIdx=2,H61,IF(Texte!SprachIdx=3,I61,"")))</f>
        <v>Anhang 3: Schulden</v>
      </c>
      <c r="G61" t="s">
        <v>3029</v>
      </c>
      <c r="H61" t="s">
        <v>6167</v>
      </c>
      <c r="I61" t="s">
        <v>6695</v>
      </c>
      <c r="K61" t="s">
        <v>930</v>
      </c>
      <c r="L61" t="s">
        <v>3387</v>
      </c>
      <c r="M61" t="s">
        <v>6549</v>
      </c>
      <c r="O61" s="648"/>
      <c r="W61" t="s">
        <v>970</v>
      </c>
      <c r="X61" s="2386">
        <v>569.4000244140625</v>
      </c>
      <c r="Y61" s="674">
        <v>1116</v>
      </c>
      <c r="Z61" s="2386">
        <v>21</v>
      </c>
      <c r="AA61" s="2386">
        <v>18</v>
      </c>
      <c r="AD61" t="s">
        <v>960</v>
      </c>
      <c r="AE61" s="2352">
        <v>654</v>
      </c>
      <c r="AF61" s="2352">
        <v>632.25</v>
      </c>
      <c r="AG61" s="2352">
        <v>24</v>
      </c>
      <c r="AH61" s="2352">
        <v>17.25</v>
      </c>
    </row>
    <row r="62" spans="2:34" ht="12.75">
      <c r="B62" s="11"/>
      <c r="C62" s="8" t="b">
        <v>0</v>
      </c>
      <c r="D62" s="726" t="b">
        <v>1</v>
      </c>
      <c r="E62" s="724" t="b">
        <v>0</v>
      </c>
      <c r="F62" t="str">
        <f>IF(Texte!SprachIdx=1,G62,IF(Texte!SprachIdx=2,H62,IF(Texte!SprachIdx=3,I62,"")))</f>
        <v>Anhang 4: Projekte</v>
      </c>
      <c r="G62" t="s">
        <v>6959</v>
      </c>
      <c r="H62" t="s">
        <v>4443</v>
      </c>
      <c r="I62" t="s">
        <v>6696</v>
      </c>
      <c r="K62" t="s">
        <v>3232</v>
      </c>
      <c r="L62" t="s">
        <v>2700</v>
      </c>
      <c r="M62" t="s">
        <v>405</v>
      </c>
      <c r="O62" s="648"/>
      <c r="W62" t="s">
        <v>971</v>
      </c>
      <c r="X62" s="2386">
        <v>569.4000244140625</v>
      </c>
      <c r="Y62" s="674">
        <v>1132.199951171875</v>
      </c>
      <c r="Z62" s="2386">
        <v>21</v>
      </c>
      <c r="AA62" s="2386">
        <v>18</v>
      </c>
      <c r="AD62" t="s">
        <v>961</v>
      </c>
      <c r="AE62" s="2352">
        <v>654</v>
      </c>
      <c r="AF62" s="2352">
        <v>663.75</v>
      </c>
      <c r="AG62" s="2352">
        <v>24</v>
      </c>
      <c r="AH62" s="2352">
        <v>17.25</v>
      </c>
    </row>
    <row r="63" spans="2:34" ht="12.75">
      <c r="B63" s="11"/>
      <c r="C63" s="8" t="b">
        <v>0</v>
      </c>
      <c r="D63" s="726" t="b">
        <v>1</v>
      </c>
      <c r="E63" s="724" t="b">
        <v>0</v>
      </c>
      <c r="F63" t="str">
        <f>IF(Texte!SprachIdx=1,G63,IF(Texte!SprachIdx=2,H63,IF(Texte!SprachIdx=3,I63,"")))</f>
        <v>Abrechnung der Gemeinschaft</v>
      </c>
      <c r="G63" t="s">
        <v>2714</v>
      </c>
      <c r="H63" t="s">
        <v>6871</v>
      </c>
      <c r="I63" t="s">
        <v>10852</v>
      </c>
      <c r="K63" t="s">
        <v>931</v>
      </c>
      <c r="L63" t="s">
        <v>3388</v>
      </c>
      <c r="M63" t="s">
        <v>5795</v>
      </c>
      <c r="O63" s="648"/>
      <c r="W63" t="s">
        <v>972</v>
      </c>
      <c r="X63" s="2386">
        <v>598.79998779296875</v>
      </c>
      <c r="Y63" s="674">
        <v>143.39999389648438</v>
      </c>
      <c r="Z63" s="2386">
        <v>21</v>
      </c>
      <c r="AA63" s="2386">
        <v>18</v>
      </c>
      <c r="AD63" t="s">
        <v>962</v>
      </c>
      <c r="AE63" s="2352">
        <v>654</v>
      </c>
      <c r="AF63" s="2352">
        <v>727.5</v>
      </c>
      <c r="AG63" s="2352">
        <v>24</v>
      </c>
      <c r="AH63" s="2352">
        <v>17.25</v>
      </c>
    </row>
    <row r="64" spans="2:34" ht="12.75">
      <c r="B64" s="11"/>
      <c r="C64" s="8" t="b">
        <v>0</v>
      </c>
      <c r="D64" s="726" t="b">
        <v>1</v>
      </c>
      <c r="E64" s="724" t="b">
        <v>0</v>
      </c>
      <c r="F64" t="str">
        <f>IF(Texte!SprachIdx=1,G64,IF(Texte!SprachIdx=2,H64,IF(Texte!SprachIdx=3,I64,"")))</f>
        <v xml:space="preserve">Abrechnung für </v>
      </c>
      <c r="G64" t="s">
        <v>3074</v>
      </c>
      <c r="H64" t="s">
        <v>3347</v>
      </c>
      <c r="I64" t="s">
        <v>10853</v>
      </c>
      <c r="K64" t="s">
        <v>932</v>
      </c>
      <c r="L64" t="s">
        <v>3389</v>
      </c>
      <c r="M64" t="s">
        <v>3389</v>
      </c>
      <c r="O64" s="648"/>
      <c r="W64" t="s">
        <v>973</v>
      </c>
      <c r="X64" s="2386">
        <v>598.79998779296875</v>
      </c>
      <c r="Y64" s="674">
        <v>160.19999694824219</v>
      </c>
      <c r="Z64" s="2386">
        <v>21</v>
      </c>
      <c r="AA64" s="2386">
        <v>18</v>
      </c>
      <c r="AD64" t="s">
        <v>963</v>
      </c>
      <c r="AE64" s="2352">
        <v>654</v>
      </c>
      <c r="AF64" s="2352">
        <v>742.5</v>
      </c>
      <c r="AG64" s="2352">
        <v>24</v>
      </c>
      <c r="AH64" s="2352">
        <v>17.25</v>
      </c>
    </row>
    <row r="65" spans="2:34" ht="12.75">
      <c r="B65" s="11"/>
      <c r="C65" s="8" t="b">
        <v>0</v>
      </c>
      <c r="D65" s="726" t="b">
        <v>1</v>
      </c>
      <c r="E65" s="724" t="b">
        <v>0</v>
      </c>
      <c r="F65" t="str">
        <f>IF(Texte!SprachIdx=1,G65,IF(Texte!SprachIdx=2,H65,IF(Texte!SprachIdx=3,I65,"")))</f>
        <v xml:space="preserve">Abrechnung für </v>
      </c>
      <c r="G65" t="s">
        <v>3074</v>
      </c>
      <c r="H65" t="s">
        <v>3347</v>
      </c>
      <c r="I65" t="s">
        <v>10853</v>
      </c>
      <c r="K65" t="s">
        <v>2179</v>
      </c>
      <c r="L65" t="s">
        <v>1036</v>
      </c>
      <c r="M65" t="s">
        <v>1036</v>
      </c>
      <c r="O65" s="648"/>
      <c r="W65" t="s">
        <v>974</v>
      </c>
      <c r="X65" s="2386">
        <v>598.79998779296875</v>
      </c>
      <c r="Y65" s="674">
        <v>192.60000610351563</v>
      </c>
      <c r="Z65" s="2386">
        <v>21</v>
      </c>
      <c r="AA65" s="2386">
        <v>18</v>
      </c>
      <c r="AD65" t="s">
        <v>964</v>
      </c>
      <c r="AE65" s="2352">
        <v>654</v>
      </c>
      <c r="AF65" s="2352">
        <v>900</v>
      </c>
      <c r="AG65" s="2352">
        <v>24</v>
      </c>
      <c r="AH65" s="2352">
        <v>17.25</v>
      </c>
    </row>
    <row r="66" spans="2:34" ht="12.75">
      <c r="B66" s="11"/>
      <c r="C66" s="8" t="b">
        <v>0</v>
      </c>
      <c r="D66" s="726" t="b">
        <v>1</v>
      </c>
      <c r="E66" s="724" t="b">
        <v>0</v>
      </c>
      <c r="F66" t="str">
        <f>IF(Texte!SprachIdx=1,G66,IF(Texte!SprachIdx=2,H66,IF(Texte!SprachIdx=3,I66,"")))</f>
        <v xml:space="preserve">Abrechnung für </v>
      </c>
      <c r="G66" t="s">
        <v>3074</v>
      </c>
      <c r="H66" t="s">
        <v>3347</v>
      </c>
      <c r="I66" t="s">
        <v>10853</v>
      </c>
      <c r="K66" t="s">
        <v>2180</v>
      </c>
      <c r="L66" t="s">
        <v>1037</v>
      </c>
      <c r="M66" t="s">
        <v>1037</v>
      </c>
      <c r="O66" s="648"/>
      <c r="W66" t="s">
        <v>975</v>
      </c>
      <c r="X66" s="2386">
        <v>598.79998779296875</v>
      </c>
      <c r="Y66" s="674">
        <v>225</v>
      </c>
      <c r="Z66" s="2386">
        <v>21</v>
      </c>
      <c r="AA66" s="2386">
        <v>18</v>
      </c>
      <c r="AD66" t="s">
        <v>965</v>
      </c>
      <c r="AE66" s="2352">
        <v>654</v>
      </c>
      <c r="AF66" s="2352">
        <v>915.75</v>
      </c>
      <c r="AG66" s="2352">
        <v>24</v>
      </c>
      <c r="AH66" s="2352">
        <v>17.25</v>
      </c>
    </row>
    <row r="67" spans="2:34" ht="12.75">
      <c r="B67" s="11"/>
      <c r="C67" s="8" t="b">
        <v>0</v>
      </c>
      <c r="D67" s="726" t="b">
        <v>1</v>
      </c>
      <c r="E67" s="724" t="b">
        <v>0</v>
      </c>
      <c r="F67" t="str">
        <f>IF(Texte!SprachIdx=1,G67,IF(Texte!SprachIdx=2,H67,IF(Texte!SprachIdx=3,I67,"")))</f>
        <v xml:space="preserve">Abrechnung für </v>
      </c>
      <c r="G67" t="s">
        <v>3074</v>
      </c>
      <c r="H67" t="s">
        <v>3347</v>
      </c>
      <c r="I67" t="s">
        <v>10853</v>
      </c>
      <c r="K67" t="s">
        <v>2957</v>
      </c>
      <c r="L67" t="s">
        <v>1038</v>
      </c>
      <c r="M67" t="s">
        <v>1038</v>
      </c>
      <c r="O67" s="648"/>
      <c r="W67" t="s">
        <v>976</v>
      </c>
      <c r="X67" s="2386">
        <v>598.79998779296875</v>
      </c>
      <c r="Y67" s="674">
        <v>241.19999694824219</v>
      </c>
      <c r="Z67" s="2386">
        <v>21</v>
      </c>
      <c r="AA67" s="2386">
        <v>18</v>
      </c>
      <c r="AD67" t="s">
        <v>966</v>
      </c>
      <c r="AE67" s="2352">
        <v>654</v>
      </c>
      <c r="AF67" s="2352">
        <v>931.5</v>
      </c>
      <c r="AG67" s="2352">
        <v>24</v>
      </c>
      <c r="AH67" s="2352">
        <v>17.25</v>
      </c>
    </row>
    <row r="68" spans="2:34" ht="12.75">
      <c r="B68" s="7" t="str">
        <f>D_Fläche!$B$1</f>
        <v>Datenbank Ackerkulturen und Grünland</v>
      </c>
      <c r="C68" s="8" t="b">
        <v>1</v>
      </c>
      <c r="D68" s="726" t="b">
        <v>1</v>
      </c>
      <c r="E68" s="724" t="b">
        <v>0</v>
      </c>
      <c r="F68" t="str">
        <f>IF(Texte!SprachIdx=1,G68,IF(Texte!SprachIdx=2,H68,IF(Texte!SprachIdx=3,I68,"")))</f>
        <v>Datenbank Ackerkulturen und Grünland</v>
      </c>
      <c r="G68" t="s">
        <v>1923</v>
      </c>
      <c r="H68" t="s">
        <v>539</v>
      </c>
      <c r="I68" t="s">
        <v>10854</v>
      </c>
      <c r="J68" t="str">
        <f>IF(Texte!SprachIdx=1,K68,IF(Texte!SprachIdx=2,L68,IF(Texte!SprachIdx=3,M68,"")))</f>
        <v>D_Fläche</v>
      </c>
      <c r="K68" t="s">
        <v>2958</v>
      </c>
      <c r="L68" t="s">
        <v>1040</v>
      </c>
      <c r="M68" t="s">
        <v>10797</v>
      </c>
      <c r="O68" s="648"/>
      <c r="W68" t="s">
        <v>977</v>
      </c>
      <c r="X68" s="2386">
        <v>598.79998779296875</v>
      </c>
      <c r="Y68" s="674">
        <v>257.39999389648438</v>
      </c>
      <c r="Z68" s="2386">
        <v>21</v>
      </c>
      <c r="AA68" s="2386">
        <v>18</v>
      </c>
      <c r="AD68" t="s">
        <v>967</v>
      </c>
      <c r="AE68" s="2352">
        <v>654</v>
      </c>
      <c r="AF68" s="2352">
        <v>1041.75</v>
      </c>
      <c r="AG68" s="2352">
        <v>24</v>
      </c>
      <c r="AH68" s="2352">
        <v>17.25</v>
      </c>
    </row>
    <row r="69" spans="2:34" ht="12.75">
      <c r="B69" s="7" t="str">
        <f>D_Tierb!$B$1</f>
        <v>Datenbank Tierhaltung</v>
      </c>
      <c r="C69" s="8" t="b">
        <v>1</v>
      </c>
      <c r="D69" s="726" t="b">
        <v>1</v>
      </c>
      <c r="E69" s="724" t="b">
        <v>1</v>
      </c>
      <c r="F69" t="str">
        <f>IF(Texte!SprachIdx=1,G69,IF(Texte!SprachIdx=2,H69,IF(Texte!SprachIdx=3,I69,"")))</f>
        <v>Datenbank Tierhaltung</v>
      </c>
      <c r="G69" t="s">
        <v>1367</v>
      </c>
      <c r="H69" t="s">
        <v>2780</v>
      </c>
      <c r="I69" t="s">
        <v>10855</v>
      </c>
      <c r="J69" t="str">
        <f>IF(Texte!SprachIdx=1,K69,IF(Texte!SprachIdx=2,L69,IF(Texte!SprachIdx=3,M69,"")))</f>
        <v>D_Tierb</v>
      </c>
      <c r="K69" t="s">
        <v>2959</v>
      </c>
      <c r="L69" t="s">
        <v>1041</v>
      </c>
      <c r="M69" t="s">
        <v>10798</v>
      </c>
      <c r="O69" s="648"/>
      <c r="W69" t="s">
        <v>978</v>
      </c>
      <c r="X69" s="2386">
        <v>598.79998779296875</v>
      </c>
      <c r="Y69" s="674">
        <v>273.60000610351563</v>
      </c>
      <c r="Z69" s="2386">
        <v>21</v>
      </c>
      <c r="AA69" s="2386">
        <v>18</v>
      </c>
      <c r="AD69" t="s">
        <v>968</v>
      </c>
      <c r="AE69" s="2352">
        <v>654</v>
      </c>
      <c r="AF69" s="2352">
        <v>1057.5</v>
      </c>
      <c r="AG69" s="2352">
        <v>24</v>
      </c>
      <c r="AH69" s="2352">
        <v>17.25</v>
      </c>
    </row>
    <row r="70" spans="2:34" ht="12.75">
      <c r="B70" s="7" t="str">
        <f>D_Gemüse1!$B$2</f>
        <v>Gemüsebau Freiland</v>
      </c>
      <c r="C70" s="8" t="b">
        <v>1</v>
      </c>
      <c r="D70" s="726" t="b">
        <v>0</v>
      </c>
      <c r="E70" s="724" t="b">
        <v>0</v>
      </c>
      <c r="F70" t="str">
        <f>IF(Texte!SprachIdx=1,G70,IF(Texte!SprachIdx=2,H70,IF(Texte!SprachIdx=3,I70,"")))</f>
        <v>Gemüsebau Freiland</v>
      </c>
      <c r="G70" t="s">
        <v>3257</v>
      </c>
      <c r="H70" t="s">
        <v>4181</v>
      </c>
      <c r="I70" t="s">
        <v>10405</v>
      </c>
      <c r="J70" t="str">
        <f>IF(Texte!SprachIdx=1,K70,IF(Texte!SprachIdx=2,L70,IF(Texte!SprachIdx=3,M70,"")))</f>
        <v>D_Gemüse1</v>
      </c>
      <c r="K70" t="s">
        <v>2960</v>
      </c>
      <c r="L70" t="s">
        <v>1042</v>
      </c>
      <c r="M70" t="s">
        <v>10799</v>
      </c>
      <c r="O70" s="648"/>
      <c r="W70" t="s">
        <v>980</v>
      </c>
      <c r="X70" s="2386">
        <v>598.20001220703125</v>
      </c>
      <c r="Y70" s="674">
        <v>420.60000610351563</v>
      </c>
      <c r="Z70" s="2386">
        <v>21.600000381469727</v>
      </c>
      <c r="AA70" s="2386">
        <v>18</v>
      </c>
      <c r="AD70" t="s">
        <v>969</v>
      </c>
      <c r="AE70" s="2352">
        <v>654</v>
      </c>
      <c r="AF70" s="2352">
        <v>1073.25</v>
      </c>
      <c r="AG70" s="2352">
        <v>24</v>
      </c>
      <c r="AH70" s="2352">
        <v>17.25</v>
      </c>
    </row>
    <row r="71" spans="2:34" ht="12.75">
      <c r="B71" s="7" t="str">
        <f>D_Gemüse2!$B$2</f>
        <v>Gemüse Gewächshaus</v>
      </c>
      <c r="C71" s="8" t="b">
        <v>1</v>
      </c>
      <c r="D71" s="726" t="b">
        <v>0</v>
      </c>
      <c r="E71" s="724" t="b">
        <v>0</v>
      </c>
      <c r="F71" t="str">
        <f>IF(Texte!SprachIdx=1,G71,IF(Texte!SprachIdx=2,H71,IF(Texte!SprachIdx=3,I71,"")))</f>
        <v>Gemüse Gewächshaus</v>
      </c>
      <c r="G71" t="s">
        <v>375</v>
      </c>
      <c r="H71" t="s">
        <v>1832</v>
      </c>
      <c r="I71" t="s">
        <v>10706</v>
      </c>
      <c r="J71" t="str">
        <f>IF(Texte!SprachIdx=1,K71,IF(Texte!SprachIdx=2,L71,IF(Texte!SprachIdx=3,M71,"")))</f>
        <v>D_Gemüse2</v>
      </c>
      <c r="K71" t="s">
        <v>2961</v>
      </c>
      <c r="L71" t="s">
        <v>41</v>
      </c>
      <c r="M71" t="s">
        <v>10800</v>
      </c>
      <c r="O71" s="648"/>
      <c r="W71" t="s">
        <v>981</v>
      </c>
      <c r="X71" s="2386">
        <v>598.20001220703125</v>
      </c>
      <c r="Y71" s="674">
        <v>647.4000244140625</v>
      </c>
      <c r="Z71" s="2386">
        <v>21.600000381469727</v>
      </c>
      <c r="AA71" s="2386">
        <v>18</v>
      </c>
      <c r="AD71" t="s">
        <v>970</v>
      </c>
      <c r="AE71" s="2352">
        <v>654</v>
      </c>
      <c r="AF71" s="2352">
        <v>1089</v>
      </c>
      <c r="AG71" s="2352">
        <v>24</v>
      </c>
      <c r="AH71" s="2352">
        <v>17.25</v>
      </c>
    </row>
    <row r="72" spans="2:34" ht="12.75">
      <c r="B72" s="7" t="str">
        <f>D_ObstBeeren!B2</f>
        <v>Obst und Beeren</v>
      </c>
      <c r="C72" s="8" t="b">
        <v>1</v>
      </c>
      <c r="D72" s="726" t="b">
        <v>0</v>
      </c>
      <c r="E72" s="724" t="b">
        <v>0</v>
      </c>
      <c r="F72" t="str">
        <f>IF(Texte!SprachIdx=1,G72,IF(Texte!SprachIdx=2,H72,IF(Texte!SprachIdx=3,I72,"")))</f>
        <v>Obst und Beeren</v>
      </c>
      <c r="G72" t="s">
        <v>3075</v>
      </c>
      <c r="H72" t="s">
        <v>1833</v>
      </c>
      <c r="I72" t="s">
        <v>10856</v>
      </c>
      <c r="J72" t="str">
        <f>IF(Texte!SprachIdx=1,K72,IF(Texte!SprachIdx=2,L72,IF(Texte!SprachIdx=3,M72,"")))</f>
        <v>D_ObstBeeren</v>
      </c>
      <c r="K72" t="s">
        <v>2962</v>
      </c>
      <c r="L72" t="s">
        <v>2847</v>
      </c>
      <c r="M72" t="s">
        <v>10801</v>
      </c>
      <c r="O72" s="648"/>
      <c r="W72" t="s">
        <v>982</v>
      </c>
      <c r="X72" s="2386">
        <v>598.79998779296875</v>
      </c>
      <c r="Y72" s="674">
        <v>921.5999755859375</v>
      </c>
      <c r="Z72" s="2386">
        <v>21</v>
      </c>
      <c r="AA72" s="2386">
        <v>18</v>
      </c>
      <c r="AD72" t="s">
        <v>971</v>
      </c>
      <c r="AE72" s="2352">
        <v>654</v>
      </c>
      <c r="AF72" s="2352">
        <v>1104.75</v>
      </c>
      <c r="AG72" s="2352">
        <v>24</v>
      </c>
      <c r="AH72" s="2352">
        <v>17.25</v>
      </c>
    </row>
    <row r="73" spans="2:34" ht="12.75">
      <c r="B73" s="7" t="str">
        <f>D_Bsi!$B$1</f>
        <v>Datenbank Bodenschutzfaktor (A5)</v>
      </c>
      <c r="C73" s="8" t="b">
        <v>1</v>
      </c>
      <c r="D73" s="726" t="b">
        <v>0</v>
      </c>
      <c r="E73" s="724" t="b">
        <v>0</v>
      </c>
      <c r="F73" t="str">
        <f>IF(Texte!SprachIdx=1,G73,IF(Texte!SprachIdx=2,H73,IF(Texte!SprachIdx=3,I73,"")))</f>
        <v>Datenbank Bodenschutzfaktor (A5)</v>
      </c>
      <c r="G73" t="s">
        <v>860</v>
      </c>
      <c r="H73" t="s">
        <v>2781</v>
      </c>
      <c r="I73" t="s">
        <v>10857</v>
      </c>
      <c r="J73" t="str">
        <f>IF(Texte!SprachIdx=1,K73,IF(Texte!SprachIdx=2,L73,IF(Texte!SprachIdx=3,M73,"")))</f>
        <v>D_Bsi</v>
      </c>
      <c r="K73" t="s">
        <v>2963</v>
      </c>
      <c r="L73" t="s">
        <v>2848</v>
      </c>
      <c r="M73" t="s">
        <v>2848</v>
      </c>
      <c r="O73" s="648"/>
      <c r="W73" t="s">
        <v>983</v>
      </c>
      <c r="X73" s="2386">
        <v>598.79998779296875</v>
      </c>
      <c r="Y73" s="674">
        <v>937.79998779296875</v>
      </c>
      <c r="Z73" s="2386">
        <v>21</v>
      </c>
      <c r="AA73" s="2386">
        <v>18</v>
      </c>
      <c r="AD73" t="s">
        <v>972</v>
      </c>
      <c r="AE73" s="2352">
        <v>686.25</v>
      </c>
      <c r="AF73" s="2352">
        <v>143.25</v>
      </c>
      <c r="AG73" s="2352">
        <v>24</v>
      </c>
      <c r="AH73" s="2352">
        <v>17.25</v>
      </c>
    </row>
    <row r="74" spans="2:34" ht="12.75">
      <c r="B74" s="7" t="str">
        <f>D_Hd!B1</f>
        <v>Datenbank Hofdüngeranfall</v>
      </c>
      <c r="C74" s="8" t="b">
        <v>1</v>
      </c>
      <c r="D74" s="726" t="b">
        <v>1</v>
      </c>
      <c r="E74" s="724" t="b">
        <v>0</v>
      </c>
      <c r="F74" t="str">
        <f>IF(Texte!SprachIdx=1,G74,IF(Texte!SprachIdx=2,H74,IF(Texte!SprachIdx=3,I74,"")))</f>
        <v>Datenbank Hofdüngeranfall</v>
      </c>
      <c r="G74" t="s">
        <v>277</v>
      </c>
      <c r="H74" t="s">
        <v>3012</v>
      </c>
      <c r="I74" t="s">
        <v>10858</v>
      </c>
      <c r="J74" t="str">
        <f>IF(Texte!SprachIdx=1,K74,IF(Texte!SprachIdx=2,L74,IF(Texte!SprachIdx=3,M74,"")))</f>
        <v>D_Hd</v>
      </c>
      <c r="K74" t="s">
        <v>2964</v>
      </c>
      <c r="L74" t="s">
        <v>2400</v>
      </c>
      <c r="M74" t="s">
        <v>10802</v>
      </c>
      <c r="O74" s="648"/>
      <c r="W74" t="s">
        <v>984</v>
      </c>
      <c r="X74" s="2386">
        <v>598.79998779296875</v>
      </c>
      <c r="Y74" s="674">
        <v>986.4000244140625</v>
      </c>
      <c r="Z74" s="2386">
        <v>21</v>
      </c>
      <c r="AA74" s="2386">
        <v>18</v>
      </c>
      <c r="AD74" t="s">
        <v>973</v>
      </c>
      <c r="AE74" s="2352">
        <v>686.25</v>
      </c>
      <c r="AF74" s="2352">
        <v>159.75</v>
      </c>
      <c r="AG74" s="2352">
        <v>24</v>
      </c>
      <c r="AH74" s="2352">
        <v>17.25</v>
      </c>
    </row>
    <row r="75" spans="2:34" ht="12.75">
      <c r="B75" s="7" t="str">
        <f>TG!B2</f>
        <v>Gehaltstabelle Hofdünger</v>
      </c>
      <c r="C75" s="8" t="b">
        <v>1</v>
      </c>
      <c r="D75" s="726" t="b">
        <v>0</v>
      </c>
      <c r="E75" s="724" t="b">
        <v>0</v>
      </c>
      <c r="F75" t="str">
        <f>IF(Texte!SprachIdx=1,G75,IF(Texte!SprachIdx=2,H75,IF(Texte!SprachIdx=3,I75,"")))</f>
        <v>Gehaltstabelle Hofdünger</v>
      </c>
      <c r="G75" t="s">
        <v>4734</v>
      </c>
      <c r="H75" s="1006" t="s">
        <v>6157</v>
      </c>
      <c r="I75" t="s">
        <v>10859</v>
      </c>
      <c r="J75" t="str">
        <f>IF(Texte!SprachIdx=1,K75,IF(Texte!SprachIdx=2,L75,IF(Texte!SprachIdx=3,M75,"")))</f>
        <v>TG</v>
      </c>
      <c r="K75" t="s">
        <v>3664</v>
      </c>
      <c r="L75" t="s">
        <v>3666</v>
      </c>
      <c r="M75" t="s">
        <v>10803</v>
      </c>
      <c r="O75" s="648"/>
      <c r="W75" t="s">
        <v>985</v>
      </c>
      <c r="X75" s="2386">
        <v>598.79998779296875</v>
      </c>
      <c r="Y75" s="674">
        <v>954</v>
      </c>
      <c r="Z75" s="2386">
        <v>21</v>
      </c>
      <c r="AA75" s="2386">
        <v>18</v>
      </c>
      <c r="AD75" t="s">
        <v>974</v>
      </c>
      <c r="AE75" s="2352">
        <v>686.25</v>
      </c>
      <c r="AF75" s="2352">
        <v>191.25</v>
      </c>
      <c r="AG75" s="2352">
        <v>24</v>
      </c>
      <c r="AH75" s="2352">
        <v>17.25</v>
      </c>
    </row>
    <row r="76" spans="2:34" ht="12.75">
      <c r="B76" s="7" t="str">
        <f>TW!B2</f>
        <v>Wasserverbrauchstabelle</v>
      </c>
      <c r="C76" s="8" t="b">
        <v>1</v>
      </c>
      <c r="D76" s="726" t="b">
        <v>0</v>
      </c>
      <c r="E76" s="724" t="b">
        <v>0</v>
      </c>
      <c r="F76" t="str">
        <f>IF(Texte!SprachIdx=1,G76,IF(Texte!SprachIdx=2,H76,IF(Texte!SprachIdx=3,I76,"")))</f>
        <v>Wasserverbrauchstabelle</v>
      </c>
      <c r="G76" t="s">
        <v>3663</v>
      </c>
      <c r="H76" s="1006" t="s">
        <v>1719</v>
      </c>
      <c r="I76" t="s">
        <v>10860</v>
      </c>
      <c r="J76" t="str">
        <f>IF(Texte!SprachIdx=1,K76,IF(Texte!SprachIdx=2,L76,IF(Texte!SprachIdx=3,M76,"")))</f>
        <v>TW</v>
      </c>
      <c r="K76" t="s">
        <v>3665</v>
      </c>
      <c r="L76" t="s">
        <v>3667</v>
      </c>
      <c r="M76" t="s">
        <v>10967</v>
      </c>
      <c r="O76" s="648"/>
      <c r="W76" t="s">
        <v>986</v>
      </c>
      <c r="X76" s="2386">
        <v>598.79998779296875</v>
      </c>
      <c r="Y76" s="674">
        <v>1067.4000244140625</v>
      </c>
      <c r="Z76" s="2386">
        <v>21</v>
      </c>
      <c r="AA76" s="2386">
        <v>18</v>
      </c>
      <c r="AD76" t="s">
        <v>975</v>
      </c>
      <c r="AE76" s="2352">
        <v>686.25</v>
      </c>
      <c r="AF76" s="2352">
        <v>222.75</v>
      </c>
      <c r="AG76" s="2352">
        <v>24</v>
      </c>
      <c r="AH76" s="2352">
        <v>17.25</v>
      </c>
    </row>
    <row r="77" spans="2:34" ht="12.75">
      <c r="B77" s="7"/>
      <c r="C77" s="8" t="b">
        <v>0</v>
      </c>
      <c r="D77" s="726" t="b">
        <v>1</v>
      </c>
      <c r="E77" s="724" t="b">
        <v>0</v>
      </c>
      <c r="F77" t="str">
        <f>IF(Texte!SprachIdx=1,G77,IF(Texte!SprachIdx=2,H77,IF(Texte!SprachIdx=3,I77,"")))</f>
        <v xml:space="preserve">Datenbank Arbeitskraftbilanz </v>
      </c>
      <c r="G77" t="s">
        <v>1492</v>
      </c>
      <c r="H77" t="s">
        <v>6957</v>
      </c>
      <c r="I77" t="s">
        <v>10861</v>
      </c>
      <c r="K77" t="s">
        <v>2965</v>
      </c>
      <c r="L77" t="s">
        <v>2401</v>
      </c>
      <c r="M77" t="s">
        <v>10804</v>
      </c>
      <c r="O77" s="648"/>
      <c r="W77" t="s">
        <v>987</v>
      </c>
      <c r="X77" s="2386">
        <v>598.79998779296875</v>
      </c>
      <c r="Y77" s="674">
        <v>1083.5999755859375</v>
      </c>
      <c r="Z77" s="2386">
        <v>21</v>
      </c>
      <c r="AA77" s="2386">
        <v>18</v>
      </c>
      <c r="AD77" t="s">
        <v>976</v>
      </c>
      <c r="AE77" s="2352">
        <v>686.25</v>
      </c>
      <c r="AF77" s="2352">
        <v>238.5</v>
      </c>
      <c r="AG77" s="2352">
        <v>24</v>
      </c>
      <c r="AH77" s="2352">
        <v>17.25</v>
      </c>
    </row>
    <row r="78" spans="2:34" ht="12.75">
      <c r="B78" s="7" t="str">
        <f>D_Klick!B1</f>
        <v>Koeffizienten- &amp; Klick-Tabellen</v>
      </c>
      <c r="C78" s="8" t="b">
        <v>1</v>
      </c>
      <c r="D78" s="726" t="b">
        <v>1</v>
      </c>
      <c r="E78" s="724" t="b">
        <v>1</v>
      </c>
      <c r="F78" t="str">
        <f>IF(Texte!SprachIdx=1,G78,IF(Texte!SprachIdx=2,H78,IF(Texte!SprachIdx=3,I78,"")))</f>
        <v>Koeffizienten- &amp; Klick-Tabellen</v>
      </c>
      <c r="G78" t="s">
        <v>1845</v>
      </c>
      <c r="H78" t="s">
        <v>6958</v>
      </c>
      <c r="I78" t="s">
        <v>10862</v>
      </c>
      <c r="J78" t="str">
        <f>IF(Texte!SprachIdx=1,K78,IF(Texte!SprachIdx=2,L78,IF(Texte!SprachIdx=3,M78,"")))</f>
        <v>D_Klick</v>
      </c>
      <c r="K78" t="s">
        <v>1503</v>
      </c>
      <c r="L78" t="s">
        <v>2402</v>
      </c>
      <c r="M78" t="s">
        <v>10821</v>
      </c>
      <c r="O78" s="648"/>
      <c r="W78" t="s">
        <v>988</v>
      </c>
      <c r="X78" s="2386">
        <v>598.79998779296875</v>
      </c>
      <c r="Y78" s="674">
        <v>1099.800048828125</v>
      </c>
      <c r="Z78" s="2386">
        <v>21</v>
      </c>
      <c r="AA78" s="2386">
        <v>18</v>
      </c>
      <c r="AD78" t="s">
        <v>977</v>
      </c>
      <c r="AE78" s="2352">
        <v>686.25</v>
      </c>
      <c r="AF78" s="2352">
        <v>254.25</v>
      </c>
      <c r="AG78" s="2352">
        <v>24</v>
      </c>
      <c r="AH78" s="2352">
        <v>17.25</v>
      </c>
    </row>
    <row r="79" spans="2:34" ht="12.75">
      <c r="B79" s="429" t="str">
        <f>Texte!A7</f>
        <v>Texte</v>
      </c>
      <c r="C79" s="934" t="b">
        <v>1</v>
      </c>
      <c r="D79" s="727" t="b">
        <v>1</v>
      </c>
      <c r="E79" s="556" t="b">
        <v>1</v>
      </c>
      <c r="F79" t="str">
        <f>IF(Texte!SprachIdx=1,G79,IF(Texte!SprachIdx=2,H79,IF(Texte!SprachIdx=3,I79,"")))</f>
        <v>Texte</v>
      </c>
      <c r="G79" t="s">
        <v>1521</v>
      </c>
      <c r="H79" t="s">
        <v>2688</v>
      </c>
      <c r="I79" t="s">
        <v>6675</v>
      </c>
      <c r="J79" t="str">
        <f>IF(Texte!SprachIdx=1,K79,IF(Texte!SprachIdx=2,L79,IF(Texte!SprachIdx=3,M79,"")))</f>
        <v>Texte</v>
      </c>
      <c r="K79" t="s">
        <v>1521</v>
      </c>
      <c r="L79" t="s">
        <v>2688</v>
      </c>
      <c r="M79" t="s">
        <v>6675</v>
      </c>
      <c r="O79" s="648"/>
      <c r="W79" t="s">
        <v>989</v>
      </c>
      <c r="X79" s="2386">
        <v>598.79998779296875</v>
      </c>
      <c r="Y79" s="674">
        <v>1116</v>
      </c>
      <c r="Z79" s="2386">
        <v>21</v>
      </c>
      <c r="AA79" s="2386">
        <v>18</v>
      </c>
      <c r="AD79" t="s">
        <v>978</v>
      </c>
      <c r="AE79" s="2352">
        <v>686.25</v>
      </c>
      <c r="AF79" s="2352">
        <v>270</v>
      </c>
      <c r="AG79" s="2352">
        <v>24</v>
      </c>
      <c r="AH79" s="2352">
        <v>17.25</v>
      </c>
    </row>
    <row r="80" spans="2:34">
      <c r="W80" t="s">
        <v>990</v>
      </c>
      <c r="X80" s="2386">
        <v>598.79998779296875</v>
      </c>
      <c r="Y80" s="674">
        <v>1132.199951171875</v>
      </c>
      <c r="Z80" s="2386">
        <v>21</v>
      </c>
      <c r="AA80" s="2386">
        <v>18</v>
      </c>
      <c r="AD80" t="s">
        <v>979</v>
      </c>
      <c r="AE80" s="2352">
        <v>686.25</v>
      </c>
      <c r="AF80" s="2352">
        <v>443.25</v>
      </c>
      <c r="AG80" s="2352">
        <v>24</v>
      </c>
      <c r="AH80" s="2352">
        <v>17.25</v>
      </c>
    </row>
    <row r="81" spans="2:34" ht="12.75">
      <c r="D81" s="1"/>
      <c r="W81" t="s">
        <v>374</v>
      </c>
      <c r="X81" s="2386">
        <v>569.4000244140625</v>
      </c>
      <c r="Y81" s="674">
        <v>355.79998779296875</v>
      </c>
      <c r="Z81" s="2386">
        <v>21</v>
      </c>
      <c r="AA81" s="2386">
        <v>18</v>
      </c>
      <c r="AD81" t="s">
        <v>980</v>
      </c>
      <c r="AE81" s="2352">
        <v>686.25</v>
      </c>
      <c r="AF81" s="2352">
        <v>475.5</v>
      </c>
      <c r="AG81" s="2352">
        <v>24</v>
      </c>
      <c r="AH81" s="2352">
        <v>17.25</v>
      </c>
    </row>
    <row r="82" spans="2:34" ht="15.75">
      <c r="B82" s="13" t="s">
        <v>2209</v>
      </c>
      <c r="C82" s="14" t="s">
        <v>2210</v>
      </c>
      <c r="D82" s="1"/>
      <c r="F82" s="1003" t="s">
        <v>2482</v>
      </c>
      <c r="W82" t="s">
        <v>991</v>
      </c>
      <c r="X82" s="2386">
        <v>569.4000244140625</v>
      </c>
      <c r="Y82" s="674">
        <v>985.79998779296875</v>
      </c>
      <c r="Z82" s="2386">
        <v>21</v>
      </c>
      <c r="AA82" s="2386">
        <v>18</v>
      </c>
      <c r="AD82" t="s">
        <v>981</v>
      </c>
      <c r="AE82" s="2352">
        <v>686.25</v>
      </c>
      <c r="AF82" s="2352">
        <v>663.75</v>
      </c>
      <c r="AG82" s="2352">
        <v>24</v>
      </c>
      <c r="AH82" s="2352">
        <v>17.25</v>
      </c>
    </row>
    <row r="83" spans="2:34" ht="12.75">
      <c r="B83" s="15" t="s">
        <v>2211</v>
      </c>
      <c r="C83" s="16" t="s">
        <v>2212</v>
      </c>
      <c r="D83" s="1"/>
      <c r="W83" t="s">
        <v>992</v>
      </c>
      <c r="X83" s="2386">
        <v>569.4000244140625</v>
      </c>
      <c r="Y83" s="674">
        <v>969.5999755859375</v>
      </c>
      <c r="Z83" s="2386">
        <v>21</v>
      </c>
      <c r="AA83" s="2386">
        <v>18</v>
      </c>
      <c r="AD83" t="s">
        <v>982</v>
      </c>
      <c r="AE83" s="2352">
        <v>686.25</v>
      </c>
      <c r="AF83" s="2352">
        <v>900</v>
      </c>
      <c r="AG83" s="2352">
        <v>24</v>
      </c>
      <c r="AH83" s="2352">
        <v>17.25</v>
      </c>
    </row>
    <row r="84" spans="2:34" ht="12.75">
      <c r="B84" s="17" t="e">
        <f>Tierb!$U$9:$U$16,Tierb!$U$26:$U$29</f>
        <v>#VALUE!</v>
      </c>
      <c r="C84" s="18"/>
      <c r="D84" s="1"/>
      <c r="F84" t="str">
        <f>IF(Texte!SprachIdx=1,G84,IF(Texte!SprachIdx=2,H84,IF(Texte!SprachIdx=3,I84,"")))</f>
        <v>Tabe&amp;llenblätter</v>
      </c>
      <c r="G84" t="s">
        <v>2483</v>
      </c>
      <c r="H84" t="s">
        <v>2484</v>
      </c>
      <c r="I84" t="s">
        <v>10863</v>
      </c>
      <c r="W84" t="s">
        <v>993</v>
      </c>
      <c r="X84" s="2386">
        <v>598.79998779296875</v>
      </c>
      <c r="Y84" s="674">
        <v>970.20001220703125</v>
      </c>
      <c r="Z84" s="2386">
        <v>21</v>
      </c>
      <c r="AA84" s="2386">
        <v>18</v>
      </c>
      <c r="AD84" t="s">
        <v>983</v>
      </c>
      <c r="AE84" s="2352">
        <v>686.25</v>
      </c>
      <c r="AF84" s="2352">
        <v>915.75</v>
      </c>
      <c r="AG84" s="2352">
        <v>24</v>
      </c>
      <c r="AH84" s="2352">
        <v>17.25</v>
      </c>
    </row>
    <row r="85" spans="2:34" ht="12.75">
      <c r="B85" s="885">
        <f>Fläche!O19</f>
        <v>89.543968421052654</v>
      </c>
      <c r="C85" s="18">
        <f>IF(OR(N19="",'SB2'!TS_Ertrag="")=TRUE,0,'SB2'!TS_Ertrag)</f>
        <v>89.543968421052654</v>
      </c>
      <c r="D85" s="1"/>
      <c r="F85" t="str">
        <f>IF(Texte!SprachIdx=1,G85,IF(Texte!SprachIdx=2,H85,IF(Texte!SprachIdx=3,I85,"")))</f>
        <v>aus&amp;wählen</v>
      </c>
      <c r="G85" t="s">
        <v>2485</v>
      </c>
      <c r="H85" t="s">
        <v>2486</v>
      </c>
      <c r="I85" t="s">
        <v>10864</v>
      </c>
      <c r="W85" t="s">
        <v>994</v>
      </c>
      <c r="X85" s="2386">
        <v>569.4000244140625</v>
      </c>
      <c r="Y85" s="674">
        <v>1002</v>
      </c>
      <c r="Z85" s="2386">
        <v>21</v>
      </c>
      <c r="AA85" s="2386">
        <v>18</v>
      </c>
      <c r="AD85" t="s">
        <v>984</v>
      </c>
      <c r="AE85" s="2352">
        <v>686.25</v>
      </c>
      <c r="AF85" s="2352">
        <v>963</v>
      </c>
      <c r="AG85" s="2352">
        <v>24</v>
      </c>
      <c r="AH85" s="2352">
        <v>17.25</v>
      </c>
    </row>
    <row r="86" spans="2:34" ht="12.75">
      <c r="B86" s="885">
        <f>Fläche!O20</f>
        <v>0</v>
      </c>
      <c r="C86" s="18">
        <f>IF(OR(N20="",'SB2'!TS_Ertrag="")=TRUE,0,'SB2'!TS_Ertrag)</f>
        <v>89.543968421052654</v>
      </c>
      <c r="D86" s="1"/>
      <c r="F86" t="str">
        <f>IF(Texte!SprachIdx=1,G86,IF(Texte!SprachIdx=2,H86,IF(Texte!SprachIdx=3,I86,"")))</f>
        <v>&amp;drucken</v>
      </c>
      <c r="G86" t="s">
        <v>2487</v>
      </c>
      <c r="H86" t="s">
        <v>2178</v>
      </c>
      <c r="I86" t="s">
        <v>10865</v>
      </c>
      <c r="W86" t="s">
        <v>995</v>
      </c>
      <c r="X86" s="2386">
        <v>598.79998779296875</v>
      </c>
      <c r="Y86" s="674">
        <v>1002.5999755859375</v>
      </c>
      <c r="Z86" s="2386">
        <v>21</v>
      </c>
      <c r="AA86" s="2386">
        <v>18</v>
      </c>
      <c r="AD86" t="s">
        <v>985</v>
      </c>
      <c r="AE86" s="2352">
        <v>686.25</v>
      </c>
      <c r="AF86" s="2352">
        <v>931.5</v>
      </c>
      <c r="AG86" s="2352">
        <v>24</v>
      </c>
      <c r="AH86" s="2352">
        <v>17.25</v>
      </c>
    </row>
    <row r="87" spans="2:34" ht="12.75">
      <c r="B87" s="885">
        <f>Fläche!O22</f>
        <v>0</v>
      </c>
      <c r="C87" s="18">
        <f>IF(OR(N22="",'SB2'!TS_Ertrag="")=TRUE,0,'SB2'!TS_Ertrag)</f>
        <v>89.543968421052654</v>
      </c>
      <c r="D87" s="1"/>
      <c r="F87" t="str">
        <f>IF(Texte!SprachIdx=1,G87,IF(Texte!SprachIdx=2,H87,IF(Texte!SprachIdx=3,I87,"")))</f>
        <v>Objekte &amp;reparieren</v>
      </c>
      <c r="G87" t="s">
        <v>3059</v>
      </c>
      <c r="H87" s="1006" t="s">
        <v>6307</v>
      </c>
      <c r="I87" t="s">
        <v>10866</v>
      </c>
      <c r="W87" t="s">
        <v>996</v>
      </c>
      <c r="X87" s="2386">
        <v>569.4000244140625</v>
      </c>
      <c r="Y87" s="674">
        <v>598.79998779296875</v>
      </c>
      <c r="Z87" s="2386">
        <v>21</v>
      </c>
      <c r="AA87" s="2386">
        <v>18</v>
      </c>
      <c r="AD87" t="s">
        <v>986</v>
      </c>
      <c r="AE87" s="2352">
        <v>686.25</v>
      </c>
      <c r="AF87" s="2352">
        <v>1041.75</v>
      </c>
      <c r="AG87" s="2352">
        <v>24</v>
      </c>
      <c r="AH87" s="2352">
        <v>17.25</v>
      </c>
    </row>
    <row r="88" spans="2:34" ht="12.75">
      <c r="B88" s="894">
        <f>Fläche!O25</f>
        <v>0</v>
      </c>
      <c r="C88" s="745">
        <f>IF(OR(N25="",'SB2'!TS_Ertrag="")=TRUE,0,'SB2'!TS_Ertrag)</f>
        <v>89.543968421052654</v>
      </c>
      <c r="D88" s="1"/>
      <c r="F88" t="str">
        <f>IF(Texte!SprachIdx=1,G88,IF(Texte!SprachIdx=2,H88,IF(Texte!SprachIdx=3,I88,"")))</f>
        <v>Objekte &amp;entsperren</v>
      </c>
      <c r="G88" t="s">
        <v>5679</v>
      </c>
      <c r="H88" s="1006" t="s">
        <v>5680</v>
      </c>
      <c r="I88" t="s">
        <v>10867</v>
      </c>
      <c r="W88" t="s">
        <v>997</v>
      </c>
      <c r="X88" s="2386">
        <v>568.79998779296875</v>
      </c>
      <c r="Y88" s="674">
        <v>662.4000244140625</v>
      </c>
      <c r="Z88" s="2386">
        <v>21.600000381469727</v>
      </c>
      <c r="AA88" s="2386">
        <v>18</v>
      </c>
      <c r="AD88" t="s">
        <v>987</v>
      </c>
      <c r="AE88" s="2352">
        <v>686.25</v>
      </c>
      <c r="AF88" s="2352">
        <v>1057.5</v>
      </c>
      <c r="AG88" s="2352">
        <v>24</v>
      </c>
      <c r="AH88" s="2352">
        <v>17.25</v>
      </c>
    </row>
    <row r="89" spans="2:34" ht="12.75">
      <c r="B89" s="12"/>
      <c r="C89" s="12"/>
      <c r="D89" s="1"/>
      <c r="F89" t="str">
        <f>IF(Texte!SprachIdx=1,G89,IF(Texte!SprachIdx=2,H89,IF(Texte!SprachIdx=3,I89,"")))</f>
        <v>Objekte &amp;sperren</v>
      </c>
      <c r="G89" t="s">
        <v>5681</v>
      </c>
      <c r="H89" s="1006" t="s">
        <v>5682</v>
      </c>
      <c r="I89" t="s">
        <v>10868</v>
      </c>
      <c r="W89" t="s">
        <v>998</v>
      </c>
      <c r="X89" s="2386">
        <v>598.20001220703125</v>
      </c>
      <c r="Y89" s="674">
        <v>662.4000244140625</v>
      </c>
      <c r="Z89" s="2386">
        <v>21.600000381469727</v>
      </c>
      <c r="AA89" s="2386">
        <v>18</v>
      </c>
      <c r="AD89" t="s">
        <v>988</v>
      </c>
      <c r="AE89" s="2352">
        <v>686.25</v>
      </c>
      <c r="AF89" s="2352">
        <v>1073.25</v>
      </c>
      <c r="AG89" s="2352">
        <v>24</v>
      </c>
      <c r="AH89" s="2352">
        <v>17.25</v>
      </c>
    </row>
    <row r="90" spans="2:34" ht="15.75">
      <c r="B90" s="13" t="s">
        <v>2209</v>
      </c>
      <c r="C90" s="14" t="s">
        <v>4502</v>
      </c>
      <c r="D90" s="1"/>
      <c r="F90">
        <f>IF(Texte!SprachIdx=1,G90,IF(Texte!SprachIdx=2,H90,IF(Texte!SprachIdx=3,I90,"")))</f>
        <v>0</v>
      </c>
      <c r="W90" t="s">
        <v>999</v>
      </c>
      <c r="X90" s="2386">
        <v>569.4000244140625</v>
      </c>
      <c r="Y90" s="674">
        <v>777</v>
      </c>
      <c r="Z90" s="2386">
        <v>21</v>
      </c>
      <c r="AA90" s="2386">
        <v>18</v>
      </c>
      <c r="AD90" t="s">
        <v>989</v>
      </c>
      <c r="AE90" s="2352">
        <v>686.25</v>
      </c>
      <c r="AF90" s="2352">
        <v>1089</v>
      </c>
      <c r="AG90" s="2352">
        <v>24</v>
      </c>
      <c r="AH90" s="2352">
        <v>17.25</v>
      </c>
    </row>
    <row r="91" spans="2:34" ht="12.75">
      <c r="B91" s="15" t="s">
        <v>2211</v>
      </c>
      <c r="C91" s="16" t="s">
        <v>2212</v>
      </c>
      <c r="D91" s="1"/>
      <c r="W91" t="s">
        <v>1000</v>
      </c>
      <c r="X91" s="2386">
        <v>569.4000244140625</v>
      </c>
      <c r="Y91" s="674">
        <v>792</v>
      </c>
      <c r="Z91" s="2386">
        <v>21</v>
      </c>
      <c r="AA91" s="2386">
        <v>18</v>
      </c>
      <c r="AD91" t="s">
        <v>990</v>
      </c>
      <c r="AE91" s="2352">
        <v>686.25</v>
      </c>
      <c r="AF91" s="2352">
        <v>1104.75</v>
      </c>
      <c r="AG91" s="2352">
        <v>24</v>
      </c>
      <c r="AH91" s="2352">
        <v>17.25</v>
      </c>
    </row>
    <row r="92" spans="2:34" ht="15.75">
      <c r="B92" s="17" t="b">
        <f>D_Tierb!AH9</f>
        <v>0</v>
      </c>
      <c r="C92" s="18" t="b">
        <v>0</v>
      </c>
      <c r="D92" s="1"/>
      <c r="F92" s="1004" t="s">
        <v>4077</v>
      </c>
      <c r="W92" t="s">
        <v>1001</v>
      </c>
      <c r="X92" s="2386">
        <v>598.79998779296875</v>
      </c>
      <c r="Y92" s="674">
        <v>888.5999755859375</v>
      </c>
      <c r="Z92" s="2386">
        <v>21</v>
      </c>
      <c r="AA92" s="2386">
        <v>18</v>
      </c>
      <c r="AD92" t="s">
        <v>374</v>
      </c>
      <c r="AE92" s="2352">
        <v>654</v>
      </c>
      <c r="AF92" s="2352">
        <v>396.75</v>
      </c>
      <c r="AG92" s="2352">
        <v>24</v>
      </c>
      <c r="AH92" s="2352">
        <v>17.25</v>
      </c>
    </row>
    <row r="93" spans="2:34" ht="12.75">
      <c r="B93" s="17" t="b">
        <f>D_Tierb!AH11</f>
        <v>0</v>
      </c>
      <c r="C93" s="18" t="b">
        <v>0</v>
      </c>
      <c r="D93" s="1"/>
      <c r="W93" t="s">
        <v>703</v>
      </c>
      <c r="X93" s="2386">
        <v>243.60000610351563</v>
      </c>
      <c r="Y93" s="674">
        <v>906.5999755859375</v>
      </c>
      <c r="Z93" s="2386">
        <v>21.600000381469727</v>
      </c>
      <c r="AA93" s="2386">
        <v>18</v>
      </c>
      <c r="AD93" t="s">
        <v>991</v>
      </c>
      <c r="AE93" s="2352">
        <v>654</v>
      </c>
      <c r="AF93" s="2352">
        <v>962.25</v>
      </c>
      <c r="AG93" s="2352">
        <v>24</v>
      </c>
      <c r="AH93" s="2352">
        <v>17.25</v>
      </c>
    </row>
    <row r="94" spans="2:34" ht="12.75">
      <c r="B94" s="17" t="str">
        <f>Kennz!B64</f>
        <v>RGVE-Besatz, DGVE-Belastung</v>
      </c>
      <c r="C94" s="18" t="str">
        <f>Texte!A476</f>
        <v>RGVE-Besatz</v>
      </c>
      <c r="D94" s="1"/>
      <c r="F94" t="str">
        <f>IF(Texte!SprachIdx=1,G94,IF(Texte!SprachIdx=2,H94,IF(Texte!SprachIdx=3,I94,"")))</f>
        <v>Die allgemeinen Betriebsdaten (Adresse, Produktionsart, Zoneneinteilung, Flächen, Tierbestand) müssen auf den Seiten 1 bis 3 eingegeben werden. Diese Daten sind die Grundlagen für alle Berechnungen auf den übrigen Seiten!</v>
      </c>
      <c r="G94" t="s">
        <v>3864</v>
      </c>
      <c r="H94" t="s">
        <v>5189</v>
      </c>
      <c r="I94" t="s">
        <v>10869</v>
      </c>
      <c r="W94" t="s">
        <v>3398</v>
      </c>
      <c r="X94" s="2386">
        <v>80.400001525878906</v>
      </c>
      <c r="Y94" s="674">
        <v>906.5999755859375</v>
      </c>
      <c r="Z94" s="2386">
        <v>160.80000305175781</v>
      </c>
      <c r="AA94" s="2386">
        <v>12</v>
      </c>
      <c r="AD94" t="s">
        <v>992</v>
      </c>
      <c r="AE94" s="2352">
        <v>654</v>
      </c>
      <c r="AF94" s="2352">
        <v>946.5</v>
      </c>
      <c r="AG94" s="2352">
        <v>24</v>
      </c>
      <c r="AH94" s="2352">
        <v>17.25</v>
      </c>
    </row>
    <row r="95" spans="2:34" ht="12.75">
      <c r="B95" s="17" t="str">
        <f>Kennz!F65</f>
        <v>DGVE total</v>
      </c>
      <c r="C95" s="18"/>
      <c r="D95" s="1"/>
      <c r="F95" t="str">
        <f>IF(Texte!SprachIdx=1,G95,IF(Texte!SprachIdx=2,H95,IF(Texte!SprachIdx=3,I95,"")))</f>
        <v>Technische Pläne</v>
      </c>
      <c r="G95" t="s">
        <v>5127</v>
      </c>
      <c r="H95" t="s">
        <v>576</v>
      </c>
      <c r="I95" t="s">
        <v>5528</v>
      </c>
      <c r="W95" t="s">
        <v>1002</v>
      </c>
      <c r="X95" s="2386">
        <v>569.4000244140625</v>
      </c>
      <c r="Y95" s="674">
        <v>1018.7999877929688</v>
      </c>
      <c r="Z95" s="2386">
        <v>21</v>
      </c>
      <c r="AA95" s="2386">
        <v>18</v>
      </c>
      <c r="AD95" t="s">
        <v>993</v>
      </c>
      <c r="AE95" s="2352">
        <v>686.25</v>
      </c>
      <c r="AF95" s="2352">
        <v>947.25</v>
      </c>
      <c r="AG95" s="2352">
        <v>24</v>
      </c>
      <c r="AH95" s="2352">
        <v>17.25</v>
      </c>
    </row>
    <row r="96" spans="2:34" ht="12.75">
      <c r="B96" s="17" t="str">
        <f>Kennz!G65</f>
        <v>DGVE pro ha LN</v>
      </c>
      <c r="C96" s="18"/>
      <c r="D96" s="1"/>
      <c r="F96" t="str">
        <f>IF(Texte!SprachIdx=1,G96,IF(Texte!SprachIdx=2,H96,IF(Texte!SprachIdx=3,I96,"")))</f>
        <v>Bitte diese Mappe unter einem neuen Namen abspeichern!</v>
      </c>
      <c r="G96" t="s">
        <v>5636</v>
      </c>
      <c r="H96" t="s">
        <v>3892</v>
      </c>
      <c r="I96" t="s">
        <v>10870</v>
      </c>
      <c r="W96" t="s">
        <v>1003</v>
      </c>
      <c r="X96" s="2386">
        <v>569.4000244140625</v>
      </c>
      <c r="Y96" s="674">
        <v>435.60000610351563</v>
      </c>
      <c r="Z96" s="2386">
        <v>21</v>
      </c>
      <c r="AA96" s="2386">
        <v>18</v>
      </c>
      <c r="AD96" t="s">
        <v>994</v>
      </c>
      <c r="AE96" s="2352">
        <v>654</v>
      </c>
      <c r="AF96" s="2352">
        <v>978</v>
      </c>
      <c r="AG96" s="2352">
        <v>24</v>
      </c>
      <c r="AH96" s="2352">
        <v>17.25</v>
      </c>
    </row>
    <row r="97" spans="2:34" ht="12.75">
      <c r="B97" s="17" t="str">
        <f>Kennz!I65</f>
        <v>DGVE pro ha DF</v>
      </c>
      <c r="C97" s="18"/>
      <c r="D97" s="1"/>
      <c r="F97" t="str">
        <f>IF(Texte!SprachIdx=1,G97,IF(Texte!SprachIdx=2,H97,IF(Texte!SprachIdx=3,I97,"")))</f>
        <v>Der neue Name darf keine Leerschläge oder Sonderzeichen (z.B. .,:/&amp; etc.) enthalten!</v>
      </c>
      <c r="G97" t="s">
        <v>6797</v>
      </c>
      <c r="H97" t="s">
        <v>809</v>
      </c>
      <c r="I97" t="s">
        <v>10871</v>
      </c>
      <c r="W97" t="s">
        <v>1004</v>
      </c>
      <c r="X97" s="2386">
        <v>598.20001220703125</v>
      </c>
      <c r="Y97" s="674">
        <v>435.60000610351563</v>
      </c>
      <c r="Z97" s="2386">
        <v>21.600000381469727</v>
      </c>
      <c r="AA97" s="2386">
        <v>18</v>
      </c>
      <c r="AD97" t="s">
        <v>995</v>
      </c>
      <c r="AE97" s="2352">
        <v>686.25</v>
      </c>
      <c r="AF97" s="2352">
        <v>978.75</v>
      </c>
      <c r="AG97" s="2352">
        <v>24</v>
      </c>
      <c r="AH97" s="2352">
        <v>17.25</v>
      </c>
    </row>
    <row r="98" spans="2:34" ht="12.75">
      <c r="B98" s="17">
        <f>Kennz!F66</f>
        <v>58.32295238095238</v>
      </c>
      <c r="C98" s="18"/>
      <c r="D98" s="1"/>
      <c r="F98" t="str">
        <f>IF(Texte!SprachIdx=1,G98,IF(Texte!SprachIdx=2,H98,IF(Texte!SprachIdx=3,I98,"")))</f>
        <v>In Excel können nicht mehrere Mappen gleichen Namens geöffnet werden. Eine Mappe mit diesem Namen ist bereits geöffnet!</v>
      </c>
      <c r="G98" t="s">
        <v>5505</v>
      </c>
      <c r="H98" t="s">
        <v>810</v>
      </c>
      <c r="I98" t="s">
        <v>10872</v>
      </c>
      <c r="W98" t="s">
        <v>1005</v>
      </c>
      <c r="X98" s="2386">
        <v>598.79998779296875</v>
      </c>
      <c r="Y98" s="674">
        <v>468</v>
      </c>
      <c r="Z98" s="2386">
        <v>21</v>
      </c>
      <c r="AA98" s="2386">
        <v>18</v>
      </c>
      <c r="AD98" t="s">
        <v>996</v>
      </c>
      <c r="AE98" s="2352">
        <v>654</v>
      </c>
      <c r="AF98" s="2352">
        <v>648.75</v>
      </c>
      <c r="AG98" s="2352">
        <v>24</v>
      </c>
      <c r="AH98" s="2352">
        <v>17.25</v>
      </c>
    </row>
    <row r="99" spans="2:34" ht="12.75">
      <c r="B99" s="927">
        <f>Kennz!G66</f>
        <v>0.42445215825727517</v>
      </c>
      <c r="C99" s="18"/>
      <c r="D99" s="1"/>
      <c r="F99" t="str">
        <f>IF(Texte!SprachIdx=1,G99,IF(Texte!SprachIdx=2,H99,IF(Texte!SprachIdx=3,I99,"")))</f>
        <v>konnte nicht geladen werden</v>
      </c>
      <c r="G99" t="s">
        <v>5506</v>
      </c>
      <c r="H99" t="s">
        <v>5036</v>
      </c>
      <c r="I99" t="s">
        <v>10873</v>
      </c>
      <c r="W99" t="s">
        <v>1008</v>
      </c>
      <c r="X99" s="2386">
        <v>598.79998779296875</v>
      </c>
      <c r="Y99" s="674">
        <v>517.79998779296875</v>
      </c>
      <c r="Z99" s="2386">
        <v>21</v>
      </c>
      <c r="AA99" s="2386">
        <v>18</v>
      </c>
      <c r="AD99" t="s">
        <v>997</v>
      </c>
      <c r="AE99" s="2352">
        <v>654</v>
      </c>
      <c r="AF99" s="2352">
        <v>679.5</v>
      </c>
      <c r="AG99" s="2352">
        <v>24</v>
      </c>
      <c r="AH99" s="2352">
        <v>17.25</v>
      </c>
    </row>
    <row r="100" spans="2:34" ht="12.75">
      <c r="B100" s="927">
        <f>Kennz!I66</f>
        <v>0.49812148339894646</v>
      </c>
      <c r="C100" s="18"/>
      <c r="D100" s="1"/>
      <c r="F100" t="str">
        <f>IF(Texte!SprachIdx=1,G100,IF(Texte!SprachIdx=2,H100,IF(Texte!SprachIdx=3,I100,"")))</f>
        <v>Die Daten aus dieser Datei können nicht importiert werden; dies kann folgende Ursachen haben:</v>
      </c>
      <c r="G100" t="s">
        <v>5326</v>
      </c>
      <c r="H100" s="1006" t="s">
        <v>4335</v>
      </c>
      <c r="I100" t="s">
        <v>10874</v>
      </c>
      <c r="W100" t="s">
        <v>1009</v>
      </c>
      <c r="X100" s="2386">
        <v>598.79998779296875</v>
      </c>
      <c r="Y100" s="674">
        <v>871.79998779296875</v>
      </c>
      <c r="Z100" s="2386">
        <v>21</v>
      </c>
      <c r="AA100" s="2386">
        <v>17.399999618530273</v>
      </c>
      <c r="AD100" t="s">
        <v>998</v>
      </c>
      <c r="AE100" s="2352">
        <v>686.25</v>
      </c>
      <c r="AF100" s="2352">
        <v>679.5</v>
      </c>
      <c r="AG100" s="2352">
        <v>24</v>
      </c>
      <c r="AH100" s="2352">
        <v>17.25</v>
      </c>
    </row>
    <row r="101" spans="2:34" ht="12.75">
      <c r="B101" s="17">
        <f>D_Tierb!AL8</f>
        <v>0</v>
      </c>
      <c r="C101" s="18"/>
      <c r="D101" s="1"/>
      <c r="F101" t="str">
        <f>IF(Texte!SprachIdx=1,G101,IF(Texte!SprachIdx=2,H101,IF(Texte!SprachIdx=3,I101,"")))</f>
        <v>es handelt sich nicht um eine Betvor-Datei oder um eine Version älter als 8.2</v>
      </c>
      <c r="G101" t="s">
        <v>4381</v>
      </c>
      <c r="H101" s="1006" t="s">
        <v>7152</v>
      </c>
      <c r="I101" t="s">
        <v>10875</v>
      </c>
      <c r="W101" t="s">
        <v>7853</v>
      </c>
      <c r="X101" s="2386">
        <v>569.4000244140625</v>
      </c>
      <c r="Y101" s="674">
        <v>321.60000610351563</v>
      </c>
      <c r="Z101" s="2386">
        <v>21</v>
      </c>
      <c r="AA101" s="2386">
        <v>18</v>
      </c>
      <c r="AD101" t="s">
        <v>999</v>
      </c>
      <c r="AE101" s="2352">
        <v>654</v>
      </c>
      <c r="AF101" s="2352">
        <v>759</v>
      </c>
      <c r="AG101" s="2352">
        <v>24</v>
      </c>
      <c r="AH101" s="2352">
        <v>17.25</v>
      </c>
    </row>
    <row r="102" spans="2:34" ht="12.75">
      <c r="B102" s="927" t="e">
        <f>#REF!</f>
        <v>#REF!</v>
      </c>
      <c r="C102" s="18" t="s">
        <v>4503</v>
      </c>
      <c r="D102" s="1"/>
      <c r="F102" t="str">
        <f>IF(Texte!SprachIdx=1,G102,IF(Texte!SprachIdx=2,H102,IF(Texte!SprachIdx=3,I102,"")))</f>
        <v>oder der Dateiname ist zu lang (&gt; 6 Zeichen) und/oder enthält Sonderzeichen (z.B. Leerschläge)</v>
      </c>
      <c r="G102" t="s">
        <v>3579</v>
      </c>
      <c r="H102" s="1006" t="s">
        <v>5282</v>
      </c>
      <c r="I102" t="s">
        <v>10876</v>
      </c>
      <c r="W102" t="s">
        <v>7854</v>
      </c>
      <c r="X102" s="2386">
        <v>598.79998779296875</v>
      </c>
      <c r="Y102" s="674">
        <v>321.60000610351563</v>
      </c>
      <c r="Z102" s="2386">
        <v>21</v>
      </c>
      <c r="AA102" s="2386">
        <v>18</v>
      </c>
      <c r="AD102" t="s">
        <v>1000</v>
      </c>
      <c r="AE102" s="2352">
        <v>654</v>
      </c>
      <c r="AF102" s="2352">
        <v>774</v>
      </c>
      <c r="AG102" s="2352">
        <v>24</v>
      </c>
      <c r="AH102" s="2352">
        <v>17.25</v>
      </c>
    </row>
    <row r="103" spans="2:34" ht="12.75">
      <c r="B103" s="927" t="e">
        <f>#REF!</f>
        <v>#REF!</v>
      </c>
      <c r="C103" s="18" t="s">
        <v>4503</v>
      </c>
      <c r="D103" s="1"/>
      <c r="F103" t="str">
        <f>IF(Texte!SprachIdx=1,G103,IF(Texte!SprachIdx=2,H103,IF(Texte!SprachIdx=3,I103,"")))</f>
        <v>Sollen die Werte aus dieser Arbeitsmappe übernommen werden?</v>
      </c>
      <c r="G103" t="s">
        <v>5327</v>
      </c>
      <c r="H103" t="s">
        <v>3616</v>
      </c>
      <c r="I103" t="s">
        <v>10877</v>
      </c>
      <c r="W103" t="s">
        <v>1012</v>
      </c>
      <c r="X103" s="2386">
        <v>569.4000244140625</v>
      </c>
      <c r="Y103" s="674">
        <v>355.79998779296875</v>
      </c>
      <c r="Z103" s="2386">
        <v>21</v>
      </c>
      <c r="AA103" s="2386">
        <v>18</v>
      </c>
      <c r="AD103" t="s">
        <v>1001</v>
      </c>
      <c r="AE103" s="2352">
        <v>686.25</v>
      </c>
      <c r="AF103" s="2352">
        <v>867.75</v>
      </c>
      <c r="AG103" s="2352">
        <v>24</v>
      </c>
      <c r="AH103" s="2352">
        <v>17.25</v>
      </c>
    </row>
    <row r="104" spans="2:34" ht="12.75">
      <c r="B104" s="17" t="e">
        <f>#REF!</f>
        <v>#REF!</v>
      </c>
      <c r="C104" s="18" t="s">
        <v>4503</v>
      </c>
      <c r="D104" s="1"/>
      <c r="F104" t="str">
        <f>IF(Texte!SprachIdx=1,G104,IF(Texte!SprachIdx=2,H104,IF(Texte!SprachIdx=3,I104,"")))</f>
        <v>Bitte die Datei, von der die Daten übernommen werden sollen, zuerst wählen!</v>
      </c>
      <c r="G104" t="s">
        <v>2709</v>
      </c>
      <c r="H104" t="s">
        <v>1822</v>
      </c>
      <c r="I104" t="s">
        <v>10878</v>
      </c>
      <c r="W104" t="s">
        <v>1013</v>
      </c>
      <c r="X104" s="2386">
        <v>598.79998779296875</v>
      </c>
      <c r="Y104" s="674">
        <v>355.79998779296875</v>
      </c>
      <c r="Z104" s="2386">
        <v>21</v>
      </c>
      <c r="AA104" s="2386">
        <v>18</v>
      </c>
      <c r="AD104" t="s">
        <v>703</v>
      </c>
      <c r="AE104" s="2352">
        <v>300</v>
      </c>
      <c r="AF104" s="2352">
        <v>884.25</v>
      </c>
      <c r="AG104" s="2352">
        <v>24</v>
      </c>
      <c r="AH104" s="2352">
        <v>17.25</v>
      </c>
    </row>
    <row r="105" spans="2:34" ht="12.75">
      <c r="B105" s="885" t="e">
        <f>#REF!</f>
        <v>#REF!</v>
      </c>
      <c r="C105" s="18" t="s">
        <v>4503</v>
      </c>
      <c r="D105" s="1"/>
      <c r="F105" t="str">
        <f>IF(Texte!SprachIdx=1,G105,IF(Texte!SprachIdx=2,H105,IF(Texte!SprachIdx=3,I105,"")))</f>
        <v>Es sind bereits mehrere Betvor-Dateien geöffnet. Schliessen Sie zuerst alle anderen Dateien und führen Sie die Aktion nochmals durch!</v>
      </c>
      <c r="G105" t="s">
        <v>3471</v>
      </c>
      <c r="H105" t="s">
        <v>5544</v>
      </c>
      <c r="I105" t="s">
        <v>10879</v>
      </c>
      <c r="W105" t="s">
        <v>1014</v>
      </c>
      <c r="X105" s="2386">
        <v>569.4000244140625</v>
      </c>
      <c r="Y105" s="674">
        <v>355.79998779296875</v>
      </c>
      <c r="Z105" s="2386">
        <v>21</v>
      </c>
      <c r="AA105" s="2386">
        <v>18</v>
      </c>
      <c r="AD105" t="s">
        <v>3398</v>
      </c>
      <c r="AE105" s="2352">
        <v>108.75</v>
      </c>
      <c r="AF105" s="2352">
        <v>885</v>
      </c>
      <c r="AG105" s="2352">
        <v>177</v>
      </c>
      <c r="AH105" s="2352">
        <v>12</v>
      </c>
    </row>
    <row r="106" spans="2:34" ht="12.75">
      <c r="B106" s="17" t="e">
        <f>#REF!</f>
        <v>#REF!</v>
      </c>
      <c r="C106" s="18" t="s">
        <v>4503</v>
      </c>
      <c r="D106" s="1"/>
      <c r="F106" t="str">
        <f>IF(Texte!SprachIdx=1,G106,IF(Texte!SprachIdx=2,H106,IF(Texte!SprachIdx=3,I106,"")))</f>
        <v>Für das gewählte Erntejahr stehen diese Kategorien nicht zur Verfügung!</v>
      </c>
      <c r="G106" t="s">
        <v>4385</v>
      </c>
      <c r="H106" s="1006" t="s">
        <v>4562</v>
      </c>
      <c r="I106" t="s">
        <v>10880</v>
      </c>
      <c r="W106" t="s">
        <v>1015</v>
      </c>
      <c r="X106" s="2386">
        <v>598.79998779296875</v>
      </c>
      <c r="Y106" s="674">
        <v>355.79998779296875</v>
      </c>
      <c r="Z106" s="2386">
        <v>21</v>
      </c>
      <c r="AA106" s="2386">
        <v>18</v>
      </c>
      <c r="AD106" t="s">
        <v>1002</v>
      </c>
      <c r="AE106" s="2352">
        <v>654</v>
      </c>
      <c r="AF106" s="2352">
        <v>994.5</v>
      </c>
      <c r="AG106" s="2352">
        <v>24</v>
      </c>
      <c r="AH106" s="2352">
        <v>17.25</v>
      </c>
    </row>
    <row r="107" spans="2:34" ht="12.75">
      <c r="B107" s="928" t="e">
        <f>#REF!</f>
        <v>#REF!</v>
      </c>
      <c r="C107" s="640" t="s">
        <v>4503</v>
      </c>
      <c r="D107" s="1"/>
      <c r="F107" t="str">
        <f>IF(Texte!SprachIdx=1,G107,IF(Texte!SprachIdx=2,H107,IF(Texte!SprachIdx=3,I107,"")))</f>
        <v>Passwort ungültig</v>
      </c>
      <c r="G107" t="s">
        <v>3477</v>
      </c>
      <c r="H107" t="s">
        <v>741</v>
      </c>
      <c r="I107" t="s">
        <v>10881</v>
      </c>
      <c r="W107" t="s">
        <v>4512</v>
      </c>
      <c r="X107" s="2386">
        <v>373.20001220703125</v>
      </c>
      <c r="Y107" s="674">
        <v>4.8000001907348633</v>
      </c>
      <c r="Z107" s="2386">
        <v>131.39999389648438</v>
      </c>
      <c r="AA107" s="2386">
        <v>43.799999237060547</v>
      </c>
      <c r="AD107" t="s">
        <v>1003</v>
      </c>
      <c r="AE107" s="2352">
        <v>654</v>
      </c>
      <c r="AF107" s="2352">
        <v>490.5</v>
      </c>
      <c r="AG107" s="2352">
        <v>24</v>
      </c>
      <c r="AH107" s="2352">
        <v>17.25</v>
      </c>
    </row>
    <row r="108" spans="2:34" ht="12.75">
      <c r="B108" s="565"/>
      <c r="C108" s="2"/>
      <c r="D108" s="1"/>
      <c r="F108" t="str">
        <f>IF(Texte!SprachIdx=1,G108,IF(Texte!SprachIdx=2,H108,IF(Texte!SprachIdx=3,I108,"")))</f>
        <v>Dieses Makro darf nur aus dem Betriebsvoranschlag heraus ausgeführt werden!</v>
      </c>
      <c r="G108" t="s">
        <v>12194</v>
      </c>
      <c r="H108" t="s">
        <v>3963</v>
      </c>
      <c r="I108" t="s">
        <v>10882</v>
      </c>
      <c r="W108" t="s">
        <v>1016</v>
      </c>
      <c r="X108" s="2386">
        <v>569.4000244140625</v>
      </c>
      <c r="Y108" s="674">
        <v>547.79998779296875</v>
      </c>
      <c r="Z108" s="2386">
        <v>21</v>
      </c>
      <c r="AA108" s="2386">
        <v>17.399999618530273</v>
      </c>
      <c r="AD108" t="s">
        <v>1004</v>
      </c>
      <c r="AE108" s="2352">
        <v>686.25</v>
      </c>
      <c r="AF108" s="2352">
        <v>490.5</v>
      </c>
      <c r="AG108" s="2352">
        <v>24</v>
      </c>
      <c r="AH108" s="2352">
        <v>17.25</v>
      </c>
    </row>
    <row r="109" spans="2:34" ht="15.75">
      <c r="B109" s="13" t="s">
        <v>2209</v>
      </c>
      <c r="C109" s="14" t="s">
        <v>6598</v>
      </c>
      <c r="D109" s="1"/>
      <c r="F109" t="str">
        <f>IF(Texte!SprachIdx=1,G109,IF(Texte!SprachIdx=2,H109,IF(Texte!SprachIdx=3,I109,"")))</f>
        <v>Diese Aktion löscht alle im 'Nachweis' nicht benötigten Tabellenblätter endgültig. Dabei darf die Arbeitsmappe noch keine Eingaben enthalten!</v>
      </c>
      <c r="G109" t="s">
        <v>1782</v>
      </c>
      <c r="H109" t="s">
        <v>1759</v>
      </c>
      <c r="I109" t="s">
        <v>10883</v>
      </c>
      <c r="W109" t="s">
        <v>1017</v>
      </c>
      <c r="X109" s="2386">
        <v>569.4000244140625</v>
      </c>
      <c r="Y109" s="674">
        <v>1035</v>
      </c>
      <c r="Z109" s="2386">
        <v>21</v>
      </c>
      <c r="AA109" s="2386">
        <v>18</v>
      </c>
      <c r="AD109" t="s">
        <v>5302</v>
      </c>
      <c r="AE109" s="2352">
        <v>43.5</v>
      </c>
      <c r="AF109" s="2352">
        <v>447</v>
      </c>
      <c r="AG109" s="2352">
        <v>269.25</v>
      </c>
      <c r="AH109" s="2352">
        <v>28.5</v>
      </c>
    </row>
    <row r="110" spans="2:34" ht="12.75">
      <c r="B110" s="15" t="s">
        <v>2211</v>
      </c>
      <c r="C110" s="16" t="s">
        <v>2212</v>
      </c>
      <c r="D110" s="1"/>
      <c r="F110" t="str">
        <f>IF(Texte!SprachIdx=1,G110,IF(Texte!SprachIdx=2,H110,IF(Texte!SprachIdx=3,I110,"")))</f>
        <v>Diese Aktion löscht alle im 'BetVor light' nicht benötigten Tabellenblätter endgültig. Dabei darf die Arbeitsmappe noch keine Eingaben enthalten!</v>
      </c>
      <c r="G110" t="s">
        <v>1779</v>
      </c>
      <c r="H110" t="s">
        <v>157</v>
      </c>
      <c r="I110" t="s">
        <v>10884</v>
      </c>
      <c r="W110" t="s">
        <v>1018</v>
      </c>
      <c r="X110" s="2386">
        <v>598.79998779296875</v>
      </c>
      <c r="Y110" s="674">
        <v>1035</v>
      </c>
      <c r="Z110" s="2386">
        <v>21</v>
      </c>
      <c r="AA110" s="2386">
        <v>18</v>
      </c>
      <c r="AD110" t="s">
        <v>3399</v>
      </c>
      <c r="AE110" s="2352">
        <v>335.25</v>
      </c>
      <c r="AF110" s="2352">
        <v>447</v>
      </c>
      <c r="AG110" s="2352">
        <v>269.25</v>
      </c>
      <c r="AH110" s="2352">
        <v>28.5</v>
      </c>
    </row>
    <row r="111" spans="2:34" ht="12.75">
      <c r="B111" s="17" t="b">
        <f>D_Tierb!AH9</f>
        <v>0</v>
      </c>
      <c r="C111" s="18" t="b">
        <v>0</v>
      </c>
      <c r="D111" s="1"/>
      <c r="F111" t="str">
        <f>IF(Texte!SprachIdx=1,G111,IF(Texte!SprachIdx=2,H111,IF(Texte!SprachIdx=3,I111,"")))</f>
        <v>Diese Aktion löscht alle in 'Dirzahl' nicht benötigten Tabellenblätter endgültig. Dabei darf die Arbeitsmappe noch keine Eingaben enthalten!</v>
      </c>
      <c r="G111" t="s">
        <v>5672</v>
      </c>
      <c r="H111" t="s">
        <v>644</v>
      </c>
      <c r="I111" t="s">
        <v>10885</v>
      </c>
      <c r="W111" t="s">
        <v>1019</v>
      </c>
      <c r="X111" s="2386">
        <v>598.79998779296875</v>
      </c>
      <c r="Y111" s="674">
        <v>1018.7999877929688</v>
      </c>
      <c r="Z111" s="2386">
        <v>21</v>
      </c>
      <c r="AA111" s="2386">
        <v>18</v>
      </c>
      <c r="AD111" t="s">
        <v>1005</v>
      </c>
      <c r="AE111" s="2352">
        <v>686.25</v>
      </c>
      <c r="AF111" s="2352">
        <v>522</v>
      </c>
      <c r="AG111" s="2352">
        <v>24</v>
      </c>
      <c r="AH111" s="2352">
        <v>17.25</v>
      </c>
    </row>
    <row r="112" spans="2:34" ht="12.75">
      <c r="B112" s="17" t="b">
        <f>D_Tierb!AH11</f>
        <v>0</v>
      </c>
      <c r="C112" s="18" t="b">
        <v>0</v>
      </c>
      <c r="D112" s="1"/>
      <c r="F112" t="str">
        <f>IF(Texte!SprachIdx=1,G112,IF(Texte!SprachIdx=2,H112,IF(Texte!SprachIdx=3,I112,"")))</f>
        <v xml:space="preserve">fertiggestellt am </v>
      </c>
      <c r="G112" t="s">
        <v>3058</v>
      </c>
      <c r="H112" t="s">
        <v>645</v>
      </c>
      <c r="I112" t="s">
        <v>10886</v>
      </c>
      <c r="W112" t="s">
        <v>2784</v>
      </c>
      <c r="X112" s="2386">
        <v>569.4000244140625</v>
      </c>
      <c r="Y112" s="674">
        <v>175.80000305175781</v>
      </c>
      <c r="Z112" s="2386">
        <v>21</v>
      </c>
      <c r="AA112" s="2386">
        <v>18</v>
      </c>
      <c r="AD112" t="s">
        <v>1006</v>
      </c>
      <c r="AE112" s="2352">
        <v>686.25</v>
      </c>
      <c r="AF112" s="2352">
        <v>459.75</v>
      </c>
      <c r="AG112" s="2352">
        <v>24</v>
      </c>
      <c r="AH112" s="2352">
        <v>17.25</v>
      </c>
    </row>
    <row r="113" spans="2:34" ht="12.75">
      <c r="B113" s="17">
        <f>GMF!KraftfutterMiKu</f>
        <v>8.0625</v>
      </c>
      <c r="C113" s="18">
        <f>D_Klick!StartCon</f>
        <v>8.0625</v>
      </c>
      <c r="D113" s="1"/>
      <c r="F113" t="str">
        <f>IF(Texte!SprachIdx=1,G113,IF(Texte!SprachIdx=2,H113,IF(Texte!SprachIdx=3,I113,"")))</f>
        <v>Bitte das Erntejahr, von dem die Daten übernommen werden sollen, zuerst öffnen!</v>
      </c>
      <c r="G113" t="s">
        <v>3591</v>
      </c>
      <c r="H113" t="s">
        <v>6977</v>
      </c>
      <c r="I113" t="s">
        <v>10887</v>
      </c>
      <c r="W113" t="s">
        <v>1020</v>
      </c>
      <c r="X113" s="2386">
        <v>569.4000244140625</v>
      </c>
      <c r="Y113" s="674">
        <v>208.80000305175781</v>
      </c>
      <c r="Z113" s="2386">
        <v>21</v>
      </c>
      <c r="AA113" s="2386">
        <v>18</v>
      </c>
      <c r="AD113" t="s">
        <v>1008</v>
      </c>
      <c r="AE113" s="2352">
        <v>686.25</v>
      </c>
      <c r="AF113" s="2352">
        <v>570</v>
      </c>
      <c r="AG113" s="2352">
        <v>24</v>
      </c>
      <c r="AH113" s="2352">
        <v>17.25</v>
      </c>
    </row>
    <row r="114" spans="2:34" ht="12.75">
      <c r="B114" s="17">
        <f>GMF!RiMaTZW</f>
        <v>0</v>
      </c>
      <c r="C114" s="18"/>
      <c r="D114" s="1"/>
      <c r="F114" t="str">
        <f>IF(Texte!SprachIdx=1,G114,IF(Texte!SprachIdx=2,H114,IF(Texte!SprachIdx=3,I114,"")))</f>
        <v>Bei der Übernahme von Daten aus Ernte-Mappen von Feldbuch,</v>
      </c>
      <c r="G114" t="s">
        <v>2215</v>
      </c>
      <c r="H114" t="s">
        <v>6978</v>
      </c>
      <c r="I114" s="534" t="s">
        <v>10888</v>
      </c>
      <c r="W114" t="s">
        <v>1021</v>
      </c>
      <c r="X114" s="2386">
        <v>598.79998779296875</v>
      </c>
      <c r="Y114" s="674">
        <v>208.80000305175781</v>
      </c>
      <c r="Z114" s="2386">
        <v>21</v>
      </c>
      <c r="AA114" s="2386">
        <v>18</v>
      </c>
      <c r="AD114" t="s">
        <v>1009</v>
      </c>
      <c r="AE114" s="2352">
        <v>686.25</v>
      </c>
      <c r="AF114" s="2352">
        <v>851.25</v>
      </c>
      <c r="AG114" s="2352">
        <v>24</v>
      </c>
      <c r="AH114" s="2352">
        <v>17.25</v>
      </c>
    </row>
    <row r="115" spans="2:34" ht="12.75">
      <c r="B115" s="17">
        <f>GMF!RiMaALG</f>
        <v>0</v>
      </c>
      <c r="C115" s="18"/>
      <c r="D115" s="1"/>
      <c r="F115" t="str">
        <f>IF(Texte!SprachIdx=1,G115,IF(Texte!SprachIdx=2,H115,IF(Texte!SprachIdx=3,I115,"")))</f>
        <v>darf nur genau die Ernte-Mappe geöffnet sein, von der die Daten übernommen werden sollen</v>
      </c>
      <c r="G115" t="s">
        <v>5520</v>
      </c>
      <c r="H115" t="s">
        <v>3052</v>
      </c>
      <c r="I115" s="534" t="s">
        <v>10889</v>
      </c>
      <c r="W115" t="s">
        <v>7760</v>
      </c>
      <c r="X115" s="2386">
        <v>569.4000244140625</v>
      </c>
      <c r="Y115" s="674">
        <v>1149.5999755859375</v>
      </c>
      <c r="Z115" s="2386">
        <v>21</v>
      </c>
      <c r="AA115" s="2386">
        <v>18</v>
      </c>
      <c r="AD115" t="s">
        <v>7853</v>
      </c>
      <c r="AE115" s="2352">
        <v>654</v>
      </c>
      <c r="AF115" s="2352">
        <v>316.5</v>
      </c>
      <c r="AG115" s="2352">
        <v>24</v>
      </c>
      <c r="AH115" s="2352">
        <v>17.25</v>
      </c>
    </row>
    <row r="116" spans="2:34" ht="12.75">
      <c r="B116" s="17">
        <f>D_Tierb!AH23</f>
        <v>0</v>
      </c>
      <c r="C116" s="18"/>
      <c r="D116" s="1"/>
      <c r="F116" t="str">
        <f>IF(Texte!SprachIdx=1,G116,IF(Texte!SprachIdx=2,H116,IF(Texte!SprachIdx=3,I116,"")))</f>
        <v>Der Übertrag wird mit Ihrer Feldbuch-Version nicht mehr unterstützt! Aktualisieren Sie Feldbuch! Auskunft erhalten Sie bei der Agridea.</v>
      </c>
      <c r="G116" t="s">
        <v>3053</v>
      </c>
      <c r="H116" s="1006" t="s">
        <v>3054</v>
      </c>
      <c r="I116" s="534" t="s">
        <v>10890</v>
      </c>
      <c r="W116" t="s">
        <v>7761</v>
      </c>
      <c r="X116" s="2386">
        <v>569.4000244140625</v>
      </c>
      <c r="Y116" s="674">
        <v>1164.5999755859375</v>
      </c>
      <c r="Z116" s="2386">
        <v>21</v>
      </c>
      <c r="AA116" s="2386">
        <v>18</v>
      </c>
      <c r="AD116" t="s">
        <v>7854</v>
      </c>
      <c r="AE116" s="2352">
        <v>686.25</v>
      </c>
      <c r="AF116" s="2352">
        <v>316.5</v>
      </c>
      <c r="AG116" s="2352">
        <v>24</v>
      </c>
      <c r="AH116" s="2352">
        <v>17.25</v>
      </c>
    </row>
    <row r="117" spans="2:34" ht="12.75">
      <c r="B117" s="17">
        <f>D_Tierb!AI24</f>
        <v>0</v>
      </c>
      <c r="C117" s="18"/>
      <c r="D117" s="1"/>
      <c r="F117" t="str">
        <f>IF(Texte!SprachIdx=1,G117,IF(Texte!SprachIdx=2,H117,IF(Texte!SprachIdx=3,I117,"")))</f>
        <v>Die zu übertragenden benannten Bereiche entsprechen sich nicht</v>
      </c>
      <c r="G117" t="s">
        <v>5545</v>
      </c>
      <c r="H117" t="s">
        <v>1665</v>
      </c>
      <c r="I117" s="534" t="s">
        <v>10891</v>
      </c>
      <c r="W117" t="s">
        <v>7762</v>
      </c>
      <c r="X117" s="2386">
        <v>599.4000244140625</v>
      </c>
      <c r="Y117" s="674">
        <v>1148.4000244140625</v>
      </c>
      <c r="Z117" s="2386">
        <v>21</v>
      </c>
      <c r="AA117" s="2386">
        <v>18</v>
      </c>
      <c r="AD117" t="s">
        <v>1012</v>
      </c>
      <c r="AE117" s="2352">
        <v>654</v>
      </c>
      <c r="AF117" s="2352">
        <v>363.75</v>
      </c>
      <c r="AG117" s="2352">
        <v>24</v>
      </c>
      <c r="AH117" s="2352">
        <v>17.25</v>
      </c>
    </row>
    <row r="118" spans="2:34" ht="12.75">
      <c r="B118" s="17">
        <f>D_Tierb!AI25</f>
        <v>0</v>
      </c>
      <c r="C118" s="18"/>
      <c r="D118" s="1"/>
      <c r="F118" t="str">
        <f>IF(Texte!SprachIdx=1,G118,IF(Texte!SprachIdx=2,H118,IF(Texte!SprachIdx=3,I118,"")))</f>
        <v>Ihre Feldbuch-Version ist älter als 7.4, allfällige Saatgutproduktion im Futterbau wurde zu den intensiven Kunstwiesen gezählt und muss manuell in die richtigen Kategorien eingetragen werden!</v>
      </c>
      <c r="G118" t="s">
        <v>7549</v>
      </c>
      <c r="H118" t="s">
        <v>284</v>
      </c>
      <c r="I118" s="534" t="s">
        <v>10892</v>
      </c>
      <c r="W118" t="s">
        <v>7763</v>
      </c>
      <c r="X118" s="2386">
        <v>598.79998779296875</v>
      </c>
      <c r="Y118" s="674">
        <v>1164</v>
      </c>
      <c r="Z118" s="2386">
        <v>21</v>
      </c>
      <c r="AA118" s="2386">
        <v>18</v>
      </c>
      <c r="AD118" t="s">
        <v>1013</v>
      </c>
      <c r="AE118" s="2352">
        <v>686.25</v>
      </c>
      <c r="AF118" s="2352">
        <v>364.5</v>
      </c>
      <c r="AG118" s="2352">
        <v>24</v>
      </c>
      <c r="AH118" s="2352">
        <v>17.25</v>
      </c>
    </row>
    <row r="119" spans="2:34" ht="12.75">
      <c r="B119" s="17">
        <f>D_Tierb!AI26</f>
        <v>0</v>
      </c>
      <c r="C119" s="18"/>
      <c r="D119" s="1"/>
      <c r="F119" t="str">
        <f>IF(Texte!SprachIdx=1,G119,IF(Texte!SprachIdx=2,H119,IF(Texte!SprachIdx=3,I119,"")))</f>
        <v>Ihre Daten wurden bestmöglich übertragen.</v>
      </c>
      <c r="G119" t="s">
        <v>8405</v>
      </c>
      <c r="H119" s="534" t="s">
        <v>5954</v>
      </c>
      <c r="I119" s="534" t="s">
        <v>10893</v>
      </c>
      <c r="W119" t="s">
        <v>948</v>
      </c>
      <c r="X119" s="2386">
        <v>569.4000244140625</v>
      </c>
      <c r="Y119" s="674">
        <v>306</v>
      </c>
      <c r="Z119" s="2386">
        <v>21</v>
      </c>
      <c r="AA119" s="2386">
        <v>18</v>
      </c>
      <c r="AD119" t="s">
        <v>1014</v>
      </c>
      <c r="AE119" s="2352">
        <v>654</v>
      </c>
      <c r="AF119" s="2352">
        <v>380.25</v>
      </c>
      <c r="AG119" s="2352">
        <v>24</v>
      </c>
      <c r="AH119" s="2352">
        <v>17.25</v>
      </c>
    </row>
    <row r="120" spans="2:34" ht="12.75">
      <c r="B120" s="885">
        <f>D_Tierb!AL8</f>
        <v>0</v>
      </c>
      <c r="C120" s="18"/>
      <c r="D120" s="1"/>
      <c r="F120" t="str">
        <f>IF(Texte!SprachIdx=1,G120,IF(Texte!SprachIdx=2,H120,IF(Texte!SprachIdx=3,I120,"")))</f>
        <v>Da im Feldbuch nicht alle Flächenarten identisch erfasst werden, kontrollieren Sie bitte die Einträge im Tabellenblatt Fläche.</v>
      </c>
      <c r="G120" t="s">
        <v>5953</v>
      </c>
      <c r="H120" t="s">
        <v>6733</v>
      </c>
      <c r="I120" s="534" t="s">
        <v>10894</v>
      </c>
      <c r="W120" t="s">
        <v>1007</v>
      </c>
      <c r="X120" s="2386">
        <v>598.79998779296875</v>
      </c>
      <c r="Y120" s="674">
        <v>306</v>
      </c>
      <c r="Z120" s="2386">
        <v>21</v>
      </c>
      <c r="AA120" s="2386">
        <v>18</v>
      </c>
      <c r="AD120" t="s">
        <v>1015</v>
      </c>
      <c r="AE120" s="2352">
        <v>686.25</v>
      </c>
      <c r="AF120" s="2352">
        <v>380.25</v>
      </c>
      <c r="AG120" s="2352">
        <v>24</v>
      </c>
      <c r="AH120" s="2352">
        <v>17.25</v>
      </c>
    </row>
    <row r="121" spans="2:34" ht="12.75">
      <c r="B121" s="17">
        <f>D_Klick!C179</f>
        <v>0</v>
      </c>
      <c r="C121" s="18">
        <v>0</v>
      </c>
      <c r="D121" s="1"/>
      <c r="F121" t="str">
        <f>IF(Texte!SprachIdx=1,G121,IF(Texte!SprachIdx=2,H121,IF(Texte!SprachIdx=3,I121,"")))</f>
        <v>Flächen und Erträge der Kulturen müssen auf Seite 2</v>
      </c>
      <c r="G121" t="s">
        <v>3755</v>
      </c>
      <c r="H121" t="s">
        <v>4337</v>
      </c>
      <c r="I121" t="s">
        <v>10895</v>
      </c>
      <c r="W121" t="s">
        <v>7855</v>
      </c>
      <c r="X121" s="2386">
        <v>569.4000244140625</v>
      </c>
      <c r="Y121" s="674">
        <v>339.60000610351563</v>
      </c>
      <c r="Z121" s="2386">
        <v>21</v>
      </c>
      <c r="AA121" s="2386">
        <v>18</v>
      </c>
      <c r="AD121" t="s">
        <v>1783</v>
      </c>
      <c r="AE121" s="2352">
        <v>288</v>
      </c>
      <c r="AF121" s="2352">
        <v>4.5</v>
      </c>
      <c r="AG121" s="2352">
        <v>141.75</v>
      </c>
      <c r="AH121" s="2352">
        <v>44.25</v>
      </c>
    </row>
    <row r="122" spans="2:34" ht="12.75">
      <c r="B122" s="17">
        <f>D_Klick!C212</f>
        <v>0</v>
      </c>
      <c r="C122" s="18">
        <v>0</v>
      </c>
      <c r="D122" s="1"/>
      <c r="F122" t="str">
        <f>IF(Texte!SprachIdx=1,G122,IF(Texte!SprachIdx=2,H122,IF(Texte!SprachIdx=3,I122,"")))</f>
        <v xml:space="preserve"> eingegeben werden. Haben Sie die Flächen und Erträge Ihres Betriebes dort schon eingetragen?</v>
      </c>
      <c r="G122" t="s">
        <v>2057</v>
      </c>
      <c r="H122" t="s">
        <v>4338</v>
      </c>
      <c r="I122" t="s">
        <v>10896</v>
      </c>
      <c r="W122" t="s">
        <v>7856</v>
      </c>
      <c r="X122" s="2386">
        <v>598.79998779296875</v>
      </c>
      <c r="Y122" s="674">
        <v>339.60000610351563</v>
      </c>
      <c r="Z122" s="2386">
        <v>21</v>
      </c>
      <c r="AA122" s="2386">
        <v>18</v>
      </c>
      <c r="AD122" t="s">
        <v>4512</v>
      </c>
      <c r="AE122" s="2352">
        <v>441</v>
      </c>
      <c r="AF122" s="2352">
        <v>4.5</v>
      </c>
      <c r="AG122" s="2352">
        <v>141.75</v>
      </c>
      <c r="AH122" s="2352">
        <v>44.25</v>
      </c>
    </row>
    <row r="123" spans="2:34" ht="12.75">
      <c r="B123" s="17">
        <f>D_Klick!D212</f>
        <v>0</v>
      </c>
      <c r="C123" s="745">
        <v>0</v>
      </c>
      <c r="D123" s="1"/>
      <c r="F123" t="str">
        <f>IF(Texte!SprachIdx=1,G123,IF(Texte!SprachIdx=2,H123,IF(Texte!SprachIdx=3,I123,"")))</f>
        <v>Hinweis zum Nährstoffhaushalt</v>
      </c>
      <c r="G123" t="s">
        <v>2058</v>
      </c>
      <c r="H123" t="s">
        <v>1666</v>
      </c>
      <c r="I123" t="s">
        <v>10897</v>
      </c>
      <c r="W123" t="s">
        <v>1010</v>
      </c>
      <c r="X123" s="2386">
        <v>569.4000244140625</v>
      </c>
      <c r="Y123" s="674">
        <v>354.60000610351563</v>
      </c>
      <c r="Z123" s="2386">
        <v>21</v>
      </c>
      <c r="AA123" s="2386">
        <v>18</v>
      </c>
      <c r="AD123" t="s">
        <v>1016</v>
      </c>
      <c r="AE123" s="2352">
        <v>653.25</v>
      </c>
      <c r="AF123" s="2352">
        <v>599.25</v>
      </c>
      <c r="AG123" s="2352">
        <v>24</v>
      </c>
      <c r="AH123" s="2352">
        <v>17.25</v>
      </c>
    </row>
    <row r="124" spans="2:34" ht="12.75">
      <c r="B124" s="12"/>
      <c r="C124" s="12"/>
      <c r="D124" s="1"/>
      <c r="F124" t="str">
        <f>IF(Texte!SprachIdx=1,G124,IF(Texte!SprachIdx=2,H124,IF(Texte!SprachIdx=3,I124,"")))</f>
        <v>Sie haben auf Seite 3 für diese Tabelle zu viele Tier-Kategorien mit Weidejahr eingegeben! Überprüfen Sie die Eingaben auf Seite 3 Tierbestand!</v>
      </c>
      <c r="G124" t="s">
        <v>3353</v>
      </c>
      <c r="H124" t="s">
        <v>2492</v>
      </c>
      <c r="I124" t="s">
        <v>10898</v>
      </c>
      <c r="W124" t="s">
        <v>1011</v>
      </c>
      <c r="X124" s="2386">
        <v>598.79998779296875</v>
      </c>
      <c r="Y124" s="674">
        <v>354.60000610351563</v>
      </c>
      <c r="Z124" s="2386">
        <v>21</v>
      </c>
      <c r="AA124" s="2386">
        <v>18</v>
      </c>
      <c r="AD124" t="s">
        <v>1017</v>
      </c>
      <c r="AE124" s="2352">
        <v>654</v>
      </c>
      <c r="AF124" s="2352">
        <v>1010.25</v>
      </c>
      <c r="AG124" s="2352">
        <v>24</v>
      </c>
      <c r="AH124" s="2352">
        <v>17.25</v>
      </c>
    </row>
    <row r="125" spans="2:34" ht="12.75">
      <c r="B125" s="1" t="s">
        <v>6090</v>
      </c>
      <c r="C125" s="1"/>
      <c r="D125" s="1"/>
      <c r="F125" t="str">
        <f>IF(Texte!SprachIdx=1,G125,IF(Texte!SprachIdx=2,H125,IF(Texte!SprachIdx=3,I125,"")))</f>
        <v>Sie haben für diese Tabelle zu viele Tiergattungen eingegeben! Überprüfen Sie die Eingaben auf Seite 3 Tierbestand!</v>
      </c>
      <c r="G125" t="s">
        <v>7128</v>
      </c>
      <c r="H125" t="s">
        <v>320</v>
      </c>
      <c r="I125" t="s">
        <v>10899</v>
      </c>
      <c r="W125" t="s">
        <v>951</v>
      </c>
      <c r="X125" s="2386">
        <v>569.4000244140625</v>
      </c>
      <c r="Y125" s="674">
        <v>387</v>
      </c>
      <c r="Z125" s="2386">
        <v>21</v>
      </c>
      <c r="AA125" s="2386">
        <v>18</v>
      </c>
      <c r="AD125" t="s">
        <v>1018</v>
      </c>
      <c r="AE125" s="2352">
        <v>686.25</v>
      </c>
      <c r="AF125" s="2352">
        <v>1010.25</v>
      </c>
      <c r="AG125" s="2352">
        <v>24</v>
      </c>
      <c r="AH125" s="2352">
        <v>17.25</v>
      </c>
    </row>
    <row r="126" spans="2:34" ht="12.75">
      <c r="B126" s="1" t="str">
        <f>Allg!$G$1</f>
        <v>Allgemeine Angaben</v>
      </c>
      <c r="C126" s="1"/>
      <c r="D126" s="1"/>
      <c r="F126" t="str">
        <f>IF(Texte!SprachIdx=1,G126,IF(Texte!SprachIdx=2,H126,IF(Texte!SprachIdx=3,I126,"")))</f>
        <v xml:space="preserve">Der Tierbestand muss auf Seite 3 </v>
      </c>
      <c r="G126" t="s">
        <v>1501</v>
      </c>
      <c r="H126" t="s">
        <v>7259</v>
      </c>
      <c r="I126" t="s">
        <v>10900</v>
      </c>
      <c r="W126" t="s">
        <v>979</v>
      </c>
      <c r="X126" s="2386">
        <v>598.20001220703125</v>
      </c>
      <c r="Y126" s="674">
        <v>387</v>
      </c>
      <c r="Z126" s="2386">
        <v>21.600000381469727</v>
      </c>
      <c r="AA126" s="2386">
        <v>18</v>
      </c>
      <c r="AD126" t="s">
        <v>1019</v>
      </c>
      <c r="AE126" s="2352">
        <v>686.25</v>
      </c>
      <c r="AF126" s="2352">
        <v>994.5</v>
      </c>
      <c r="AG126" s="2352">
        <v>24</v>
      </c>
      <c r="AH126" s="2352">
        <v>17.25</v>
      </c>
    </row>
    <row r="127" spans="2:34" ht="12.75">
      <c r="B127" s="1" t="str">
        <f>Fläche!$P$1</f>
        <v>Fläche</v>
      </c>
      <c r="C127" s="1"/>
      <c r="D127" s="1"/>
      <c r="F127" t="str">
        <f>IF(Texte!SprachIdx=1,G127,IF(Texte!SprachIdx=2,H127,IF(Texte!SprachIdx=3,I127,"")))</f>
        <v xml:space="preserve"> eingegeben werden und die Fragen über Korrektur Grundfutterverzehr bei Milchkühen beantwortet sein. Haben Sie den Tierbestand Ihres Betriebes dort schon eingetragen und die Fragen beantwortet?</v>
      </c>
      <c r="G127" t="s">
        <v>6646</v>
      </c>
      <c r="H127" t="s">
        <v>3346</v>
      </c>
      <c r="I127" t="s">
        <v>10901</v>
      </c>
      <c r="V127" t="s">
        <v>5123</v>
      </c>
      <c r="W127" t="s">
        <v>5648</v>
      </c>
      <c r="X127" s="2386">
        <v>4.1999998092651367</v>
      </c>
      <c r="Y127" s="674">
        <v>6.75</v>
      </c>
      <c r="Z127" s="2386">
        <v>109.34999847412109</v>
      </c>
      <c r="AA127" s="2386">
        <v>33.75</v>
      </c>
      <c r="AD127" t="s">
        <v>2784</v>
      </c>
      <c r="AE127" s="2352">
        <v>654</v>
      </c>
      <c r="AF127" s="2352">
        <v>174.75</v>
      </c>
      <c r="AG127" s="2352">
        <v>24</v>
      </c>
      <c r="AH127" s="2352">
        <v>17.25</v>
      </c>
    </row>
    <row r="128" spans="2:34" ht="12.75">
      <c r="B128" s="1" t="str">
        <f>Tierb!$T$1</f>
        <v>Tierbestand</v>
      </c>
      <c r="C128" s="1"/>
      <c r="D128" s="1"/>
      <c r="F128" t="str">
        <f>IF(Texte!SprachIdx=1,G128,IF(Texte!SprachIdx=2,H128,IF(Texte!SprachIdx=3,I128,"")))</f>
        <v>Auf diesem Blatt fehlt die [FehlerMarkieren]</v>
      </c>
      <c r="G128" t="s">
        <v>5465</v>
      </c>
      <c r="H128" t="s">
        <v>7114</v>
      </c>
      <c r="I128" t="s">
        <v>10902</v>
      </c>
      <c r="V128" t="s">
        <v>5124</v>
      </c>
      <c r="W128" t="s">
        <v>5648</v>
      </c>
      <c r="X128" s="2386">
        <v>4.1999998092651367</v>
      </c>
      <c r="Y128" s="674">
        <v>6.75</v>
      </c>
      <c r="Z128" s="2386">
        <v>105.44999694824219</v>
      </c>
      <c r="AA128" s="2386">
        <v>33.75</v>
      </c>
      <c r="AD128" t="s">
        <v>1020</v>
      </c>
      <c r="AE128" s="2352">
        <v>654</v>
      </c>
      <c r="AF128" s="2352">
        <v>207</v>
      </c>
      <c r="AG128" s="2352">
        <v>24</v>
      </c>
      <c r="AH128" s="2352">
        <v>17.25</v>
      </c>
    </row>
    <row r="129" spans="2:34" ht="12.75">
      <c r="B129" s="1" t="str">
        <f>Kennz!$J$1</f>
        <v>Kennziffern Biodiversitätsförderflächen</v>
      </c>
      <c r="C129" s="1"/>
      <c r="D129" s="1"/>
      <c r="F129" t="str">
        <f>IF(Texte!SprachIdx=1,G129,IF(Texte!SprachIdx=2,H129,IF(Texte!SprachIdx=3,I129,"")))</f>
        <v>Auf diesem Blatt fehlt die [FehlerMeldung]</v>
      </c>
      <c r="G129" t="s">
        <v>792</v>
      </c>
      <c r="H129" t="s">
        <v>2673</v>
      </c>
      <c r="I129" t="s">
        <v>10903</v>
      </c>
      <c r="V129" t="s">
        <v>5125</v>
      </c>
      <c r="W129" t="s">
        <v>5648</v>
      </c>
      <c r="X129" s="2386">
        <v>4.1999998092651367</v>
      </c>
      <c r="Y129" s="674">
        <v>6.75</v>
      </c>
      <c r="Z129" s="2386">
        <v>105.59999847412109</v>
      </c>
      <c r="AA129" s="2386">
        <v>33.75</v>
      </c>
      <c r="AD129" t="s">
        <v>1021</v>
      </c>
      <c r="AE129" s="2352">
        <v>686.25</v>
      </c>
      <c r="AF129" s="2352">
        <v>207</v>
      </c>
      <c r="AG129" s="2352">
        <v>24</v>
      </c>
      <c r="AH129" s="2352">
        <v>17.25</v>
      </c>
    </row>
    <row r="130" spans="2:34" ht="12.75">
      <c r="B130" s="1" t="str">
        <f>BioKennz!$L$1</f>
        <v>Kennziffern Biolandbau</v>
      </c>
      <c r="C130" s="1"/>
      <c r="D130" s="1"/>
      <c r="F130" t="str">
        <f>IF(Texte!SprachIdx=1,G130,IF(Texte!SprachIdx=2,H130,IF(Texte!SprachIdx=3,I130,"")))</f>
        <v>[FehlerBedingung] und [FehlerMarkieren] haben nicht gleichviele Teilflächen</v>
      </c>
      <c r="G130" t="s">
        <v>1094</v>
      </c>
      <c r="H130" t="s">
        <v>5587</v>
      </c>
      <c r="I130" t="s">
        <v>10904</v>
      </c>
      <c r="V130" t="s">
        <v>5126</v>
      </c>
      <c r="W130" t="s">
        <v>3400</v>
      </c>
      <c r="X130" s="2386">
        <v>384.75</v>
      </c>
      <c r="Y130" s="674">
        <v>274.64999389648438</v>
      </c>
      <c r="Z130" s="2386">
        <v>13.050000190734863</v>
      </c>
      <c r="AA130" s="2386">
        <v>13.800000190734863</v>
      </c>
      <c r="AD130" t="s">
        <v>7760</v>
      </c>
      <c r="AE130" s="2352">
        <v>654</v>
      </c>
      <c r="AF130" s="2352">
        <v>1121.25</v>
      </c>
      <c r="AG130" s="2352">
        <v>24</v>
      </c>
      <c r="AH130" s="2352">
        <v>17.25</v>
      </c>
    </row>
    <row r="131" spans="2:34" ht="12.75">
      <c r="B131" s="1" t="str">
        <f>Fzukauf!$H$1</f>
        <v>Futterzukauf</v>
      </c>
      <c r="C131" s="1"/>
      <c r="D131" s="1"/>
      <c r="F131" t="str">
        <f>IF(Texte!SprachIdx=1,G131,IF(Texte!SprachIdx=2,H131,IF(Texte!SprachIdx=3,I131,"")))</f>
        <v>[FehlerBedingung] und [FehlerMeldung] haben nicht gleichviele Teilflächen</v>
      </c>
      <c r="G131" t="s">
        <v>3917</v>
      </c>
      <c r="H131" t="s">
        <v>7526</v>
      </c>
      <c r="I131" t="s">
        <v>10905</v>
      </c>
      <c r="W131" t="s">
        <v>5648</v>
      </c>
      <c r="X131" s="2386">
        <v>4.1999998092651367</v>
      </c>
      <c r="Y131" s="674">
        <v>6.75</v>
      </c>
      <c r="Z131" s="2386">
        <v>106.94999694824219</v>
      </c>
      <c r="AA131" s="2386">
        <v>33.75</v>
      </c>
      <c r="AD131" t="s">
        <v>7761</v>
      </c>
      <c r="AE131" s="2352">
        <v>654</v>
      </c>
      <c r="AF131" s="2352">
        <v>1136.25</v>
      </c>
      <c r="AG131" s="2352">
        <v>24</v>
      </c>
      <c r="AH131" s="2352">
        <v>17.25</v>
      </c>
    </row>
    <row r="132" spans="2:34" ht="12.75">
      <c r="B132" s="1" t="str">
        <f>Ff!$J$1</f>
        <v>Fruchtfolge-Kennziffern</v>
      </c>
      <c r="C132" s="1"/>
      <c r="D132" s="1"/>
      <c r="F132" t="str">
        <f>IF(Texte!SprachIdx=1,G132,IF(Texte!SprachIdx=2,H132,IF(Texte!SprachIdx=3,I132,"")))</f>
        <v>[FehlerBedingung] und [FehlerMarkieren] unterscheiden sich in der Zellstruktur</v>
      </c>
      <c r="G132" t="s">
        <v>6744</v>
      </c>
      <c r="H132" t="s">
        <v>2786</v>
      </c>
      <c r="I132" t="s">
        <v>10906</v>
      </c>
      <c r="V132" t="s">
        <v>7295</v>
      </c>
      <c r="W132" t="s">
        <v>5648</v>
      </c>
      <c r="X132" s="2386">
        <v>0</v>
      </c>
      <c r="Y132" s="674">
        <v>3</v>
      </c>
      <c r="Z132" s="2386">
        <v>104.84999847412109</v>
      </c>
      <c r="AA132" s="2386">
        <v>33.150001525878906</v>
      </c>
      <c r="AD132" t="s">
        <v>7762</v>
      </c>
      <c r="AE132" s="2352">
        <v>687</v>
      </c>
      <c r="AF132" s="2352">
        <v>1120.5</v>
      </c>
      <c r="AG132" s="2352">
        <v>24</v>
      </c>
      <c r="AH132" s="2352">
        <v>17.25</v>
      </c>
    </row>
    <row r="133" spans="2:34" ht="12.75">
      <c r="B133" s="1" t="str">
        <f>FormE!R1</f>
        <v>SuiBi: Formular E Vergärungsprodukte und Ernterückstände Gemüse</v>
      </c>
      <c r="C133" s="1"/>
      <c r="D133" s="1"/>
      <c r="F133" t="str">
        <f>IF(Texte!SprachIdx=1,G133,IF(Texte!SprachIdx=2,H133,IF(Texte!SprachIdx=3,I133,"")))</f>
        <v>[FehlerBedingung] und [FehlerMeldung] unterscheiden sich in der Zellstruktur</v>
      </c>
      <c r="G133" t="s">
        <v>2672</v>
      </c>
      <c r="H133" t="s">
        <v>6873</v>
      </c>
      <c r="I133" t="s">
        <v>10907</v>
      </c>
      <c r="V133" t="s">
        <v>1526</v>
      </c>
      <c r="W133" t="s">
        <v>938</v>
      </c>
      <c r="X133" s="2386">
        <v>42.450000762939453</v>
      </c>
      <c r="Y133" s="674">
        <v>580.79998779296875</v>
      </c>
      <c r="Z133" s="2386">
        <v>12</v>
      </c>
      <c r="AA133" s="2386">
        <v>11.25</v>
      </c>
      <c r="AD133" t="s">
        <v>7763</v>
      </c>
      <c r="AE133" s="2352">
        <v>686.25</v>
      </c>
      <c r="AF133" s="2352">
        <v>1135.5</v>
      </c>
      <c r="AG133" s="2352">
        <v>24</v>
      </c>
      <c r="AH133" s="2352">
        <v>17.25</v>
      </c>
    </row>
    <row r="134" spans="2:34" ht="12.75">
      <c r="B134" s="1" t="str">
        <f>'SB1'!Y1</f>
        <v>SuiBi: Anfall und Grundfutter</v>
      </c>
      <c r="C134" s="1"/>
      <c r="D134" s="1"/>
      <c r="F134" t="str">
        <f>IF(Texte!SprachIdx=1,G134,IF(Texte!SprachIdx=2,H134,IF(Texte!SprachIdx=3,I134,"")))</f>
        <v>Bitte die gemeldeten Fehler in den markierten Zellen korrigieren</v>
      </c>
      <c r="G134" t="s">
        <v>6647</v>
      </c>
      <c r="H134" t="s">
        <v>2787</v>
      </c>
      <c r="I134" t="s">
        <v>10908</v>
      </c>
      <c r="W134" t="s">
        <v>939</v>
      </c>
      <c r="X134" s="2386">
        <v>146.24992370605469</v>
      </c>
      <c r="Y134" s="674">
        <v>580.800048828125</v>
      </c>
      <c r="Z134" s="2386">
        <v>9.1499996185302734</v>
      </c>
      <c r="AA134" s="2386">
        <v>10.199999809265137</v>
      </c>
      <c r="AD134" t="s">
        <v>948</v>
      </c>
      <c r="AE134" s="2352">
        <v>654</v>
      </c>
      <c r="AF134" s="2352">
        <v>301.5</v>
      </c>
      <c r="AG134" s="2352">
        <v>24</v>
      </c>
      <c r="AH134" s="2352">
        <v>17.25</v>
      </c>
    </row>
    <row r="135" spans="2:34" ht="12.75">
      <c r="B135" s="1" t="str">
        <f>'SB2'!U1</f>
        <v>SuiBi: Bedarf und Bilanz</v>
      </c>
      <c r="C135" s="1"/>
      <c r="D135" s="1"/>
      <c r="F135" t="str">
        <f>IF(Texte!SprachIdx=1,G135,IF(Texte!SprachIdx=2,H135,IF(Texte!SprachIdx=3,I135,"")))</f>
        <v>und anschliessend den Fehlersuch-Knopf nochmals drücken!</v>
      </c>
      <c r="G135" t="s">
        <v>1708</v>
      </c>
      <c r="H135" t="s">
        <v>2502</v>
      </c>
      <c r="I135" t="s">
        <v>10909</v>
      </c>
      <c r="W135" t="s">
        <v>940</v>
      </c>
      <c r="X135" s="2386">
        <v>253.80000305175781</v>
      </c>
      <c r="Y135" s="674">
        <v>580.79998779296875</v>
      </c>
      <c r="Z135" s="2386">
        <v>9.75</v>
      </c>
      <c r="AA135" s="2386">
        <v>11.25</v>
      </c>
      <c r="AD135" t="s">
        <v>1007</v>
      </c>
      <c r="AE135" s="2352">
        <v>686.25</v>
      </c>
      <c r="AF135" s="2352">
        <v>301.5</v>
      </c>
      <c r="AG135" s="2352">
        <v>24</v>
      </c>
      <c r="AH135" s="2352">
        <v>17.25</v>
      </c>
    </row>
    <row r="136" spans="2:34" ht="12.75">
      <c r="B136" s="1" t="str">
        <f>RH!O1</f>
        <v>SuiBi: Reben, andere Dauerkulturen</v>
      </c>
      <c r="C136" s="1"/>
      <c r="D136" s="1"/>
      <c r="F136" t="str">
        <f>IF(Texte!SprachIdx=1,G136,IF(Texte!SprachIdx=2,H136,IF(Texte!SprachIdx=3,I136,"")))</f>
        <v>Das Milchkontingent muss eine Zahl (ohne Einheit) enthalten</v>
      </c>
      <c r="G136" t="s">
        <v>612</v>
      </c>
      <c r="H136" t="s">
        <v>2999</v>
      </c>
      <c r="I136" t="s">
        <v>10910</v>
      </c>
      <c r="W136" t="s">
        <v>547</v>
      </c>
      <c r="X136" s="2386">
        <v>682.95001220703125</v>
      </c>
      <c r="Y136" s="674">
        <v>204.30000305175781</v>
      </c>
      <c r="Z136" s="2386">
        <v>12</v>
      </c>
      <c r="AA136" s="2386">
        <v>11.550000190734863</v>
      </c>
      <c r="AD136" t="s">
        <v>7855</v>
      </c>
      <c r="AE136" s="2352">
        <v>654</v>
      </c>
      <c r="AF136" s="2352">
        <v>333.75</v>
      </c>
      <c r="AG136" s="2352">
        <v>24</v>
      </c>
      <c r="AH136" s="2352">
        <v>17.25</v>
      </c>
    </row>
    <row r="137" spans="2:34" ht="12.75">
      <c r="B137" s="1" t="str">
        <f>'Gem1'!$P$1</f>
        <v>SuiBi: Freilandgemüse</v>
      </c>
      <c r="C137" s="1"/>
      <c r="D137" s="1"/>
      <c r="F137" t="str">
        <f>IF(Texte!SprachIdx=1,G137,IF(Texte!SprachIdx=2,H137,IF(Texte!SprachIdx=3,I137,"")))</f>
        <v>Soll die Zeichenfolge</v>
      </c>
      <c r="G137" t="s">
        <v>613</v>
      </c>
      <c r="H137" t="s">
        <v>485</v>
      </c>
      <c r="I137" t="s">
        <v>10911</v>
      </c>
      <c r="W137" t="s">
        <v>5919</v>
      </c>
      <c r="X137" s="2386">
        <v>735.9000244140625</v>
      </c>
      <c r="Y137" s="674">
        <v>205.05000305175781</v>
      </c>
      <c r="Z137" s="2386">
        <v>33.450000762939453</v>
      </c>
      <c r="AA137" s="2386">
        <v>11.550000190734863</v>
      </c>
      <c r="AD137" t="s">
        <v>7856</v>
      </c>
      <c r="AE137" s="2352">
        <v>686.25</v>
      </c>
      <c r="AF137" s="2352">
        <v>333.75</v>
      </c>
      <c r="AG137" s="2352">
        <v>24</v>
      </c>
      <c r="AH137" s="2352">
        <v>17.25</v>
      </c>
    </row>
    <row r="138" spans="2:34" ht="12.75">
      <c r="B138" s="1" t="str">
        <f>'Gem2'!$P$1</f>
        <v>SuiBi: Gemüse Gewächshaus/Hochtunnel</v>
      </c>
      <c r="C138" s="1"/>
      <c r="D138" s="1"/>
      <c r="F138" t="str">
        <f>IF(Texte!SprachIdx=1,G138,IF(Texte!SprachIdx=2,H138,IF(Texte!SprachIdx=3,I138,"")))</f>
        <v>umgewandelt werden in die Zahl</v>
      </c>
      <c r="G138" t="s">
        <v>1396</v>
      </c>
      <c r="H138" t="s">
        <v>3208</v>
      </c>
      <c r="I138" t="s">
        <v>10912</v>
      </c>
      <c r="W138" t="s">
        <v>5920</v>
      </c>
      <c r="X138" s="2386">
        <v>102.30000305175781</v>
      </c>
      <c r="Y138" s="674">
        <v>1018.3499755859375</v>
      </c>
      <c r="Z138" s="2386">
        <v>13.199999809265137</v>
      </c>
      <c r="AA138" s="2386">
        <v>11.25</v>
      </c>
      <c r="AD138" t="s">
        <v>1010</v>
      </c>
      <c r="AE138" s="2352">
        <v>654</v>
      </c>
      <c r="AF138" s="2352">
        <v>348.75</v>
      </c>
      <c r="AG138" s="2352">
        <v>24</v>
      </c>
      <c r="AH138" s="2352">
        <v>17.25</v>
      </c>
    </row>
    <row r="139" spans="2:34" ht="12.75">
      <c r="B139" s="1" t="str">
        <f>OB!O1</f>
        <v>SuiBi: Obst und Beeren</v>
      </c>
      <c r="C139" s="1"/>
      <c r="D139" s="1"/>
      <c r="F139" t="str">
        <f>IF(Texte!SprachIdx=1,G139,IF(Texte!SprachIdx=2,H139,IF(Texte!SprachIdx=3,I139,"")))</f>
        <v>Fehler: Zellinhalt ist keine Zahl</v>
      </c>
      <c r="G139" t="s">
        <v>1397</v>
      </c>
      <c r="H139" t="s">
        <v>5042</v>
      </c>
      <c r="I139" t="s">
        <v>10913</v>
      </c>
      <c r="W139" t="s">
        <v>5921</v>
      </c>
      <c r="X139" s="2386">
        <v>146.25</v>
      </c>
      <c r="Y139" s="674">
        <v>1149.5999755859375</v>
      </c>
      <c r="Z139" s="2386">
        <v>8.3999996185302734</v>
      </c>
      <c r="AA139" s="2386">
        <v>11.25</v>
      </c>
      <c r="AD139" t="s">
        <v>1011</v>
      </c>
      <c r="AE139" s="2352">
        <v>686.25</v>
      </c>
      <c r="AF139" s="2352">
        <v>348.75</v>
      </c>
      <c r="AG139" s="2352">
        <v>24</v>
      </c>
      <c r="AH139" s="2352">
        <v>17.25</v>
      </c>
    </row>
    <row r="140" spans="2:34" ht="12.75">
      <c r="B140" s="1" t="str">
        <f>Hd!$N$1</f>
        <v>Hofdüngeranfall</v>
      </c>
      <c r="C140" s="1"/>
      <c r="D140" s="1"/>
      <c r="F140" t="str">
        <f>IF(Texte!SprachIdx=1,G140,IF(Texte!SprachIdx=2,H140,IF(Texte!SprachIdx=3,I140,"")))</f>
        <v>Soll die negative Zahl</v>
      </c>
      <c r="G140" t="s">
        <v>1398</v>
      </c>
      <c r="H140" t="s">
        <v>5882</v>
      </c>
      <c r="I140" t="s">
        <v>10914</v>
      </c>
      <c r="W140" t="s">
        <v>5922</v>
      </c>
      <c r="X140" s="2386">
        <v>100.05000305175781</v>
      </c>
      <c r="Y140" s="674">
        <v>1174.800048828125</v>
      </c>
      <c r="Z140" s="2386">
        <v>7.6500000953674316</v>
      </c>
      <c r="AA140" s="2386">
        <v>10.949999809265137</v>
      </c>
      <c r="AC140" t="s">
        <v>5123</v>
      </c>
      <c r="AD140" t="s">
        <v>5648</v>
      </c>
      <c r="AE140" s="2352">
        <v>4.5</v>
      </c>
      <c r="AF140" s="2352">
        <v>6.75</v>
      </c>
      <c r="AG140" s="2352">
        <v>112.5</v>
      </c>
      <c r="AH140" s="2352">
        <v>33.75</v>
      </c>
    </row>
    <row r="141" spans="2:34" ht="12.75">
      <c r="B141" s="1" t="str">
        <f>KLB!O1</f>
        <v>Kulturlandschaft</v>
      </c>
      <c r="C141" s="1"/>
      <c r="D141" s="1"/>
      <c r="F141" t="str">
        <f>IF(Texte!SprachIdx=1,G141,IF(Texte!SprachIdx=2,H141,IF(Texte!SprachIdx=3,I141,"")))</f>
        <v>umgewandelt werden in die Zahl</v>
      </c>
      <c r="G141" t="s">
        <v>1396</v>
      </c>
      <c r="H141" t="s">
        <v>5883</v>
      </c>
      <c r="I141" t="s">
        <v>10915</v>
      </c>
      <c r="W141" t="s">
        <v>5923</v>
      </c>
      <c r="X141" s="2386">
        <v>100.05000305175781</v>
      </c>
      <c r="Y141" s="674">
        <v>1188</v>
      </c>
      <c r="Z141" s="2386">
        <v>7.6500000953674316</v>
      </c>
      <c r="AA141" s="2386">
        <v>10.949999809265137</v>
      </c>
      <c r="AC141" t="s">
        <v>5124</v>
      </c>
      <c r="AD141" t="s">
        <v>5648</v>
      </c>
      <c r="AE141" s="2352">
        <v>4.5</v>
      </c>
      <c r="AF141" s="2352">
        <v>6.75</v>
      </c>
      <c r="AG141" s="2352">
        <v>112.5</v>
      </c>
      <c r="AH141" s="2352">
        <v>33.75</v>
      </c>
    </row>
    <row r="142" spans="2:34" ht="12.75">
      <c r="B142" s="1" t="str">
        <f>VSB!Q1</f>
        <v>Versorgungssicherheit</v>
      </c>
      <c r="C142" s="1"/>
      <c r="D142" s="1"/>
      <c r="F142" t="str">
        <f>IF(Texte!SprachIdx=1,G142,IF(Texte!SprachIdx=2,H142,IF(Texte!SprachIdx=3,I142,"")))</f>
        <v>Fehler: Zellinhalt ist keine positive Zahl</v>
      </c>
      <c r="G142" t="s">
        <v>1399</v>
      </c>
      <c r="H142" t="s">
        <v>5884</v>
      </c>
      <c r="I142" t="s">
        <v>10916</v>
      </c>
      <c r="W142" t="s">
        <v>5924</v>
      </c>
      <c r="X142" s="2386">
        <v>495.75</v>
      </c>
      <c r="Y142" s="674">
        <v>924.1500244140625</v>
      </c>
      <c r="Z142" s="2386">
        <v>0</v>
      </c>
      <c r="AA142" s="2386">
        <v>251.85000610351563</v>
      </c>
      <c r="AC142" t="s">
        <v>5125</v>
      </c>
      <c r="AD142" t="s">
        <v>5648</v>
      </c>
      <c r="AE142" s="2352">
        <v>4.5</v>
      </c>
      <c r="AF142" s="2352">
        <v>6.75</v>
      </c>
      <c r="AG142" s="2352">
        <v>112.5</v>
      </c>
      <c r="AH142" s="2352">
        <v>33.75</v>
      </c>
    </row>
    <row r="143" spans="2:34" ht="12.75">
      <c r="B143" s="1" t="str">
        <f>BDB!V1</f>
        <v>Biodiversität</v>
      </c>
      <c r="C143" s="1"/>
      <c r="D143" s="1"/>
      <c r="F143" t="str">
        <f>IF(Texte!SprachIdx=1,G143,IF(Texte!SprachIdx=2,H143,IF(Texte!SprachIdx=3,I143,"")))</f>
        <v xml:space="preserve">Sie haben für diese Tabelle zu viele Tierarten eingegeben! Überprüfen Sie die Eingaben auf Seite 3 </v>
      </c>
      <c r="G143" t="s">
        <v>1847</v>
      </c>
      <c r="H143" t="s">
        <v>1377</v>
      </c>
      <c r="I143" t="s">
        <v>10917</v>
      </c>
      <c r="W143" t="s">
        <v>5925</v>
      </c>
      <c r="X143" s="2386">
        <v>154.80000305175781</v>
      </c>
      <c r="Y143" s="674">
        <v>604.3499755859375</v>
      </c>
      <c r="Z143" s="2386">
        <v>9</v>
      </c>
      <c r="AA143" s="2386">
        <v>11.25</v>
      </c>
      <c r="AC143" t="s">
        <v>5126</v>
      </c>
      <c r="AD143" t="s">
        <v>3400</v>
      </c>
      <c r="AE143" s="2352">
        <v>417</v>
      </c>
      <c r="AF143" s="2352">
        <v>270.75</v>
      </c>
      <c r="AG143" s="2352">
        <v>17.25</v>
      </c>
      <c r="AH143" s="2352">
        <v>13.5</v>
      </c>
    </row>
    <row r="144" spans="2:34" ht="12.75">
      <c r="B144" s="1" t="str">
        <f>LQB!R1</f>
        <v>Landschaftsqualität</v>
      </c>
      <c r="C144" s="1"/>
      <c r="F144" t="str">
        <f>IF(Texte!SprachIdx=1,G144,IF(Texte!SprachIdx=2,H144,IF(Texte!SprachIdx=3,I144,"")))</f>
        <v>Warnung!</v>
      </c>
      <c r="G144" t="s">
        <v>1848</v>
      </c>
      <c r="H144" t="s">
        <v>0</v>
      </c>
      <c r="I144" t="s">
        <v>6328</v>
      </c>
      <c r="W144" t="s">
        <v>550</v>
      </c>
      <c r="X144" s="2386">
        <v>260.54998779296875</v>
      </c>
      <c r="Y144" s="674">
        <v>604.3499755859375</v>
      </c>
      <c r="Z144" s="2386">
        <v>9.75</v>
      </c>
      <c r="AA144" s="2386">
        <v>11.25</v>
      </c>
      <c r="AD144" t="s">
        <v>5648</v>
      </c>
      <c r="AE144" s="2352">
        <v>4.5</v>
      </c>
      <c r="AF144" s="2352">
        <v>6.75</v>
      </c>
      <c r="AG144" s="2352">
        <v>112.5</v>
      </c>
      <c r="AH144" s="2352">
        <v>33.75</v>
      </c>
    </row>
    <row r="145" spans="2:34" ht="12.75">
      <c r="B145" s="1" t="str">
        <f>GMF!S1</f>
        <v>Futterbilanz für graslandbasierte Milch- u. Fleischproduktion</v>
      </c>
      <c r="C145" s="1"/>
      <c r="F145" t="str">
        <f>IF(Texte!SprachIdx=1,G145,IF(Texte!SprachIdx=2,H145,IF(Texte!SprachIdx=3,I145,"")))</f>
        <v xml:space="preserve"> eingegeben werden. Haben Sie den Tierbestand Ihres Betriebes dort schon eingetragen?</v>
      </c>
      <c r="G145" t="s">
        <v>1849</v>
      </c>
      <c r="H145" t="s">
        <v>4062</v>
      </c>
      <c r="I145" t="s">
        <v>10918</v>
      </c>
      <c r="W145" t="s">
        <v>551</v>
      </c>
      <c r="X145" s="2386">
        <v>835.79998779296875</v>
      </c>
      <c r="Y145" s="674">
        <v>170.39999389648438</v>
      </c>
      <c r="Z145" s="2386">
        <v>25.200000762939453</v>
      </c>
      <c r="AA145" s="2386">
        <v>13.199999809265137</v>
      </c>
      <c r="AC145" t="s">
        <v>7295</v>
      </c>
      <c r="AD145" t="s">
        <v>5648</v>
      </c>
      <c r="AE145" s="2352">
        <v>0</v>
      </c>
      <c r="AF145" s="2352">
        <v>3</v>
      </c>
      <c r="AG145" s="2352">
        <v>112.5</v>
      </c>
      <c r="AH145" s="2352">
        <v>33.75</v>
      </c>
    </row>
    <row r="146" spans="2:34" ht="12.75">
      <c r="B146" s="1" t="str">
        <f>PSB!S1</f>
        <v>Produktionssysteme</v>
      </c>
      <c r="C146" s="1"/>
      <c r="F146" t="str">
        <f>IF(Texte!SprachIdx=1,G146,IF(Texte!SprachIdx=2,H146,IF(Texte!SprachIdx=3,I146,"")))</f>
        <v>Hinweis zum Hofdüngeranfall</v>
      </c>
      <c r="G146" t="s">
        <v>1850</v>
      </c>
      <c r="H146" t="s">
        <v>5322</v>
      </c>
      <c r="I146" t="s">
        <v>10919</v>
      </c>
      <c r="W146" t="s">
        <v>552</v>
      </c>
      <c r="X146" s="2386">
        <v>779.0999755859375</v>
      </c>
      <c r="Y146" s="674">
        <v>202.80000305175781</v>
      </c>
      <c r="Z146" s="2386">
        <v>33.450000762939453</v>
      </c>
      <c r="AA146" s="2386">
        <v>11.550000190734863</v>
      </c>
      <c r="AC146" t="s">
        <v>1526</v>
      </c>
      <c r="AD146" t="s">
        <v>938</v>
      </c>
      <c r="AE146" s="2352">
        <v>42.75</v>
      </c>
      <c r="AF146" s="2352">
        <v>568.5</v>
      </c>
      <c r="AG146" s="2352">
        <v>12</v>
      </c>
      <c r="AH146" s="2352">
        <v>11.25</v>
      </c>
    </row>
    <row r="147" spans="2:34" ht="12.75">
      <c r="B147" s="1" t="str">
        <f>REB!Q1</f>
        <v>Ressourceneffizienz</v>
      </c>
      <c r="C147" s="1"/>
      <c r="F147" t="str">
        <f>IF(Texte!SprachIdx=1,G147,IF(Texte!SprachIdx=2,H147,IF(Texte!SprachIdx=3,I147,"")))</f>
        <v>Die Winterfütterung muss eine Zahl (ohne Einheit) sein!</v>
      </c>
      <c r="G147" t="s">
        <v>6564</v>
      </c>
      <c r="H147" t="s">
        <v>5323</v>
      </c>
      <c r="I147" t="s">
        <v>10920</v>
      </c>
      <c r="W147" t="s">
        <v>5648</v>
      </c>
      <c r="X147" s="2386">
        <v>4.1999998092651367</v>
      </c>
      <c r="Y147" s="674">
        <v>6.75</v>
      </c>
      <c r="Z147" s="2386">
        <v>103.65000152587891</v>
      </c>
      <c r="AA147" s="2386">
        <v>33.75</v>
      </c>
      <c r="AD147" t="s">
        <v>939</v>
      </c>
      <c r="AE147" s="2352">
        <v>156</v>
      </c>
      <c r="AF147" s="2352">
        <v>568.5</v>
      </c>
      <c r="AG147" s="2352">
        <v>12</v>
      </c>
      <c r="AH147" s="2352">
        <v>11.25</v>
      </c>
    </row>
    <row r="148" spans="2:34" ht="12.75">
      <c r="B148" s="1" t="str">
        <f>ÜGB!O1</f>
        <v>Übergang</v>
      </c>
      <c r="C148" s="1"/>
      <c r="F148" t="str">
        <f>IF(Texte!SprachIdx=1,G148,IF(Texte!SprachIdx=2,H148,IF(Texte!SprachIdx=3,I148,"")))</f>
        <v>Der benannte Bereich [RaufutterVerzehrer] auf Tabelle 'D_Tierb' muss dem gleichnamigen Bereich von 'Tierb' entsprechen!</v>
      </c>
      <c r="G148" t="s">
        <v>753</v>
      </c>
      <c r="H148" t="s">
        <v>2288</v>
      </c>
      <c r="I148" t="s">
        <v>10921</v>
      </c>
      <c r="W148" t="s">
        <v>3401</v>
      </c>
      <c r="X148" s="2386">
        <v>366.60000610351563</v>
      </c>
      <c r="Y148" s="674">
        <v>114.59999847412109</v>
      </c>
      <c r="Z148" s="2386">
        <v>297.60000610351563</v>
      </c>
      <c r="AA148" s="2386">
        <v>13.800000190734863</v>
      </c>
      <c r="AD148" t="s">
        <v>940</v>
      </c>
      <c r="AE148" s="2352">
        <v>274.5</v>
      </c>
      <c r="AF148" s="2352">
        <v>568.5</v>
      </c>
      <c r="AG148" s="2352">
        <v>12</v>
      </c>
      <c r="AH148" s="2352">
        <v>11.25</v>
      </c>
    </row>
    <row r="149" spans="2:34" ht="12.75">
      <c r="B149" s="1" t="str">
        <f>SAK!O1</f>
        <v>SAK</v>
      </c>
      <c r="C149" s="1"/>
      <c r="F149" t="str">
        <f>IF(Texte!SprachIdx=1,G149,IF(Texte!SprachIdx=2,H149,IF(Texte!SprachIdx=3,I149,"")))</f>
        <v xml:space="preserve">Sie haben für diese Tabelle zu viele Kulturen eingegeben! Überprüfen Sie die Eingaben auf Seite 2 </v>
      </c>
      <c r="G149" t="s">
        <v>5773</v>
      </c>
      <c r="H149" t="s">
        <v>5605</v>
      </c>
      <c r="I149" t="s">
        <v>10922</v>
      </c>
      <c r="W149" t="s">
        <v>7764</v>
      </c>
      <c r="X149" s="2386">
        <v>495.60000610351563</v>
      </c>
      <c r="Y149" s="674">
        <v>151.80000305175781</v>
      </c>
      <c r="Z149" s="2386">
        <v>24</v>
      </c>
      <c r="AA149" s="2386">
        <v>17.399999618530273</v>
      </c>
      <c r="AD149" t="s">
        <v>547</v>
      </c>
      <c r="AE149" s="2352">
        <v>731.25</v>
      </c>
      <c r="AF149" s="2352">
        <v>202.5</v>
      </c>
      <c r="AG149" s="2352">
        <v>12</v>
      </c>
      <c r="AH149" s="2352">
        <v>11.25</v>
      </c>
    </row>
    <row r="150" spans="2:34" ht="12.75">
      <c r="B150" s="563" t="str">
        <f>RED!O1</f>
        <v>Grenzen</v>
      </c>
      <c r="C150" s="1"/>
      <c r="F150" t="str">
        <f>IF(Texte!SprachIdx=1,G150,IF(Texte!SprachIdx=2,H150,IF(Texte!SprachIdx=3,I150,"")))</f>
        <v xml:space="preserve">Die Haupt- und Zwischenfutterflächen und deren Felderträge müssen auf Seite 2 </v>
      </c>
      <c r="G150" t="s">
        <v>1237</v>
      </c>
      <c r="H150" t="s">
        <v>3106</v>
      </c>
      <c r="I150" t="s">
        <v>10923</v>
      </c>
      <c r="W150" t="s">
        <v>937</v>
      </c>
      <c r="X150" s="2386">
        <v>4.8000001907348633</v>
      </c>
      <c r="Y150" s="674">
        <v>210.60000610351563</v>
      </c>
      <c r="Z150" s="2386">
        <v>287.39999389648438</v>
      </c>
      <c r="AA150" s="2386">
        <v>13.199999809265137</v>
      </c>
      <c r="AD150" t="s">
        <v>5919</v>
      </c>
      <c r="AE150" s="2352">
        <v>770.25</v>
      </c>
      <c r="AF150" s="2352">
        <v>203.25</v>
      </c>
      <c r="AG150" s="2352">
        <v>19.5</v>
      </c>
      <c r="AH150" s="2352">
        <v>11.25</v>
      </c>
    </row>
    <row r="151" spans="2:34" ht="12.75">
      <c r="B151" s="563" t="str">
        <f>D_Fläche!$B$1</f>
        <v>Datenbank Ackerkulturen und Grünland</v>
      </c>
      <c r="C151" s="1"/>
      <c r="F151" t="str">
        <f>IF(Texte!SprachIdx=1,G151,IF(Texte!SprachIdx=2,H151,IF(Texte!SprachIdx=3,I151,"")))</f>
        <v>eingegeben werden. Haben Sie diese Angaben dort schon eingetragen?</v>
      </c>
      <c r="G151" t="s">
        <v>1157</v>
      </c>
      <c r="H151" t="s">
        <v>3107</v>
      </c>
      <c r="I151" t="s">
        <v>10924</v>
      </c>
      <c r="W151" t="s">
        <v>7765</v>
      </c>
      <c r="X151" s="2386">
        <v>495.60000610351563</v>
      </c>
      <c r="Y151" s="674">
        <v>135</v>
      </c>
      <c r="Z151" s="2386">
        <v>23.399999618530273</v>
      </c>
      <c r="AA151" s="2386">
        <v>18</v>
      </c>
      <c r="AD151" t="s">
        <v>5920</v>
      </c>
      <c r="AE151" s="2352">
        <v>107.25</v>
      </c>
      <c r="AF151" s="2352">
        <v>999</v>
      </c>
      <c r="AG151" s="2352">
        <v>18</v>
      </c>
      <c r="AH151" s="2352">
        <v>11.25</v>
      </c>
    </row>
    <row r="152" spans="2:34" ht="12.75">
      <c r="B152" s="563" t="str">
        <f>D_Tierb!$B$1</f>
        <v>Datenbank Tierhaltung</v>
      </c>
      <c r="C152" s="1"/>
      <c r="F152" t="str">
        <f>IF(Texte!SprachIdx=1,G152,IF(Texte!SprachIdx=2,H152,IF(Texte!SprachIdx=3,I152,"")))</f>
        <v>Hinweis zur Grundfutter-TS-Bilanz</v>
      </c>
      <c r="G152" t="s">
        <v>6579</v>
      </c>
      <c r="H152" t="s">
        <v>2480</v>
      </c>
      <c r="I152" t="s">
        <v>10925</v>
      </c>
      <c r="W152" t="s">
        <v>3452</v>
      </c>
      <c r="X152" s="2386">
        <v>108</v>
      </c>
      <c r="Y152" s="674">
        <v>90.599998474121094</v>
      </c>
      <c r="Z152" s="2386">
        <v>19.799999237060547</v>
      </c>
      <c r="AA152" s="2386">
        <v>17.399999618530273</v>
      </c>
      <c r="AD152" t="s">
        <v>5921</v>
      </c>
      <c r="AE152" s="2352">
        <v>156</v>
      </c>
      <c r="AF152" s="2352">
        <v>1125.75</v>
      </c>
      <c r="AG152" s="2352">
        <v>12</v>
      </c>
      <c r="AH152" s="2352">
        <v>11.25</v>
      </c>
    </row>
    <row r="153" spans="2:34" ht="12.75">
      <c r="B153" s="563" t="str">
        <f>D_Gemüse1!$B$2</f>
        <v>Gemüsebau Freiland</v>
      </c>
      <c r="C153" s="1"/>
      <c r="F153" t="str">
        <f>IF(Texte!SprachIdx=1,G153,IF(Texte!SprachIdx=2,H153,IF(Texte!SprachIdx=3,I153,"")))</f>
        <v>Sie haben für diese Tabelle zu viele Betriebszweige eingegeben! Überprüfen Sie Ihre Eingaben in den Tabellen "Fläche" und "Tierb" !</v>
      </c>
      <c r="G153" t="str">
        <f xml:space="preserve"> "Sie haben für diese Tabelle zu viele Betriebszweige eingegeben! Überprüfen Sie Ihre Eingaben in den Tabellen ""Fläche"" und ""Tierb"" !"</f>
        <v>Sie haben für diese Tabelle zu viele Betriebszweige eingegeben! Überprüfen Sie Ihre Eingaben in den Tabellen "Fläche" und "Tierb" !</v>
      </c>
      <c r="H153" t="s">
        <v>6923</v>
      </c>
      <c r="I153" t="s">
        <v>10926</v>
      </c>
      <c r="W153" t="s">
        <v>7256</v>
      </c>
      <c r="X153" s="2386">
        <v>234.60000610351563</v>
      </c>
      <c r="Y153" s="674">
        <v>90.599998474121094</v>
      </c>
      <c r="Z153" s="2386">
        <v>21.600000381469727</v>
      </c>
      <c r="AA153" s="2386">
        <v>17.399999618530273</v>
      </c>
      <c r="AD153" t="s">
        <v>5922</v>
      </c>
      <c r="AE153" s="2352">
        <v>105</v>
      </c>
      <c r="AF153" s="2352">
        <v>1150.5</v>
      </c>
      <c r="AG153" s="2352">
        <v>11.25</v>
      </c>
      <c r="AH153" s="2352">
        <v>11.25</v>
      </c>
    </row>
    <row r="154" spans="2:34" ht="12.75">
      <c r="B154" s="563" t="str">
        <f>D_Gemüse2!$B$2</f>
        <v>Gemüse Gewächshaus</v>
      </c>
      <c r="C154" s="1"/>
      <c r="F154" t="str">
        <f>IF(Texte!SprachIdx=1,G154,IF(Texte!SprachIdx=2,H154,IF(Texte!SprachIdx=3,I154,"")))</f>
        <v xml:space="preserve">Kulturflächen und Tierbestand müssen auf Seite 2 </v>
      </c>
      <c r="G154" t="s">
        <v>3144</v>
      </c>
      <c r="H154" t="s">
        <v>2696</v>
      </c>
      <c r="I154" t="s">
        <v>10927</v>
      </c>
      <c r="W154" t="s">
        <v>537</v>
      </c>
      <c r="X154" s="2386">
        <v>403.20001220703125</v>
      </c>
      <c r="Y154" s="674">
        <v>90.599998474121094</v>
      </c>
      <c r="Z154" s="2386">
        <v>22.799999237060547</v>
      </c>
      <c r="AA154" s="2386">
        <v>17.399999618530273</v>
      </c>
      <c r="AD154" t="s">
        <v>5923</v>
      </c>
      <c r="AE154" s="2352">
        <v>105</v>
      </c>
      <c r="AF154" s="2352">
        <v>1164</v>
      </c>
      <c r="AG154" s="2352">
        <v>11.25</v>
      </c>
      <c r="AH154" s="2352">
        <v>10.5</v>
      </c>
    </row>
    <row r="155" spans="2:34" ht="12.75">
      <c r="B155" s="563" t="str">
        <f>D_ObstBeeren!B2</f>
        <v>Obst und Beeren</v>
      </c>
      <c r="C155" s="1"/>
      <c r="F155" t="str">
        <f>IF(Texte!SprachIdx=1,G155,IF(Texte!SprachIdx=2,H155,IF(Texte!SprachIdx=3,I155,"")))</f>
        <v>eingegeben werden. Haben Sie das schon gemacht?</v>
      </c>
      <c r="G155" t="s">
        <v>2653</v>
      </c>
      <c r="H155" t="s">
        <v>1475</v>
      </c>
      <c r="I155" t="s">
        <v>10928</v>
      </c>
      <c r="W155" t="s">
        <v>3907</v>
      </c>
      <c r="X155" s="2386">
        <v>494.39999389648438</v>
      </c>
      <c r="Y155" s="674">
        <v>90.599998474121094</v>
      </c>
      <c r="Z155" s="2386">
        <v>21.600000381469727</v>
      </c>
      <c r="AA155" s="2386">
        <v>17.399999618530273</v>
      </c>
      <c r="AD155" t="s">
        <v>5924</v>
      </c>
      <c r="AE155" s="2352">
        <v>528.75</v>
      </c>
      <c r="AF155" s="2352">
        <v>907.5</v>
      </c>
      <c r="AG155" s="2352">
        <v>0</v>
      </c>
      <c r="AH155" s="2352">
        <v>244.5</v>
      </c>
    </row>
    <row r="156" spans="2:34" ht="12.75">
      <c r="B156" s="553"/>
      <c r="C156" s="1"/>
      <c r="F156" t="str">
        <f>IF(Texte!SprachIdx=1,G156,IF(Texte!SprachIdx=2,H156,IF(Texte!SprachIdx=3,I156,"")))</f>
        <v xml:space="preserve"> und 3 </v>
      </c>
      <c r="G156" t="s">
        <v>3145</v>
      </c>
      <c r="H156" t="s">
        <v>2616</v>
      </c>
      <c r="I156" t="s">
        <v>2710</v>
      </c>
      <c r="W156" t="s">
        <v>3908</v>
      </c>
      <c r="X156" s="2386">
        <v>292.79998779296875</v>
      </c>
      <c r="Y156" s="674">
        <v>210.60000610351563</v>
      </c>
      <c r="Z156" s="2386">
        <v>371.39999389648438</v>
      </c>
      <c r="AA156" s="2386">
        <v>13.199999809265137</v>
      </c>
      <c r="AD156" t="s">
        <v>5925</v>
      </c>
      <c r="AE156" s="2352">
        <v>165.75</v>
      </c>
      <c r="AF156" s="2352">
        <v>592.5</v>
      </c>
      <c r="AG156" s="2352">
        <v>12</v>
      </c>
      <c r="AH156" s="2352">
        <v>11.25</v>
      </c>
    </row>
    <row r="157" spans="2:34" ht="12.75">
      <c r="B157" s="563"/>
      <c r="C157" s="1"/>
      <c r="F157" t="str">
        <f>IF(Texte!SprachIdx=1,G157,IF(Texte!SprachIdx=2,H157,IF(Texte!SprachIdx=3,I157,"")))</f>
        <v>Hinweis zur Arbeitskraft-Bilanz</v>
      </c>
      <c r="G157" t="s">
        <v>759</v>
      </c>
      <c r="H157" t="s">
        <v>1476</v>
      </c>
      <c r="I157" t="s">
        <v>10929</v>
      </c>
      <c r="W157" t="s">
        <v>5136</v>
      </c>
      <c r="X157" s="2386">
        <v>632.4000244140625</v>
      </c>
      <c r="Y157" s="674">
        <v>90.599998474121094</v>
      </c>
      <c r="Z157" s="2386">
        <v>21.600000381469727</v>
      </c>
      <c r="AA157" s="2386">
        <v>17.399999618530273</v>
      </c>
      <c r="AD157" t="s">
        <v>550</v>
      </c>
      <c r="AE157" s="2352">
        <v>281.25</v>
      </c>
      <c r="AF157" s="2352">
        <v>592.5</v>
      </c>
      <c r="AG157" s="2352">
        <v>12</v>
      </c>
      <c r="AH157" s="2352">
        <v>11.25</v>
      </c>
    </row>
    <row r="158" spans="2:34" ht="12.75">
      <c r="B158" s="1"/>
      <c r="C158" s="1"/>
      <c r="F158" t="str">
        <f>IF(Texte!SprachIdx=1,G158,IF(Texte!SprachIdx=2,H158,IF(Texte!SprachIdx=3,I158,"")))</f>
        <v xml:space="preserve">Die Kulturflächen müssen auf Seiten 2 </v>
      </c>
      <c r="G158" t="s">
        <v>2034</v>
      </c>
      <c r="H158" t="s">
        <v>3521</v>
      </c>
      <c r="I158" t="s">
        <v>10930</v>
      </c>
      <c r="W158" t="s">
        <v>3846</v>
      </c>
      <c r="X158" s="2386">
        <v>293.70001220703125</v>
      </c>
      <c r="Y158" s="674">
        <v>1231.5</v>
      </c>
      <c r="Z158" s="2386">
        <v>14.25</v>
      </c>
      <c r="AA158" s="2386">
        <v>38.25</v>
      </c>
      <c r="AD158" t="s">
        <v>551</v>
      </c>
      <c r="AE158" s="2352">
        <v>847.5</v>
      </c>
      <c r="AF158" s="2352">
        <v>169.5</v>
      </c>
      <c r="AG158" s="2352">
        <v>16.5</v>
      </c>
      <c r="AH158" s="2352">
        <v>12.75</v>
      </c>
    </row>
    <row r="159" spans="2:34" ht="12.75">
      <c r="B159" s="1"/>
      <c r="C159" s="1"/>
      <c r="F159" t="str">
        <f>IF(Texte!SprachIdx=1,G159,IF(Texte!SprachIdx=2,H159,IF(Texte!SprachIdx=3,I159,"")))</f>
        <v>Hinweis zu Grundfutterkosten</v>
      </c>
      <c r="G159" t="s">
        <v>7407</v>
      </c>
      <c r="H159" t="s">
        <v>1878</v>
      </c>
      <c r="I159" t="s">
        <v>10931</v>
      </c>
      <c r="W159" t="s">
        <v>7766</v>
      </c>
      <c r="X159" s="2386">
        <v>384</v>
      </c>
      <c r="Y159" s="674">
        <v>134.39999389648438</v>
      </c>
      <c r="Z159" s="2386">
        <v>0</v>
      </c>
      <c r="AA159" s="2386">
        <v>36</v>
      </c>
      <c r="AD159" t="s">
        <v>552</v>
      </c>
      <c r="AE159" s="2352">
        <v>799.5</v>
      </c>
      <c r="AF159" s="2352">
        <v>201</v>
      </c>
      <c r="AG159" s="2352">
        <v>24.75</v>
      </c>
      <c r="AH159" s="2352">
        <v>11.25</v>
      </c>
    </row>
    <row r="160" spans="2:34" ht="12.75">
      <c r="B160" s="1"/>
      <c r="C160" s="1"/>
      <c r="F160" t="str">
        <f>IF(Texte!SprachIdx=1,G160,IF(Texte!SprachIdx=2,H160,IF(Texte!SprachIdx=3,I160,"")))</f>
        <v>Die Tabelle ist voll, es können keine weiteren Kulturen mehr eingegeben werden.</v>
      </c>
      <c r="G160" t="s">
        <v>3465</v>
      </c>
      <c r="H160" t="s">
        <v>3886</v>
      </c>
      <c r="I160" t="s">
        <v>10932</v>
      </c>
      <c r="V160" t="s">
        <v>1527</v>
      </c>
      <c r="W160" t="s">
        <v>938</v>
      </c>
      <c r="X160" s="2386">
        <v>527.54998779296875</v>
      </c>
      <c r="Y160" s="674">
        <v>772.79998779296875</v>
      </c>
      <c r="Z160" s="2386">
        <v>19.049999237060547</v>
      </c>
      <c r="AA160" s="2386">
        <v>0.75</v>
      </c>
      <c r="AD160" t="s">
        <v>5648</v>
      </c>
      <c r="AE160" s="2352">
        <v>4.5</v>
      </c>
      <c r="AF160" s="2352">
        <v>6.75</v>
      </c>
      <c r="AG160" s="2352">
        <v>112.5</v>
      </c>
      <c r="AH160" s="2352">
        <v>33.75</v>
      </c>
    </row>
    <row r="161" spans="2:34" ht="12.75">
      <c r="B161" s="1"/>
      <c r="C161" s="1"/>
      <c r="F161" t="str">
        <f>IF(Texte!SprachIdx=1,G161,IF(Texte!SprachIdx=2,H161,IF(Texte!SprachIdx=3,I161,"")))</f>
        <v>Hinweis zur Erfolgsrechnung</v>
      </c>
      <c r="G161" t="s">
        <v>3146</v>
      </c>
      <c r="H161" t="s">
        <v>3147</v>
      </c>
      <c r="I161" t="s">
        <v>10933</v>
      </c>
      <c r="W161" t="s">
        <v>3910</v>
      </c>
      <c r="X161" s="2386">
        <v>527.54998779296875</v>
      </c>
      <c r="Y161" s="674">
        <v>359.25</v>
      </c>
      <c r="Z161" s="2386">
        <v>19.049999237060547</v>
      </c>
      <c r="AA161" s="2386">
        <v>10.350000381469727</v>
      </c>
      <c r="AD161" t="s">
        <v>3401</v>
      </c>
      <c r="AE161" s="2352">
        <v>393.75</v>
      </c>
      <c r="AF161" s="2352">
        <v>114</v>
      </c>
      <c r="AG161" s="2352">
        <v>318.75</v>
      </c>
      <c r="AH161" s="2352">
        <v>13.5</v>
      </c>
    </row>
    <row r="162" spans="2:34" ht="12.75">
      <c r="B162" s="1"/>
      <c r="C162" s="1"/>
      <c r="F162" t="str">
        <f>IF(Texte!SprachIdx=1,G162,IF(Texte!SprachIdx=2,H162,IF(Texte!SprachIdx=3,I162,"")))</f>
        <v>Anzahl Milchkühe</v>
      </c>
      <c r="G162" t="s">
        <v>4819</v>
      </c>
      <c r="H162" t="s">
        <v>2615</v>
      </c>
      <c r="I162" t="s">
        <v>10934</v>
      </c>
      <c r="W162" t="s">
        <v>3912</v>
      </c>
      <c r="X162" s="2386">
        <v>108</v>
      </c>
      <c r="Y162" s="674">
        <v>691.20001220703125</v>
      </c>
      <c r="Z162" s="2386">
        <v>220.05000305175781</v>
      </c>
      <c r="AA162" s="2386">
        <v>0.75</v>
      </c>
      <c r="AD162" t="s">
        <v>7764</v>
      </c>
      <c r="AE162" s="2352">
        <v>528.75</v>
      </c>
      <c r="AF162" s="2352">
        <v>150.75</v>
      </c>
      <c r="AG162" s="2352">
        <v>24</v>
      </c>
      <c r="AH162" s="2352">
        <v>17.25</v>
      </c>
    </row>
    <row r="163" spans="2:34" ht="12.75">
      <c r="B163" s="1"/>
      <c r="C163" s="1"/>
      <c r="F163" t="str">
        <f>IF(Texte!SprachIdx=1,G163,IF(Texte!SprachIdx=2,H163,IF(Texte!SprachIdx=3,I163,"")))</f>
        <v>Die Anzahl der Milchkühe wird automatisch auch auf den Blättern "Jungviehbilanz" und "Tierbestand" angepasst. Die Jungviehbilanz wird dabei aber nicht optimiert!</v>
      </c>
      <c r="G163" t="s">
        <v>2250</v>
      </c>
      <c r="H163" t="s">
        <v>79</v>
      </c>
      <c r="I163" t="s">
        <v>10935</v>
      </c>
      <c r="W163" t="s">
        <v>939</v>
      </c>
      <c r="X163" s="2386">
        <v>527.54998779296875</v>
      </c>
      <c r="Y163" s="674">
        <v>772.79998779296875</v>
      </c>
      <c r="Z163" s="2386">
        <v>13.800000190734863</v>
      </c>
      <c r="AA163" s="2386">
        <v>0.75</v>
      </c>
      <c r="AD163" t="s">
        <v>937</v>
      </c>
      <c r="AE163" s="2352">
        <v>5.25</v>
      </c>
      <c r="AF163" s="2352">
        <v>208.5</v>
      </c>
      <c r="AG163" s="2352">
        <v>312.75</v>
      </c>
      <c r="AH163" s="2352">
        <v>13.5</v>
      </c>
    </row>
    <row r="164" spans="2:34" ht="12.75">
      <c r="C164" s="1"/>
      <c r="F164" t="str">
        <f>IF(Texte!SprachIdx=1,G164,IF(Texte!SprachIdx=2,H164,IF(Texte!SprachIdx=3,I164,"")))</f>
        <v>Kuhzahl verändern</v>
      </c>
      <c r="G164" t="s">
        <v>4820</v>
      </c>
      <c r="H164" t="s">
        <v>2614</v>
      </c>
      <c r="I164" t="s">
        <v>10936</v>
      </c>
      <c r="W164" t="s">
        <v>4867</v>
      </c>
      <c r="X164" s="2386">
        <v>527.54998779296875</v>
      </c>
      <c r="Y164" s="674">
        <v>772.79998779296875</v>
      </c>
      <c r="Z164" s="2386">
        <v>13.800000190734863</v>
      </c>
      <c r="AA164" s="2386">
        <v>0.75</v>
      </c>
      <c r="AD164" t="s">
        <v>7765</v>
      </c>
      <c r="AE164" s="2352">
        <v>528.75</v>
      </c>
      <c r="AF164" s="2352">
        <v>134.25</v>
      </c>
      <c r="AG164" s="2352">
        <v>23.25</v>
      </c>
      <c r="AH164" s="2352">
        <v>18</v>
      </c>
    </row>
    <row r="165" spans="2:34" ht="12.75">
      <c r="C165" s="1"/>
      <c r="F165" t="str">
        <f>IF(Texte!SprachIdx=1,G165,IF(Texte!SprachIdx=2,H165,IF(Texte!SprachIdx=3,I165,"")))</f>
        <v>Milchmenge in kg</v>
      </c>
      <c r="G165" t="s">
        <v>2721</v>
      </c>
      <c r="H165" t="s">
        <v>6725</v>
      </c>
      <c r="I165" t="s">
        <v>6207</v>
      </c>
      <c r="W165" t="s">
        <v>940</v>
      </c>
      <c r="X165" s="2386">
        <v>527.54998779296875</v>
      </c>
      <c r="Y165" s="674">
        <v>772.79998779296875</v>
      </c>
      <c r="Z165" s="2386">
        <v>13.800000190734863</v>
      </c>
      <c r="AA165" s="2386">
        <v>0.75</v>
      </c>
      <c r="AD165" t="s">
        <v>3452</v>
      </c>
      <c r="AE165" s="2352">
        <v>105</v>
      </c>
      <c r="AF165" s="2352">
        <v>90</v>
      </c>
      <c r="AG165" s="2352">
        <v>24</v>
      </c>
      <c r="AH165" s="2352">
        <v>17.25</v>
      </c>
    </row>
    <row r="166" spans="2:34" ht="12.75">
      <c r="C166" s="1"/>
      <c r="F166" t="str">
        <f>IF(Texte!SprachIdx=1,G166,IF(Texte!SprachIdx=2,H166,IF(Texte!SprachIdx=3,I166,"")))</f>
        <v>(Die Milchleistung wird automatisch auch auf dem Blatt "Tierbestand" angepasst)</v>
      </c>
      <c r="G166" t="s">
        <v>3441</v>
      </c>
      <c r="H166" t="s">
        <v>3732</v>
      </c>
      <c r="I166" t="s">
        <v>10937</v>
      </c>
      <c r="W166" t="s">
        <v>4868</v>
      </c>
      <c r="X166" s="2386">
        <v>418.79998779296875</v>
      </c>
      <c r="Y166" s="674">
        <v>153.14999389648438</v>
      </c>
      <c r="Z166" s="2386">
        <v>12</v>
      </c>
      <c r="AA166" s="2386">
        <v>13.050000190734863</v>
      </c>
      <c r="AD166" t="s">
        <v>7256</v>
      </c>
      <c r="AE166" s="2352">
        <v>252.75</v>
      </c>
      <c r="AF166" s="2352">
        <v>90</v>
      </c>
      <c r="AG166" s="2352">
        <v>24</v>
      </c>
      <c r="AH166" s="2352">
        <v>17.25</v>
      </c>
    </row>
    <row r="167" spans="2:34">
      <c r="F167" t="str">
        <f>IF(Texte!SprachIdx=1,G167,IF(Texte!SprachIdx=2,H167,IF(Texte!SprachIdx=3,I167,"")))</f>
        <v>Milchleistung verändern</v>
      </c>
      <c r="G167" t="s">
        <v>617</v>
      </c>
      <c r="H167" t="s">
        <v>5985</v>
      </c>
      <c r="I167" t="s">
        <v>10938</v>
      </c>
      <c r="W167" t="s">
        <v>6362</v>
      </c>
      <c r="X167" s="2386">
        <v>461.54998779296875</v>
      </c>
      <c r="Y167" s="674">
        <v>444.75</v>
      </c>
      <c r="Z167" s="2386">
        <v>16.5</v>
      </c>
      <c r="AA167" s="2386">
        <v>10.5</v>
      </c>
      <c r="AD167" t="s">
        <v>537</v>
      </c>
      <c r="AE167" s="2352">
        <v>425.25</v>
      </c>
      <c r="AF167" s="2352">
        <v>90</v>
      </c>
      <c r="AG167" s="2352">
        <v>24</v>
      </c>
      <c r="AH167" s="2352">
        <v>17.25</v>
      </c>
    </row>
    <row r="168" spans="2:34">
      <c r="F168" t="str">
        <f>IF(Texte!SprachIdx=1,G168,IF(Texte!SprachIdx=2,H168,IF(Texte!SprachIdx=3,I168,"")))</f>
        <v>bitte gültiges Passwort eingeben</v>
      </c>
      <c r="G168" t="s">
        <v>4821</v>
      </c>
      <c r="H168" t="s">
        <v>6724</v>
      </c>
      <c r="I168" t="s">
        <v>10939</v>
      </c>
      <c r="W168" t="s">
        <v>380</v>
      </c>
      <c r="X168" s="2386">
        <v>418.79998779296875</v>
      </c>
      <c r="Y168" s="674">
        <v>192.60000610351563</v>
      </c>
      <c r="Z168" s="2386">
        <v>17.25</v>
      </c>
      <c r="AA168" s="2386">
        <v>16.649999618530273</v>
      </c>
      <c r="AD168" t="s">
        <v>3907</v>
      </c>
      <c r="AE168" s="2352">
        <v>525</v>
      </c>
      <c r="AF168" s="2352">
        <v>90</v>
      </c>
      <c r="AG168" s="2352">
        <v>24</v>
      </c>
      <c r="AH168" s="2352">
        <v>17.25</v>
      </c>
    </row>
    <row r="169" spans="2:34" ht="12.75">
      <c r="F169" t="str">
        <f>IF(Texte!SprachIdx=1,G169,IF(Texte!SprachIdx=2,H169,IF(Texte!SprachIdx=3,I169,"")))</f>
        <v>Mit dieser Programmversion dürfen nur Suisse-Bilanzen ab Erntejahr 2025 gerechnet werden! Für das Vorjahr verwenden Sie bitte die Version 9.8.</v>
      </c>
      <c r="G169" s="1006" t="str">
        <f>"Mit dieser Programmversion dürfen nur Suisse-Bilanzen ab Erntejahr " &amp; GültigAb_Nachweis &amp; " gerechnet werden! Für das Vorjahr verwenden Sie bitte die Version " &amp; VorVersNr &amp; "."</f>
        <v>Mit dieser Programmversion dürfen nur Suisse-Bilanzen ab Erntejahr 2025 gerechnet werden! Für das Vorjahr verwenden Sie bitte die Version 9.8.</v>
      </c>
      <c r="H169" s="1836" t="str">
        <f>"Cette version du logiciel n’est autorisée que pour le calcul du Suisse-Bilanz à partir de " &amp; GültigAb_Nachweis &amp; " ! Pour les années précédentes utilisez la version " &amp; VorVersNr &amp; " s.v.p."</f>
        <v>Cette version du logiciel n’est autorisée que pour le calcul du Suisse-Bilanz à partir de 2025 ! Pour les années précédentes utilisez la version 9.8 s.v.p.</v>
      </c>
      <c r="I169" t="str">
        <f>"Questa versione del programma si può utilizzare per il calcolo di CHBZ solo a partire dal " &amp;  GültigAb_Nachweis &amp; "! Per gli anni precedenti, utilizza per favore la versione " &amp; VorVersNr &amp; "."</f>
        <v>Questa versione del programma si può utilizzare per il calcolo di CHBZ solo a partire dal 2025! Per gli anni precedenti, utilizza per favore la versione 9.8.</v>
      </c>
      <c r="W169" t="s">
        <v>6235</v>
      </c>
      <c r="X169" s="2386">
        <v>418.79998779296875</v>
      </c>
      <c r="Y169" s="674">
        <v>166.19999694824219</v>
      </c>
      <c r="Z169" s="2386">
        <v>12</v>
      </c>
      <c r="AA169" s="2386">
        <v>26.399999618530273</v>
      </c>
      <c r="AD169" t="s">
        <v>3908</v>
      </c>
      <c r="AE169" s="2352">
        <v>318.75</v>
      </c>
      <c r="AF169" s="2352">
        <v>208.5</v>
      </c>
      <c r="AG169" s="2352">
        <v>393.75</v>
      </c>
      <c r="AH169" s="2352">
        <v>13.5</v>
      </c>
    </row>
    <row r="170" spans="2:34" ht="12.75">
      <c r="F170" t="str">
        <f>IF(Texte!SprachIdx=1,G170,IF(Texte!SprachIdx=2,H170,IF(Texte!SprachIdx=3,I170,"")))</f>
        <v>Hier muss das zutreffende Austallungssystem ausgewählt werden!</v>
      </c>
      <c r="G170" t="s">
        <v>6026</v>
      </c>
      <c r="H170" s="1006" t="s">
        <v>1582</v>
      </c>
      <c r="I170" t="s">
        <v>10940</v>
      </c>
      <c r="W170" t="s">
        <v>6236</v>
      </c>
      <c r="X170" s="2386">
        <v>418.79998779296875</v>
      </c>
      <c r="Y170" s="674">
        <v>246.60000610351563</v>
      </c>
      <c r="Z170" s="2386">
        <v>12</v>
      </c>
      <c r="AA170" s="2386">
        <v>13.199999809265137</v>
      </c>
      <c r="AD170" t="s">
        <v>5136</v>
      </c>
      <c r="AE170" s="2352">
        <v>675</v>
      </c>
      <c r="AF170" s="2352">
        <v>90</v>
      </c>
      <c r="AG170" s="2352">
        <v>24</v>
      </c>
      <c r="AH170" s="2352">
        <v>17.25</v>
      </c>
    </row>
    <row r="171" spans="2:34" ht="12.75">
      <c r="F171" t="str">
        <f>IF(Texte!SprachIdx=1,G171,IF(Texte!SprachIdx=2,H171,IF(Texte!SprachIdx=3,I171,"")))</f>
        <v>Hier muss eine Güllegrube angegeben werden!</v>
      </c>
      <c r="G171" t="s">
        <v>2980</v>
      </c>
      <c r="H171" s="1006" t="s">
        <v>1912</v>
      </c>
      <c r="I171" t="s">
        <v>10941</v>
      </c>
      <c r="W171" t="s">
        <v>6237</v>
      </c>
      <c r="X171" s="2386">
        <v>418.79998779296875</v>
      </c>
      <c r="Y171" s="674">
        <v>259.79998779296875</v>
      </c>
      <c r="Z171" s="2386">
        <v>12</v>
      </c>
      <c r="AA171" s="2386">
        <v>13.199999809265137</v>
      </c>
      <c r="AD171" t="s">
        <v>3846</v>
      </c>
      <c r="AE171" s="2352">
        <v>319.5</v>
      </c>
      <c r="AF171" s="2352">
        <v>1206</v>
      </c>
      <c r="AG171" s="2352">
        <v>14.25</v>
      </c>
      <c r="AH171" s="2352">
        <v>37.5</v>
      </c>
    </row>
    <row r="172" spans="2:34" ht="12.75">
      <c r="F172" t="str">
        <f>IF(Texte!SprachIdx=1,G172,IF(Texte!SprachIdx=2,H172,IF(Texte!SprachIdx=3,I172,"")))</f>
        <v>Hier muss ein Mistplatz angegeben werden!</v>
      </c>
      <c r="G172" t="s">
        <v>2981</v>
      </c>
      <c r="H172" s="1006" t="s">
        <v>1913</v>
      </c>
      <c r="I172" t="s">
        <v>10942</v>
      </c>
      <c r="W172" t="s">
        <v>6238</v>
      </c>
      <c r="X172" s="2386">
        <v>418.79998779296875</v>
      </c>
      <c r="Y172" s="674">
        <v>285</v>
      </c>
      <c r="Z172" s="2386">
        <v>12</v>
      </c>
      <c r="AA172" s="2386">
        <v>11.699999809265137</v>
      </c>
      <c r="AD172" t="s">
        <v>7766</v>
      </c>
      <c r="AE172" s="2352">
        <v>411</v>
      </c>
      <c r="AF172" s="2352">
        <v>133.5</v>
      </c>
      <c r="AG172" s="2352">
        <v>0</v>
      </c>
      <c r="AH172" s="2352">
        <v>36</v>
      </c>
    </row>
    <row r="173" spans="2:34" ht="12.75">
      <c r="F173" t="str">
        <f>IF(Texte!SprachIdx=1,G173,IF(Texte!SprachIdx=2,H173,IF(Texte!SprachIdx=3,I173,"")))</f>
        <v>Die Tierzahl im Aufstallungssystem 2 übersteigt die im Blatt 'Tierbestand' eingegebene Anzahl!</v>
      </c>
      <c r="G173" t="s">
        <v>1883</v>
      </c>
      <c r="H173" s="1006" t="s">
        <v>6306</v>
      </c>
      <c r="I173" t="s">
        <v>10943</v>
      </c>
      <c r="W173" t="s">
        <v>6239</v>
      </c>
      <c r="X173" s="2386">
        <v>418.79998779296875</v>
      </c>
      <c r="Y173" s="674">
        <v>333.45001220703125</v>
      </c>
      <c r="Z173" s="2386">
        <v>12</v>
      </c>
      <c r="AA173" s="2386">
        <v>12.449999809265137</v>
      </c>
      <c r="AC173" t="s">
        <v>1527</v>
      </c>
      <c r="AD173" t="s">
        <v>3400</v>
      </c>
      <c r="AE173" s="2352">
        <v>503.25</v>
      </c>
      <c r="AF173" s="2352">
        <v>331.5</v>
      </c>
      <c r="AG173" s="2352">
        <v>25.5</v>
      </c>
      <c r="AH173" s="2352">
        <v>12</v>
      </c>
    </row>
    <row r="174" spans="2:34" ht="12.75">
      <c r="F174" t="str">
        <f>IF(Texte!SprachIdx=1,G174,IF(Texte!SprachIdx=2,H174,IF(Texte!SprachIdx=3,I174,"")))</f>
        <v>Weitere Fehlermeldungen anzeigen?</v>
      </c>
      <c r="G174" t="s">
        <v>4081</v>
      </c>
      <c r="H174" s="1006" t="s">
        <v>1914</v>
      </c>
      <c r="I174" t="s">
        <v>10944</v>
      </c>
      <c r="W174" t="s">
        <v>5403</v>
      </c>
      <c r="X174" s="2386">
        <v>418.79998779296875</v>
      </c>
      <c r="Y174" s="674">
        <v>346.64999389648438</v>
      </c>
      <c r="Z174" s="2386">
        <v>12</v>
      </c>
      <c r="AA174" s="2386">
        <v>11.850000381469727</v>
      </c>
      <c r="AD174" t="s">
        <v>3909</v>
      </c>
      <c r="AE174" s="2352">
        <v>504</v>
      </c>
      <c r="AF174" s="2352">
        <v>244.5</v>
      </c>
      <c r="AG174" s="2352">
        <v>15.75</v>
      </c>
      <c r="AH174" s="2352">
        <v>87</v>
      </c>
    </row>
    <row r="175" spans="2:34" ht="12.75">
      <c r="F175" t="str">
        <f>IF(Texte!SprachIdx=1,G175,IF(Texte!SprachIdx=2,H175,IF(Texte!SprachIdx=3,I175,"")))</f>
        <v>Fehlermeldung</v>
      </c>
      <c r="G175" t="s">
        <v>4082</v>
      </c>
      <c r="H175" s="1006" t="s">
        <v>5076</v>
      </c>
      <c r="I175" t="s">
        <v>7561</v>
      </c>
      <c r="W175" t="s">
        <v>5404</v>
      </c>
      <c r="X175" s="2386">
        <v>418.79998779296875</v>
      </c>
      <c r="Y175" s="674">
        <v>358.5</v>
      </c>
      <c r="Z175" s="2386">
        <v>12</v>
      </c>
      <c r="AA175" s="2386">
        <v>12.600000381469727</v>
      </c>
      <c r="AD175" t="s">
        <v>938</v>
      </c>
      <c r="AE175" s="2352">
        <v>618.75</v>
      </c>
      <c r="AF175" s="2352">
        <v>827.25</v>
      </c>
      <c r="AG175" s="2352">
        <v>22.5</v>
      </c>
      <c r="AH175" s="2352">
        <v>0.75</v>
      </c>
    </row>
    <row r="176" spans="2:34" ht="12.75">
      <c r="F176" t="str">
        <f>IF(Texte!SprachIdx=1,G176,IF(Texte!SprachIdx=2,H176,IF(Texte!SprachIdx=3,I176,"")))</f>
        <v>Anzahl Tiere im Laufhof übersteigt die Tierzahl oder ist negativ!</v>
      </c>
      <c r="G176" t="s">
        <v>4507</v>
      </c>
      <c r="H176" s="1006" t="s">
        <v>4316</v>
      </c>
      <c r="I176" t="s">
        <v>10945</v>
      </c>
      <c r="W176" t="s">
        <v>5405</v>
      </c>
      <c r="X176" s="2386">
        <v>418.79998779296875</v>
      </c>
      <c r="Y176" s="674">
        <v>371.85000610351563</v>
      </c>
      <c r="Z176" s="2386">
        <v>12</v>
      </c>
      <c r="AA176" s="2386">
        <v>12.600000381469727</v>
      </c>
      <c r="AD176" t="s">
        <v>3910</v>
      </c>
      <c r="AE176" s="2352">
        <v>618.75</v>
      </c>
      <c r="AF176" s="2352">
        <v>354.75</v>
      </c>
      <c r="AG176" s="2352">
        <v>22.5</v>
      </c>
      <c r="AH176" s="2352">
        <v>10.5</v>
      </c>
    </row>
    <row r="177" spans="6:34" ht="12.75">
      <c r="F177" t="str">
        <f>IF(Texte!SprachIdx=1,G177,IF(Texte!SprachIdx=2,H177,IF(Texte!SprachIdx=3,I177,"")))</f>
        <v>Anzahl Weidetiere übersteigt die Tierzahl oder ist negativ!</v>
      </c>
      <c r="G177" t="s">
        <v>5328</v>
      </c>
      <c r="H177" s="1006" t="s">
        <v>5627</v>
      </c>
      <c r="I177" t="s">
        <v>10946</v>
      </c>
      <c r="W177" t="s">
        <v>2116</v>
      </c>
      <c r="X177" s="2386">
        <v>418.79998779296875</v>
      </c>
      <c r="Y177" s="674">
        <v>384.45001220703125</v>
      </c>
      <c r="Z177" s="2386">
        <v>12</v>
      </c>
      <c r="AA177" s="2386">
        <v>13.199999809265137</v>
      </c>
      <c r="AD177" t="s">
        <v>3911</v>
      </c>
      <c r="AE177" s="2352">
        <v>503.25</v>
      </c>
      <c r="AF177" s="2352">
        <v>369</v>
      </c>
      <c r="AG177" s="2352">
        <v>13.5</v>
      </c>
      <c r="AH177" s="2352">
        <v>12.75</v>
      </c>
    </row>
    <row r="178" spans="6:34" ht="12.75">
      <c r="F178" t="str">
        <f>IF(Texte!SprachIdx=1,G178,IF(Texte!SprachIdx=2,H178,IF(Texte!SprachIdx=3,I178,"")))</f>
        <v>In dieser Kategorie sind keine Tiere vorhanden, jedoch Abzüge eingetragen oder die eingetragenen Abzüge übersteigen die Tierzahl!</v>
      </c>
      <c r="G178" t="s">
        <v>4170</v>
      </c>
      <c r="H178" s="1006" t="s">
        <v>5685</v>
      </c>
      <c r="I178" t="s">
        <v>10947</v>
      </c>
      <c r="W178" t="s">
        <v>7194</v>
      </c>
      <c r="X178" s="2386">
        <v>418.79998779296875</v>
      </c>
      <c r="Y178" s="674">
        <v>398.39999389648438</v>
      </c>
      <c r="Z178" s="2386">
        <v>15.75</v>
      </c>
      <c r="AA178" s="2386">
        <v>12.600000381469727</v>
      </c>
      <c r="AD178" t="s">
        <v>3912</v>
      </c>
      <c r="AE178" s="2352">
        <v>108.75</v>
      </c>
      <c r="AF178" s="2352">
        <v>746.25</v>
      </c>
      <c r="AG178" s="2352">
        <v>246</v>
      </c>
      <c r="AH178" s="2352">
        <v>0.75</v>
      </c>
    </row>
    <row r="179" spans="6:34">
      <c r="F179" t="str">
        <f>IF(Texte!SprachIdx=1,G179,IF(Texte!SprachIdx=2,H179,IF(Texte!SprachIdx=3,I179,"")))</f>
        <v>Sie haben der Güllengrube Nr.</v>
      </c>
      <c r="G179" t="s">
        <v>7550</v>
      </c>
      <c r="H179" t="s">
        <v>3112</v>
      </c>
      <c r="I179" t="s">
        <v>10948</v>
      </c>
      <c r="W179" t="s">
        <v>5406</v>
      </c>
      <c r="X179" s="2386">
        <v>461.54998779296875</v>
      </c>
      <c r="Y179" s="674">
        <v>417.29998779296875</v>
      </c>
      <c r="Z179" s="2386">
        <v>13.5</v>
      </c>
      <c r="AA179" s="2386">
        <v>14.699999809265137</v>
      </c>
      <c r="AD179" t="s">
        <v>3913</v>
      </c>
      <c r="AE179" s="2352">
        <v>387</v>
      </c>
      <c r="AF179" s="2352">
        <v>746.25</v>
      </c>
      <c r="AG179" s="2352">
        <v>26.25</v>
      </c>
      <c r="AH179" s="2352">
        <v>0.75</v>
      </c>
    </row>
    <row r="180" spans="6:34">
      <c r="F180" t="str">
        <f>IF(Texte!SprachIdx=1,G180,IF(Texte!SprachIdx=2,H180,IF(Texte!SprachIdx=3,I180,"")))</f>
        <v>Sie haben dem Mistplatz Nr.</v>
      </c>
      <c r="G180" t="s">
        <v>472</v>
      </c>
      <c r="H180" t="s">
        <v>2914</v>
      </c>
      <c r="I180" t="s">
        <v>10949</v>
      </c>
      <c r="W180" t="s">
        <v>2874</v>
      </c>
      <c r="X180" s="2386">
        <v>418.79998779296875</v>
      </c>
      <c r="Y180" s="674">
        <v>320.70001220703125</v>
      </c>
      <c r="Z180" s="2386">
        <v>12</v>
      </c>
      <c r="AA180" s="2386">
        <v>12.75</v>
      </c>
      <c r="AD180" t="s">
        <v>939</v>
      </c>
      <c r="AE180" s="2352">
        <v>618.75</v>
      </c>
      <c r="AF180" s="2352">
        <v>827.25</v>
      </c>
      <c r="AG180" s="2352">
        <v>17.25</v>
      </c>
      <c r="AH180" s="2352">
        <v>0.75</v>
      </c>
    </row>
    <row r="181" spans="6:34">
      <c r="F181" t="str">
        <f>IF(Texte!SprachIdx=1,G181,IF(Texte!SprachIdx=2,H181,IF(Texte!SprachIdx=3,I181,"")))</f>
        <v>zu viele Tiergattungen zugewiesen! Überprüfen Sie Ihre Eingaben auf auf dem Blatt</v>
      </c>
      <c r="G181" t="s">
        <v>4830</v>
      </c>
      <c r="H181" t="s">
        <v>302</v>
      </c>
      <c r="I181" t="s">
        <v>10950</v>
      </c>
      <c r="W181" t="s">
        <v>2875</v>
      </c>
      <c r="X181" s="2386">
        <v>540.5999755859375</v>
      </c>
      <c r="Y181" s="674">
        <v>444</v>
      </c>
      <c r="Z181" s="2386">
        <v>8.25</v>
      </c>
      <c r="AA181" s="2386">
        <v>12</v>
      </c>
      <c r="AD181" t="s">
        <v>4867</v>
      </c>
      <c r="AE181" s="2352">
        <v>618.75</v>
      </c>
      <c r="AF181" s="2352">
        <v>827.25</v>
      </c>
      <c r="AG181" s="2352">
        <v>17.25</v>
      </c>
      <c r="AH181" s="2352">
        <v>0.75</v>
      </c>
    </row>
    <row r="182" spans="6:34" ht="12.75">
      <c r="F182" t="str">
        <f>IF(Texte!SprachIdx=1,G182,IF(Texte!SprachIdx=2,H182,IF(Texte!SprachIdx=3,I182,"")))</f>
        <v xml:space="preserve">Diese Funktion setzt Zeichnungsobjekte auf </v>
      </c>
      <c r="G182" t="s">
        <v>2772</v>
      </c>
      <c r="H182" s="1006" t="s">
        <v>6308</v>
      </c>
      <c r="I182" t="s">
        <v>10951</v>
      </c>
      <c r="W182" t="s">
        <v>2876</v>
      </c>
      <c r="X182" s="2386">
        <v>218.39999389648438</v>
      </c>
      <c r="Y182" s="674">
        <v>1146</v>
      </c>
      <c r="Z182" s="2386">
        <v>15.300000190734863</v>
      </c>
      <c r="AA182" s="2386">
        <v>11.850000381469727</v>
      </c>
      <c r="AD182" t="s">
        <v>940</v>
      </c>
      <c r="AE182" s="2352">
        <v>618.75</v>
      </c>
      <c r="AF182" s="2352">
        <v>827.25</v>
      </c>
      <c r="AG182" s="2352">
        <v>17.25</v>
      </c>
      <c r="AH182" s="2352">
        <v>0.75</v>
      </c>
    </row>
    <row r="183" spans="6:34" ht="12.75">
      <c r="F183" t="str">
        <f>IF(Texte!SprachIdx=1,G183,IF(Texte!SprachIdx=2,H183,IF(Texte!SprachIdx=3,I183,"")))</f>
        <v>ihre ursprüngliche Grösse und Position zurück.</v>
      </c>
      <c r="G183" t="s">
        <v>1554</v>
      </c>
      <c r="H183" s="1006" t="s">
        <v>4788</v>
      </c>
      <c r="I183" t="s">
        <v>10952</v>
      </c>
      <c r="W183" t="s">
        <v>2877</v>
      </c>
      <c r="X183" s="2386">
        <v>195.14999389648438</v>
      </c>
      <c r="Y183" s="674">
        <v>942</v>
      </c>
      <c r="Z183" s="2386">
        <v>13.5</v>
      </c>
      <c r="AA183" s="2386">
        <v>12</v>
      </c>
      <c r="AD183" t="s">
        <v>4868</v>
      </c>
      <c r="AE183" s="2352">
        <v>456.75</v>
      </c>
      <c r="AF183" s="2352">
        <v>153.75</v>
      </c>
      <c r="AG183" s="2352">
        <v>12</v>
      </c>
      <c r="AH183" s="2352">
        <v>12.75</v>
      </c>
    </row>
    <row r="184" spans="6:34" ht="12.75">
      <c r="F184" t="str">
        <f>IF(Texte!SprachIdx=1,G184,IF(Texte!SprachIdx=2,H184,IF(Texte!SprachIdx=3,I184,"")))</f>
        <v>Sie sollten diese nur ausführen, wenn wirklich</v>
      </c>
      <c r="G184" t="s">
        <v>7049</v>
      </c>
      <c r="H184" s="1006" t="s">
        <v>4789</v>
      </c>
      <c r="I184" t="s">
        <v>10953</v>
      </c>
      <c r="W184" t="s">
        <v>2878</v>
      </c>
      <c r="X184" s="2386">
        <v>563.8499755859375</v>
      </c>
      <c r="Y184" s="674">
        <v>359.25</v>
      </c>
      <c r="Z184" s="2386">
        <v>19.049999237060547</v>
      </c>
      <c r="AA184" s="2386">
        <v>10.350000381469727</v>
      </c>
      <c r="AD184" t="s">
        <v>4869</v>
      </c>
      <c r="AE184" s="2352">
        <v>506.25</v>
      </c>
      <c r="AF184" s="2352">
        <v>357</v>
      </c>
      <c r="AG184" s="2352">
        <v>13.5</v>
      </c>
      <c r="AH184" s="2352">
        <v>1.5</v>
      </c>
    </row>
    <row r="185" spans="6:34" ht="12.75">
      <c r="F185" t="str">
        <f>IF(Texte!SprachIdx=1,G185,IF(Texte!SprachIdx=2,H185,IF(Texte!SprachIdx=3,I185,"")))</f>
        <v xml:space="preserve">Anlass dazu besteht! Wollen Sie weiterfahren? </v>
      </c>
      <c r="G185" t="s">
        <v>7050</v>
      </c>
      <c r="H185" s="1006" t="s">
        <v>5529</v>
      </c>
      <c r="I185" t="s">
        <v>10954</v>
      </c>
      <c r="W185" t="s">
        <v>2879</v>
      </c>
      <c r="X185" s="2386">
        <v>598.6500244140625</v>
      </c>
      <c r="Y185" s="674">
        <v>359.25</v>
      </c>
      <c r="Z185" s="2386">
        <v>19.049999237060547</v>
      </c>
      <c r="AA185" s="2386">
        <v>10.350000381469727</v>
      </c>
      <c r="AD185" t="s">
        <v>3986</v>
      </c>
      <c r="AE185" s="2352">
        <v>503.25</v>
      </c>
      <c r="AF185" s="2352">
        <v>356.25</v>
      </c>
      <c r="AG185" s="2352">
        <v>13.5</v>
      </c>
      <c r="AH185" s="2352">
        <v>14.25</v>
      </c>
    </row>
    <row r="186" spans="6:34">
      <c r="F186" t="str">
        <f>IF(Texte!SprachIdx=1,G186,IF(Texte!SprachIdx=2,H186,IF(Texte!SprachIdx=3,I186,"")))</f>
        <v>Die hier gewählte Erfassungsoption ist definitiv und kann in dieser Planungsvariante nicht mehr geändert werden!</v>
      </c>
      <c r="G186" t="s">
        <v>7292</v>
      </c>
      <c r="H186" t="s">
        <v>7199</v>
      </c>
      <c r="I186" t="s">
        <v>10955</v>
      </c>
      <c r="W186" t="s">
        <v>2880</v>
      </c>
      <c r="X186" s="2386">
        <v>633.45001220703125</v>
      </c>
      <c r="Y186" s="674">
        <v>359.25</v>
      </c>
      <c r="Z186" s="2386">
        <v>19.049999237060547</v>
      </c>
      <c r="AA186" s="2386">
        <v>10.350000381469727</v>
      </c>
      <c r="AD186" t="s">
        <v>6362</v>
      </c>
      <c r="AE186" s="2352">
        <v>491.25</v>
      </c>
      <c r="AF186" s="2352">
        <v>438.75</v>
      </c>
      <c r="AG186" s="2352">
        <v>16.5</v>
      </c>
      <c r="AH186" s="2352">
        <v>10.5</v>
      </c>
    </row>
    <row r="187" spans="6:34">
      <c r="F187" t="str">
        <f>IF(Texte!SprachIdx=1,G187,IF(Texte!SprachIdx=2,H187,IF(Texte!SprachIdx=3,I187,"")))</f>
        <v xml:space="preserve">Ihre Eingaben werden gelöscht. Wollen Sie trotzdem fortfahren? </v>
      </c>
      <c r="G187" t="s">
        <v>6146</v>
      </c>
      <c r="H187" t="s">
        <v>1905</v>
      </c>
      <c r="I187" t="s">
        <v>10956</v>
      </c>
      <c r="W187" t="s">
        <v>5648</v>
      </c>
      <c r="X187" s="2386">
        <v>4.1999998092651367</v>
      </c>
      <c r="Y187" s="674">
        <v>6.75</v>
      </c>
      <c r="Z187" s="2386">
        <v>112.05000305175781</v>
      </c>
      <c r="AA187" s="2386">
        <v>33.75</v>
      </c>
      <c r="AD187" t="s">
        <v>380</v>
      </c>
      <c r="AE187" s="2352">
        <v>456.75</v>
      </c>
      <c r="AF187" s="2352">
        <v>192</v>
      </c>
      <c r="AG187" s="2352">
        <v>17.25</v>
      </c>
      <c r="AH187" s="2352">
        <v>15.75</v>
      </c>
    </row>
    <row r="188" spans="6:34" ht="12.75" customHeight="1">
      <c r="F188" t="str">
        <f>IF(Texte!SprachIdx=1,G188,IF(Texte!SprachIdx=2,H188,IF(Texte!SprachIdx=3,I188,"")))</f>
        <v>Eingabefehler</v>
      </c>
      <c r="G188" t="s">
        <v>101</v>
      </c>
      <c r="I188" t="s">
        <v>10957</v>
      </c>
      <c r="W188" t="s">
        <v>5324</v>
      </c>
      <c r="X188" s="2386">
        <v>418.79998779296875</v>
      </c>
      <c r="Y188" s="674">
        <v>297.45001220703125</v>
      </c>
      <c r="Z188" s="2386">
        <v>12</v>
      </c>
      <c r="AA188" s="2386">
        <v>11.25</v>
      </c>
      <c r="AD188" t="s">
        <v>6235</v>
      </c>
      <c r="AE188" s="2352">
        <v>456.75</v>
      </c>
      <c r="AF188" s="2352">
        <v>166.5</v>
      </c>
      <c r="AG188" s="2352">
        <v>12</v>
      </c>
      <c r="AH188" s="2352">
        <v>25.5</v>
      </c>
    </row>
    <row r="189" spans="6:34" ht="12.75" customHeight="1">
      <c r="F189" t="str">
        <f>IF(Texte!SprachIdx=1,G189,IF(Texte!SprachIdx=2,H189,IF(Texte!SprachIdx=3,I189,"")))</f>
        <v>Bitte geben Sie nur Erntejahre ab 2024 ein.</v>
      </c>
      <c r="G189" t="str">
        <f>"Bitte geben Sie nur Erntejahre ab " &amp;  GültigAbErntejahr &amp; " ein."</f>
        <v>Bitte geben Sie nur Erntejahre ab 2024 ein.</v>
      </c>
      <c r="H189" t="str">
        <f>"Version pour les années de récolte " &amp;  GültigAbErntejahr &amp; " et suivante seulement !!"</f>
        <v>Version pour les années de récolte 2024 et suivante seulement !!</v>
      </c>
      <c r="I189" t="str">
        <f>"Versione per le campagne " &amp; GültigAbErntejahr &amp; " e successive!"</f>
        <v>Versione per le campagne 2024 e successive!</v>
      </c>
      <c r="W189" t="s">
        <v>5888</v>
      </c>
      <c r="X189" s="2386">
        <v>418.79998779296875</v>
      </c>
      <c r="Y189" s="674">
        <v>308.70001220703125</v>
      </c>
      <c r="Z189" s="2386">
        <v>12</v>
      </c>
      <c r="AA189" s="2386">
        <v>11.25</v>
      </c>
      <c r="AD189" t="s">
        <v>6236</v>
      </c>
      <c r="AE189" s="2352">
        <v>456.75</v>
      </c>
      <c r="AF189" s="2352">
        <v>243.75</v>
      </c>
      <c r="AG189" s="2352">
        <v>12</v>
      </c>
      <c r="AH189" s="2352">
        <v>12.75</v>
      </c>
    </row>
    <row r="190" spans="6:34">
      <c r="F190" t="str">
        <f>IF(Texte!SprachIdx=1,G190,IF(Texte!SprachIdx=2,H190,IF(Texte!SprachIdx=3,I190,"")))</f>
        <v>Verwenden Sie zur Berechnung früherer Erntejahre eine ältere Programmversion.</v>
      </c>
      <c r="G190" t="s">
        <v>100</v>
      </c>
      <c r="H190" t="s">
        <v>6791</v>
      </c>
      <c r="I190" t="s">
        <v>10958</v>
      </c>
      <c r="W190" t="s">
        <v>5889</v>
      </c>
      <c r="X190" s="2386">
        <v>418.79998779296875</v>
      </c>
      <c r="Y190" s="674">
        <v>273.75</v>
      </c>
      <c r="Z190" s="2386">
        <v>12</v>
      </c>
      <c r="AA190" s="2386">
        <v>11.25</v>
      </c>
      <c r="AD190" t="s">
        <v>6237</v>
      </c>
      <c r="AE190" s="2352">
        <v>456.75</v>
      </c>
      <c r="AF190" s="2352">
        <v>256.5</v>
      </c>
      <c r="AG190" s="2352">
        <v>12</v>
      </c>
      <c r="AH190" s="2352">
        <v>12.75</v>
      </c>
    </row>
    <row r="191" spans="6:34">
      <c r="F191" t="str">
        <f>IF(Texte!SprachIdx=1,G191,IF(Texte!SprachIdx=2,H191,IF(Texte!SprachIdx=3,I191,"")))</f>
        <v xml:space="preserve">Anzahl Mutterkuhkälber wurde in </v>
      </c>
      <c r="G191" t="s">
        <v>6630</v>
      </c>
      <c r="H191" t="s">
        <v>1221</v>
      </c>
      <c r="I191" t="s">
        <v>10959</v>
      </c>
      <c r="W191" t="s">
        <v>3914</v>
      </c>
      <c r="X191" s="2386">
        <v>545.4000244140625</v>
      </c>
      <c r="Y191" s="674">
        <v>81</v>
      </c>
      <c r="Z191" s="2386">
        <v>235.80000305175781</v>
      </c>
      <c r="AA191" s="2386">
        <v>16.200000762939453</v>
      </c>
      <c r="AD191" t="s">
        <v>6238</v>
      </c>
      <c r="AE191" s="2352">
        <v>456.75</v>
      </c>
      <c r="AF191" s="2352">
        <v>281.25</v>
      </c>
      <c r="AG191" s="2352">
        <v>12</v>
      </c>
      <c r="AH191" s="2352">
        <v>11.25</v>
      </c>
    </row>
    <row r="192" spans="6:34">
      <c r="F192" t="str">
        <f>IF(Texte!SprachIdx=1,G192,IF(Texte!SprachIdx=2,H192,IF(Texte!SprachIdx=3,I192,"")))</f>
        <v xml:space="preserve"> dauernd besetzte Plätze umgerechnet.</v>
      </c>
      <c r="G192" t="s">
        <v>5918</v>
      </c>
      <c r="H192" t="s">
        <v>1220</v>
      </c>
      <c r="I192" t="s">
        <v>10960</v>
      </c>
      <c r="AD192" t="s">
        <v>6239</v>
      </c>
      <c r="AE192" s="2352">
        <v>456.75</v>
      </c>
      <c r="AF192" s="2352">
        <v>329.25</v>
      </c>
      <c r="AG192" s="2352">
        <v>12</v>
      </c>
      <c r="AH192" s="2352">
        <v>12</v>
      </c>
    </row>
    <row r="193" spans="6:34">
      <c r="F193" t="str">
        <f>IF(Texte!SprachIdx=1,G193,IF(Texte!SprachIdx=2,H193,IF(Texte!SprachIdx=3,I193,"")))</f>
        <v>Korrigieren Sie bitte die tierbezogenen Werte im Regsiter "SAK", sowie BTS- und Rausbeiträge im Register "PSB", wenn Sie Tiere auf einen anderen Betrieb mit LN verstellt haben. Verwenden Sie die Korrekturzeile.</v>
      </c>
      <c r="G193" t="s">
        <v>1532</v>
      </c>
      <c r="H193" t="s">
        <v>2160</v>
      </c>
      <c r="I193" t="s">
        <v>10961</v>
      </c>
      <c r="W193" t="s">
        <v>6234</v>
      </c>
      <c r="X193" s="2386">
        <v>418.80007934570313</v>
      </c>
      <c r="Y193" s="674">
        <v>219</v>
      </c>
      <c r="Z193" s="2386">
        <v>15</v>
      </c>
      <c r="AA193" s="2386">
        <v>15.149999618530273</v>
      </c>
      <c r="AD193" t="s">
        <v>5403</v>
      </c>
      <c r="AE193" s="2352">
        <v>456.75</v>
      </c>
      <c r="AF193" s="2352">
        <v>342</v>
      </c>
      <c r="AG193" s="2352">
        <v>12</v>
      </c>
      <c r="AH193" s="2352">
        <v>12</v>
      </c>
    </row>
    <row r="194" spans="6:34">
      <c r="F194" t="str">
        <f>IF(Texte!SprachIdx=1,G194,IF(Texte!SprachIdx=2,H194,IF(Texte!SprachIdx=3,I194,"")))</f>
        <v>Hinweis!</v>
      </c>
      <c r="G194" t="s">
        <v>1531</v>
      </c>
      <c r="H194" t="s">
        <v>0</v>
      </c>
      <c r="I194" t="s">
        <v>6328</v>
      </c>
      <c r="W194" t="s">
        <v>381</v>
      </c>
      <c r="X194" s="2386">
        <v>418.79998779296875</v>
      </c>
      <c r="Y194" s="674">
        <v>205.80000305175781</v>
      </c>
      <c r="Z194" s="2386">
        <v>17.25</v>
      </c>
      <c r="AA194" s="2386">
        <v>16.649999618530273</v>
      </c>
      <c r="AD194" t="s">
        <v>5404</v>
      </c>
      <c r="AE194" s="2352">
        <v>456.75</v>
      </c>
      <c r="AF194" s="2352">
        <v>354</v>
      </c>
      <c r="AG194" s="2352">
        <v>12</v>
      </c>
      <c r="AH194" s="2352">
        <v>12.75</v>
      </c>
    </row>
    <row r="195" spans="6:34">
      <c r="F195" t="str">
        <f>IF(Texte!SprachIdx=1,G195,IF(Texte!SprachIdx=2,H195,IF(Texte!SprachIdx=3,I195,"")))</f>
        <v xml:space="preserve">Falscher Eingabewert wurde gelöscht - bitte unbedingt korrigieren, Zahl eingeben! </v>
      </c>
      <c r="G195" t="s">
        <v>12206</v>
      </c>
      <c r="H195" t="s">
        <v>12207</v>
      </c>
      <c r="I195" t="s">
        <v>12208</v>
      </c>
      <c r="W195" t="s">
        <v>6234</v>
      </c>
      <c r="X195" s="2386">
        <v>418.80007934570313</v>
      </c>
      <c r="Y195" s="674">
        <v>233.39999389648438</v>
      </c>
      <c r="Z195" s="2386">
        <v>15</v>
      </c>
      <c r="AA195" s="2386">
        <v>13.199999809265137</v>
      </c>
      <c r="AD195" t="s">
        <v>5405</v>
      </c>
      <c r="AE195" s="2352">
        <v>456.75</v>
      </c>
      <c r="AF195" s="2352">
        <v>367.5</v>
      </c>
      <c r="AG195" s="2352">
        <v>12</v>
      </c>
      <c r="AH195" s="2352">
        <v>12.75</v>
      </c>
    </row>
    <row r="196" spans="6:34">
      <c r="W196" t="s">
        <v>4868</v>
      </c>
      <c r="X196" s="2386">
        <v>418.79998779296875</v>
      </c>
      <c r="Y196" s="674">
        <v>179.39999389648438</v>
      </c>
      <c r="Z196" s="2386">
        <v>12</v>
      </c>
      <c r="AA196" s="2386">
        <v>12.449999809265137</v>
      </c>
      <c r="AD196" t="s">
        <v>2116</v>
      </c>
      <c r="AE196" s="2352">
        <v>456.75</v>
      </c>
      <c r="AF196" s="2352">
        <v>380.25</v>
      </c>
      <c r="AG196" s="2352">
        <v>12</v>
      </c>
      <c r="AH196" s="2352">
        <v>12.75</v>
      </c>
    </row>
    <row r="197" spans="6:34">
      <c r="V197" t="s">
        <v>1996</v>
      </c>
      <c r="W197" t="s">
        <v>5648</v>
      </c>
      <c r="X197" s="2386">
        <v>4.1999998092651367</v>
      </c>
      <c r="Y197" s="674">
        <v>3.75</v>
      </c>
      <c r="Z197" s="2386">
        <v>106.94999694824219</v>
      </c>
      <c r="AA197" s="2386">
        <v>33.75</v>
      </c>
      <c r="AD197" t="s">
        <v>7194</v>
      </c>
      <c r="AE197" s="2352">
        <v>456.75</v>
      </c>
      <c r="AF197" s="2352">
        <v>393.75</v>
      </c>
      <c r="AG197" s="2352">
        <v>15.75</v>
      </c>
      <c r="AH197" s="2352">
        <v>12.75</v>
      </c>
    </row>
    <row r="198" spans="6:34">
      <c r="V198" t="s">
        <v>5559</v>
      </c>
      <c r="W198" t="s">
        <v>5648</v>
      </c>
      <c r="X198" s="2386">
        <v>4.1999998092651367</v>
      </c>
      <c r="Y198" s="674">
        <v>6.75</v>
      </c>
      <c r="Z198" s="2386">
        <v>106.94999694824219</v>
      </c>
      <c r="AA198" s="2386">
        <v>33.75</v>
      </c>
      <c r="AD198" t="s">
        <v>5406</v>
      </c>
      <c r="AE198" s="2352">
        <v>489.75</v>
      </c>
      <c r="AF198" s="2352">
        <v>411.75</v>
      </c>
      <c r="AG198" s="2352">
        <v>13.5</v>
      </c>
      <c r="AH198" s="2352">
        <v>12</v>
      </c>
    </row>
    <row r="199" spans="6:34">
      <c r="W199" t="s">
        <v>7579</v>
      </c>
      <c r="X199" s="2386">
        <v>6</v>
      </c>
      <c r="Y199" s="674">
        <v>123.59999847412109</v>
      </c>
      <c r="Z199" s="2386">
        <v>107.40000152587891</v>
      </c>
      <c r="AA199" s="2386">
        <v>15</v>
      </c>
      <c r="AD199" t="s">
        <v>2874</v>
      </c>
      <c r="AE199" s="2352">
        <v>456.75</v>
      </c>
      <c r="AF199" s="2352">
        <v>316.5</v>
      </c>
      <c r="AG199" s="2352">
        <v>12</v>
      </c>
      <c r="AH199" s="2352">
        <v>12.75</v>
      </c>
    </row>
    <row r="200" spans="6:34" ht="15.75">
      <c r="F200" s="1002" t="s">
        <v>1793</v>
      </c>
      <c r="V200" t="s">
        <v>5560</v>
      </c>
      <c r="W200" t="s">
        <v>5648</v>
      </c>
      <c r="X200" s="2386">
        <v>4.1999998092651367</v>
      </c>
      <c r="Y200" s="674">
        <v>6.75</v>
      </c>
      <c r="Z200" s="2386">
        <v>106.94999694824219</v>
      </c>
      <c r="AA200" s="2386">
        <v>33.75</v>
      </c>
      <c r="AD200" t="s">
        <v>2875</v>
      </c>
      <c r="AE200" s="2352">
        <v>635.25</v>
      </c>
      <c r="AF200" s="2352">
        <v>437.25</v>
      </c>
      <c r="AG200" s="2352">
        <v>8.25</v>
      </c>
      <c r="AH200" s="2352">
        <v>12</v>
      </c>
    </row>
    <row r="201" spans="6:34">
      <c r="W201" t="s">
        <v>5105</v>
      </c>
      <c r="X201" s="2386">
        <v>6</v>
      </c>
      <c r="Y201" s="674">
        <v>123.59999847412109</v>
      </c>
      <c r="Z201" s="2386">
        <v>106.19999694824219</v>
      </c>
      <c r="AA201" s="2386">
        <v>15</v>
      </c>
      <c r="AD201" t="s">
        <v>2876</v>
      </c>
      <c r="AE201" s="2352">
        <v>236.25</v>
      </c>
      <c r="AF201" s="2352">
        <v>1233</v>
      </c>
      <c r="AG201" s="2352">
        <v>18</v>
      </c>
      <c r="AH201" s="2352">
        <v>12</v>
      </c>
    </row>
    <row r="202" spans="6:34" ht="12.75">
      <c r="F202" s="676" t="str">
        <f>IF(Texte!$A$2=1,G202,IF(Texte!$A$2=2,H202,IF(Texte!$A$2=3,IF(I202="",H202,I202),"")))</f>
        <v>Suisse-Bilanz</v>
      </c>
      <c r="G202" t="s">
        <v>4355</v>
      </c>
      <c r="H202" t="s">
        <v>4355</v>
      </c>
      <c r="I202" t="s">
        <v>4355</v>
      </c>
      <c r="V202" t="s">
        <v>690</v>
      </c>
      <c r="W202" t="s">
        <v>5648</v>
      </c>
      <c r="X202" s="2386">
        <v>4.1999998092651367</v>
      </c>
      <c r="Y202" s="674">
        <v>6.75</v>
      </c>
      <c r="Z202" s="2386">
        <v>106.94999694824219</v>
      </c>
      <c r="AA202" s="2386">
        <v>33.75</v>
      </c>
      <c r="AD202" t="s">
        <v>2877</v>
      </c>
      <c r="AE202" s="2352">
        <v>213</v>
      </c>
      <c r="AF202" s="2352">
        <v>1026</v>
      </c>
      <c r="AG202" s="2352">
        <v>13.5</v>
      </c>
      <c r="AH202" s="2352">
        <v>12.75</v>
      </c>
    </row>
    <row r="203" spans="6:34" ht="12.75">
      <c r="F203" s="676" t="str">
        <f>IF(Texte!$A$2=1,G203,IF(Texte!$A$2=2,H203,IF(Texte!$A$2=3,IF(I203="",H203,I203),"")))</f>
        <v>Version 1.19</v>
      </c>
      <c r="G203" t="str">
        <f>"Version " &amp; Q!SuiBiNr</f>
        <v>Version 1.19</v>
      </c>
      <c r="H203" t="str">
        <f>"Edition " &amp; Q!SuiBiNr</f>
        <v>Edition 1.19</v>
      </c>
      <c r="I203" t="str">
        <f>"Edizione "  &amp; Q!SuiBiNr</f>
        <v>Edizione 1.19</v>
      </c>
      <c r="W203" t="s">
        <v>5106</v>
      </c>
      <c r="X203" s="2386">
        <v>4.8000001907348633</v>
      </c>
      <c r="Y203" s="674">
        <v>123.59999847412109</v>
      </c>
      <c r="Z203" s="2386">
        <v>106.19999694824219</v>
      </c>
      <c r="AA203" s="2386">
        <v>15</v>
      </c>
      <c r="AD203" t="s">
        <v>2878</v>
      </c>
      <c r="AE203" s="2352">
        <v>658.5</v>
      </c>
      <c r="AF203" s="2352">
        <v>354.75</v>
      </c>
      <c r="AG203" s="2352">
        <v>22.5</v>
      </c>
      <c r="AH203" s="2352">
        <v>10.5</v>
      </c>
    </row>
    <row r="204" spans="6:34" ht="12.75">
      <c r="F204" s="676" t="str">
        <f>IF(Texte!$A$2=1,G204,IF(Texte!$A$2=2,H204,IF(Texte!$A$2=3,IF(I204="",H204,I204),"")))</f>
        <v>Version: 1.10</v>
      </c>
      <c r="G204" s="1702" t="str">
        <f>"Version: " &amp; GMF_Nr</f>
        <v>Version: 1.10</v>
      </c>
      <c r="H204" s="1702" t="str">
        <f>"Version: " &amp; GMF_Nr</f>
        <v>Version: 1.10</v>
      </c>
      <c r="I204" s="534" t="str">
        <f>"Versione  " &amp; GMF_Nr</f>
        <v>Versione  1.10</v>
      </c>
      <c r="W204" t="s">
        <v>1576</v>
      </c>
      <c r="X204" s="2386">
        <v>6</v>
      </c>
      <c r="Y204" s="674">
        <v>426</v>
      </c>
      <c r="Z204" s="2386">
        <v>106.19999694824219</v>
      </c>
      <c r="AA204" s="2386">
        <v>15</v>
      </c>
      <c r="AD204" t="s">
        <v>2879</v>
      </c>
      <c r="AE204" s="2352">
        <v>696.75</v>
      </c>
      <c r="AF204" s="2352">
        <v>354.75</v>
      </c>
      <c r="AG204" s="2352">
        <v>22.5</v>
      </c>
      <c r="AH204" s="2352">
        <v>10.5</v>
      </c>
    </row>
    <row r="205" spans="6:34" ht="12.75">
      <c r="F205" s="676" t="str">
        <f>IF(Texte!$A$2=1,G205,IF(Texte!$A$2=2,H205,IF(Texte!$A$2=3,IF(I205="",H205,I205),"")))</f>
        <v>dazugehörende Suisse-Bilanz Version 1.19</v>
      </c>
      <c r="G205" s="1702" t="str">
        <f>"dazugehörende Suisse-Bilanz Version " &amp; SuiBiNr</f>
        <v>dazugehörende Suisse-Bilanz Version 1.19</v>
      </c>
      <c r="H205" s="1702" t="str">
        <f>"correspondant Suisse-Bilanz Edition "  &amp; SuiBiNr</f>
        <v>correspondant Suisse-Bilanz Edition 1.19</v>
      </c>
      <c r="I205" t="str">
        <f>"Edizione Suisse-Bilanz corrispondente: "    &amp; SuiBiNr</f>
        <v>Edizione Suisse-Bilanz corrispondente: 1.19</v>
      </c>
      <c r="V205" t="s">
        <v>5178</v>
      </c>
      <c r="W205" t="s">
        <v>5648</v>
      </c>
      <c r="X205" s="2386">
        <v>4.5</v>
      </c>
      <c r="Y205" s="674">
        <v>6.75</v>
      </c>
      <c r="Z205" s="2386">
        <v>106.80000305175781</v>
      </c>
      <c r="AA205" s="2386">
        <v>33.75</v>
      </c>
      <c r="AD205" t="s">
        <v>2880</v>
      </c>
      <c r="AE205" s="2352">
        <v>735</v>
      </c>
      <c r="AF205" s="2352">
        <v>354.75</v>
      </c>
      <c r="AG205" s="2352">
        <v>22.5</v>
      </c>
      <c r="AH205" s="2352">
        <v>10.5</v>
      </c>
    </row>
    <row r="206" spans="6:34" ht="12.75">
      <c r="F206" s="676" t="str">
        <f>IF(Texte!$A$2=1,G206,IF(Texte!$A$2=2,H206,IF(Texte!$A$2=3,IF(I206="",H206,I206),"")))</f>
        <v xml:space="preserve"> bis </v>
      </c>
      <c r="G206" t="s">
        <v>11078</v>
      </c>
      <c r="H206" t="s">
        <v>11079</v>
      </c>
      <c r="I206" t="s">
        <v>11080</v>
      </c>
      <c r="W206" t="s">
        <v>3390</v>
      </c>
      <c r="X206" s="2386">
        <v>454.20001220703125</v>
      </c>
      <c r="Y206" s="674">
        <v>774.29998779296875</v>
      </c>
      <c r="Z206" s="2386">
        <v>9.3000001907348633</v>
      </c>
      <c r="AA206" s="2386">
        <v>11.25</v>
      </c>
      <c r="AD206" t="s">
        <v>5648</v>
      </c>
      <c r="AE206" s="2352">
        <v>4.5</v>
      </c>
      <c r="AF206" s="2352">
        <v>6.75</v>
      </c>
      <c r="AG206" s="2352">
        <v>112.5</v>
      </c>
      <c r="AH206" s="2352">
        <v>33.75</v>
      </c>
    </row>
    <row r="207" spans="6:34" ht="12.75">
      <c r="F207" s="676" t="str">
        <f>IF(Texte!$A$2=1,G207,IF(Texte!$A$2=2,H207,IF(Texte!$A$2=3,IF(I207="",H207,I207),"")))</f>
        <v xml:space="preserve"> über </v>
      </c>
      <c r="G207" t="s">
        <v>11081</v>
      </c>
      <c r="H207" t="s">
        <v>11082</v>
      </c>
      <c r="I207" t="s">
        <v>11083</v>
      </c>
      <c r="AD207" t="s">
        <v>5324</v>
      </c>
      <c r="AE207" s="2352">
        <v>456.75</v>
      </c>
      <c r="AF207" s="2352">
        <v>293.25</v>
      </c>
      <c r="AG207" s="2352">
        <v>12</v>
      </c>
      <c r="AH207" s="2352">
        <v>11.25</v>
      </c>
    </row>
    <row r="208" spans="6:34" ht="12.75">
      <c r="F208" s="676" t="str">
        <f>IF(Texte!$A$2=1,G208,IF(Texte!$A$2=2,H208,IF(Texte!$A$2=3,IF(I208="",H208,I208),"")))</f>
        <v xml:space="preserve"> ab </v>
      </c>
      <c r="G208" t="s">
        <v>11098</v>
      </c>
      <c r="W208" t="s">
        <v>3391</v>
      </c>
      <c r="X208" s="2386">
        <v>454.20001220703125</v>
      </c>
      <c r="Y208" s="674">
        <v>807.9000244140625</v>
      </c>
      <c r="Z208" s="2386">
        <v>9.3000001907348633</v>
      </c>
      <c r="AA208" s="2386">
        <v>11.25</v>
      </c>
      <c r="AD208" t="s">
        <v>5888</v>
      </c>
      <c r="AE208" s="2352">
        <v>456.75</v>
      </c>
      <c r="AF208" s="2352">
        <v>304.5</v>
      </c>
      <c r="AG208" s="2352">
        <v>12</v>
      </c>
      <c r="AH208" s="2352">
        <v>11.25</v>
      </c>
    </row>
    <row r="209" spans="6:34" ht="12.75">
      <c r="F209" s="676" t="str">
        <f>IF(Texte!$A$2=1,G209,IF(Texte!$A$2=2,H209,IF(Texte!$A$2=3,IF(I209="",H209,I209),"")))</f>
        <v>dt</v>
      </c>
      <c r="G209" t="s">
        <v>345</v>
      </c>
      <c r="H209" t="s">
        <v>345</v>
      </c>
      <c r="I209" t="s">
        <v>8277</v>
      </c>
      <c r="W209" t="s">
        <v>3392</v>
      </c>
      <c r="X209" s="2386">
        <v>524.54998779296875</v>
      </c>
      <c r="Y209" s="674">
        <v>777.29998779296875</v>
      </c>
      <c r="Z209" s="2386">
        <v>6.4499998092651367</v>
      </c>
      <c r="AA209" s="2386">
        <v>10.5</v>
      </c>
      <c r="AD209" t="s">
        <v>5889</v>
      </c>
      <c r="AE209" s="2352">
        <v>456.75</v>
      </c>
      <c r="AF209" s="2352">
        <v>270</v>
      </c>
      <c r="AG209" s="2352">
        <v>12</v>
      </c>
      <c r="AH209" s="2352">
        <v>11.25</v>
      </c>
    </row>
    <row r="210" spans="6:34" ht="12.75">
      <c r="F210" s="676" t="str">
        <f>IF(Texte!$A$2=1,G210,IF(Texte!$A$2=2,H210,IF(Texte!$A$2=3,IF(I210="",H210,I210),"")))</f>
        <v>dt / ha</v>
      </c>
      <c r="G210" t="s">
        <v>11045</v>
      </c>
      <c r="H210" t="s">
        <v>11045</v>
      </c>
      <c r="I210" t="s">
        <v>11100</v>
      </c>
      <c r="W210" t="s">
        <v>4903</v>
      </c>
      <c r="X210" s="2386">
        <v>524.54998779296875</v>
      </c>
      <c r="Y210" s="674">
        <v>810.9000244140625</v>
      </c>
      <c r="Z210" s="2386">
        <v>6.4499998092651367</v>
      </c>
      <c r="AA210" s="2386">
        <v>10.5</v>
      </c>
      <c r="AD210" t="s">
        <v>3914</v>
      </c>
      <c r="AE210" s="2352">
        <v>639.75</v>
      </c>
      <c r="AF210" s="2352">
        <v>81</v>
      </c>
      <c r="AG210" s="2352">
        <v>259.5</v>
      </c>
      <c r="AH210" s="2352">
        <v>16.5</v>
      </c>
    </row>
    <row r="211" spans="6:34">
      <c r="F211" t="s">
        <v>11748</v>
      </c>
      <c r="G211" t="s">
        <v>11749</v>
      </c>
      <c r="W211" t="s">
        <v>4904</v>
      </c>
      <c r="X211" s="2386">
        <v>495.29998779296875</v>
      </c>
      <c r="Y211" s="674">
        <v>775.04998779296875</v>
      </c>
      <c r="Z211" s="2386">
        <v>9.75</v>
      </c>
      <c r="AA211" s="2386">
        <v>10.5</v>
      </c>
      <c r="AE211" s="2352">
        <v>0</v>
      </c>
      <c r="AF211" s="2352">
        <v>0</v>
      </c>
      <c r="AG211" s="2352">
        <v>0</v>
      </c>
      <c r="AH211" s="2352">
        <v>0</v>
      </c>
    </row>
    <row r="212" spans="6:34">
      <c r="F212" t="s">
        <v>11747</v>
      </c>
      <c r="G212" t="s">
        <v>11750</v>
      </c>
      <c r="W212" t="s">
        <v>4905</v>
      </c>
      <c r="X212" s="2386">
        <v>495.29998779296875</v>
      </c>
      <c r="Y212" s="674">
        <v>808.6500244140625</v>
      </c>
      <c r="Z212" s="2386">
        <v>9.75</v>
      </c>
      <c r="AA212" s="2386">
        <v>10.5</v>
      </c>
      <c r="AD212" t="s">
        <v>6414</v>
      </c>
      <c r="AE212" s="2352">
        <v>503.25</v>
      </c>
      <c r="AF212" s="2352">
        <v>343.5</v>
      </c>
      <c r="AG212" s="2352">
        <v>25.5</v>
      </c>
      <c r="AH212" s="2352">
        <v>12</v>
      </c>
    </row>
    <row r="213" spans="6:34">
      <c r="F213" t="str">
        <f>CHAR(10)</f>
        <v xml:space="preserve">
</v>
      </c>
      <c r="G213" t="s">
        <v>11751</v>
      </c>
      <c r="W213" t="s">
        <v>4906</v>
      </c>
      <c r="X213" s="2386">
        <v>454.20001220703125</v>
      </c>
      <c r="Y213" s="674">
        <v>824.70001220703125</v>
      </c>
      <c r="Z213" s="2386">
        <v>9.3000001907348633</v>
      </c>
      <c r="AA213" s="2386">
        <v>11.25</v>
      </c>
      <c r="AD213" t="s">
        <v>6234</v>
      </c>
      <c r="AE213" s="2352">
        <v>456.75</v>
      </c>
      <c r="AF213" s="2352">
        <v>217.5</v>
      </c>
      <c r="AG213" s="2352">
        <v>17.25</v>
      </c>
      <c r="AH213" s="2352">
        <v>28.5</v>
      </c>
    </row>
    <row r="214" spans="6:34">
      <c r="F214" s="2582" t="s">
        <v>11753</v>
      </c>
      <c r="W214" t="s">
        <v>4907</v>
      </c>
      <c r="X214" s="2386">
        <v>495.29998779296875</v>
      </c>
      <c r="Y214" s="674">
        <v>825.45001220703125</v>
      </c>
      <c r="Z214" s="2386">
        <v>9.75</v>
      </c>
      <c r="AA214" s="2386">
        <v>10.5</v>
      </c>
      <c r="AD214" t="s">
        <v>381</v>
      </c>
      <c r="AE214" s="2352">
        <v>456.75</v>
      </c>
      <c r="AF214" s="2352">
        <v>204.75</v>
      </c>
      <c r="AG214" s="2352">
        <v>17.25</v>
      </c>
      <c r="AH214" s="2352">
        <v>15.75</v>
      </c>
    </row>
    <row r="215" spans="6:34">
      <c r="F215" t="s">
        <v>11754</v>
      </c>
      <c r="W215" t="s">
        <v>5689</v>
      </c>
      <c r="X215" s="2386">
        <v>525.29998779296875</v>
      </c>
      <c r="Y215" s="674">
        <v>827.70001220703125</v>
      </c>
      <c r="Z215" s="2386">
        <v>6.4499998092651367</v>
      </c>
      <c r="AA215" s="2386">
        <v>10.5</v>
      </c>
      <c r="AD215" t="s">
        <v>6234</v>
      </c>
      <c r="AE215" s="2352">
        <v>456.75</v>
      </c>
      <c r="AF215" s="2352">
        <v>231</v>
      </c>
      <c r="AG215" s="2352">
        <v>17.25</v>
      </c>
      <c r="AH215" s="2352">
        <v>28.5</v>
      </c>
    </row>
    <row r="216" spans="6:34">
      <c r="F216" t="s">
        <v>11752</v>
      </c>
      <c r="W216" t="s">
        <v>3599</v>
      </c>
      <c r="X216" s="2386">
        <v>508.20001220703125</v>
      </c>
      <c r="Y216" s="674">
        <v>112.19999694824219</v>
      </c>
      <c r="Z216" s="2386">
        <v>117</v>
      </c>
      <c r="AA216" s="2386">
        <v>16.200000762939453</v>
      </c>
      <c r="AD216" t="s">
        <v>4868</v>
      </c>
      <c r="AE216" s="2352">
        <v>456.75</v>
      </c>
      <c r="AF216" s="2352">
        <v>179.25</v>
      </c>
      <c r="AG216" s="2352">
        <v>12</v>
      </c>
      <c r="AH216" s="2352">
        <v>12</v>
      </c>
    </row>
    <row r="217" spans="6:34">
      <c r="F217" t="s">
        <v>11840</v>
      </c>
      <c r="W217" t="s">
        <v>3600</v>
      </c>
      <c r="X217" s="2386">
        <v>61.799999237060547</v>
      </c>
      <c r="Y217" s="674">
        <v>79.199996948242188</v>
      </c>
      <c r="Z217" s="2386">
        <v>389.39999389648438</v>
      </c>
      <c r="AA217" s="2386">
        <v>13.800000190734863</v>
      </c>
    </row>
    <row r="218" spans="6:34" ht="12.75">
      <c r="G218" s="2773" t="str">
        <f>"Diese Version " &amp; VersionsNummer &amp; " von Betvor mit der Wegleitung Version " &amp; SuiBiNr &amp; " ist nicht zertifiziert und für Berechnungen NICHT zugelassen!"</f>
        <v>Diese Version 9.9 von Betvor mit der Wegleitung Version 1.19 ist nicht zertifiziert und für Berechnungen NICHT zugelassen!</v>
      </c>
      <c r="H218" t="str">
        <f>G218</f>
        <v>Diese Version 9.9 von Betvor mit der Wegleitung Version 1.19 ist nicht zertifiziert und für Berechnungen NICHT zugelassen!</v>
      </c>
      <c r="I218" t="str">
        <f>G218</f>
        <v>Diese Version 9.9 von Betvor mit der Wegleitung Version 1.19 ist nicht zertifiziert und für Berechnungen NICHT zugelassen!</v>
      </c>
      <c r="V218" t="s">
        <v>4360</v>
      </c>
      <c r="W218" t="s">
        <v>5648</v>
      </c>
      <c r="X218" s="2386">
        <v>6.5999999046325684</v>
      </c>
      <c r="Y218" s="674">
        <v>6</v>
      </c>
      <c r="Z218" s="2386">
        <v>104.69999694824219</v>
      </c>
      <c r="AA218" s="2386">
        <v>33.75</v>
      </c>
      <c r="AC218" t="s">
        <v>1996</v>
      </c>
      <c r="AD218" t="s">
        <v>5648</v>
      </c>
      <c r="AE218" s="2352">
        <v>4.5</v>
      </c>
      <c r="AF218" s="2352">
        <v>3.75</v>
      </c>
      <c r="AG218" s="2352">
        <v>112.5</v>
      </c>
      <c r="AH218" s="2352">
        <v>33.75</v>
      </c>
    </row>
    <row r="219" spans="6:34" ht="12.75">
      <c r="F219" s="676" t="str">
        <f>IF(Texte!$A$2=1,G218,IF(Texte!$A$2=2,H218,IF(Texte!$A$2=3,IF(I218="",H218,I218),"")))</f>
        <v>Diese Version 9.9 von Betvor mit der Wegleitung Version 1.19 ist nicht zertifiziert und für Berechnungen NICHT zugelassen!</v>
      </c>
      <c r="G219" s="2773" t="str">
        <f>"Diese Version " &amp; VersionsNummer &amp; " von GMF mit der Wegleitung Version " &amp; GMF_Nr &amp; " ist nicht zertifiziert und für Berechnungen NICHT zugelassen!"</f>
        <v>Diese Version 9.9 von GMF mit der Wegleitung Version 1.10 ist nicht zertifiziert und für Berechnungen NICHT zugelassen!</v>
      </c>
      <c r="H219" t="str">
        <f>G219</f>
        <v>Diese Version 9.9 von GMF mit der Wegleitung Version 1.10 ist nicht zertifiziert und für Berechnungen NICHT zugelassen!</v>
      </c>
      <c r="I219" t="str">
        <f>G219</f>
        <v>Diese Version 9.9 von GMF mit der Wegleitung Version 1.10 ist nicht zertifiziert und für Berechnungen NICHT zugelassen!</v>
      </c>
      <c r="W219" t="s">
        <v>3601</v>
      </c>
      <c r="X219" s="2386">
        <v>203.39999389648438</v>
      </c>
      <c r="Y219" s="674">
        <v>56.400001525878906</v>
      </c>
      <c r="Z219" s="2386">
        <v>304.20001220703125</v>
      </c>
      <c r="AA219" s="2386">
        <v>15.600000381469727</v>
      </c>
      <c r="AC219" t="s">
        <v>5559</v>
      </c>
      <c r="AD219" t="s">
        <v>5648</v>
      </c>
      <c r="AE219" s="2352">
        <v>4.5</v>
      </c>
      <c r="AF219" s="2352">
        <v>6.75</v>
      </c>
      <c r="AG219" s="2352">
        <v>112.5</v>
      </c>
      <c r="AH219" s="2352">
        <v>33.75</v>
      </c>
    </row>
    <row r="220" spans="6:34" ht="12.75">
      <c r="F220" s="676" t="str">
        <f>IF(Texte!$A$2=1,G219,IF(Texte!$A$2=2,H219,IF(Texte!$A$2=3,IF(I219="",H219,I219),"")))</f>
        <v>Diese Version 9.9 von GMF mit der Wegleitung Version 1.10 ist nicht zertifiziert und für Berechnungen NICHT zugelassen!</v>
      </c>
      <c r="V220" t="s">
        <v>4361</v>
      </c>
      <c r="W220" t="s">
        <v>5648</v>
      </c>
      <c r="X220" s="2386">
        <v>4.1999998092651367</v>
      </c>
      <c r="Y220" s="674">
        <v>6</v>
      </c>
      <c r="Z220" s="2386">
        <v>106.65000152587891</v>
      </c>
      <c r="AA220" s="2386">
        <v>33.75</v>
      </c>
      <c r="AD220" t="s">
        <v>7579</v>
      </c>
      <c r="AE220" s="2352">
        <v>6</v>
      </c>
      <c r="AF220" s="2352">
        <v>122.25</v>
      </c>
      <c r="AG220" s="2352">
        <v>113.25</v>
      </c>
      <c r="AH220" s="2352">
        <v>14.25</v>
      </c>
    </row>
    <row r="221" spans="6:34">
      <c r="V221" t="s">
        <v>488</v>
      </c>
      <c r="W221" t="s">
        <v>5648</v>
      </c>
      <c r="X221" s="2386">
        <v>4.1999998092651367</v>
      </c>
      <c r="Y221" s="674">
        <v>6</v>
      </c>
      <c r="Z221" s="2386">
        <v>112.5</v>
      </c>
      <c r="AA221" s="2386">
        <v>33.75</v>
      </c>
      <c r="AC221" t="s">
        <v>5560</v>
      </c>
      <c r="AD221" t="s">
        <v>5648</v>
      </c>
      <c r="AE221" s="2352">
        <v>4.5</v>
      </c>
      <c r="AF221" s="2352">
        <v>6.75</v>
      </c>
      <c r="AG221" s="2352">
        <v>112.5</v>
      </c>
      <c r="AH221" s="2352">
        <v>33.75</v>
      </c>
    </row>
    <row r="222" spans="6:34">
      <c r="F222" t="str">
        <f>Texte!A24</f>
        <v>Betriebsvoranschlag</v>
      </c>
      <c r="W222" t="s">
        <v>2946</v>
      </c>
      <c r="X222" s="2386">
        <v>4.1999998092651367</v>
      </c>
      <c r="Y222" s="674">
        <v>45</v>
      </c>
      <c r="Z222" s="2386">
        <v>742.20001220703125</v>
      </c>
      <c r="AA222" s="2386">
        <v>19.200000762939453</v>
      </c>
      <c r="AD222" t="s">
        <v>5105</v>
      </c>
      <c r="AE222" s="2352">
        <v>6</v>
      </c>
      <c r="AF222" s="2352">
        <v>122.25</v>
      </c>
      <c r="AG222" s="2352">
        <v>111.75</v>
      </c>
      <c r="AH222" s="2352">
        <v>14.25</v>
      </c>
    </row>
    <row r="223" spans="6:34">
      <c r="V223" t="s">
        <v>7530</v>
      </c>
      <c r="W223" t="s">
        <v>5648</v>
      </c>
      <c r="X223" s="2386">
        <v>10.5</v>
      </c>
      <c r="Y223" s="674">
        <v>6.75</v>
      </c>
      <c r="Z223" s="2386">
        <v>103.34999847412109</v>
      </c>
      <c r="AA223" s="2386">
        <v>33.75</v>
      </c>
      <c r="AC223" t="s">
        <v>690</v>
      </c>
      <c r="AD223" t="s">
        <v>5648</v>
      </c>
      <c r="AE223" s="2352">
        <v>4.5</v>
      </c>
      <c r="AF223" s="2352">
        <v>6.75</v>
      </c>
      <c r="AG223" s="2352">
        <v>112.5</v>
      </c>
      <c r="AH223" s="2352">
        <v>33.75</v>
      </c>
    </row>
    <row r="224" spans="6:34">
      <c r="W224" t="s">
        <v>2261</v>
      </c>
      <c r="X224" s="2386">
        <v>345.45001220703125</v>
      </c>
      <c r="Y224" s="674">
        <v>648.1500244140625</v>
      </c>
      <c r="Z224" s="2386">
        <v>36.450000762939453</v>
      </c>
      <c r="AA224" s="2386">
        <v>16.799999237060547</v>
      </c>
      <c r="AD224" t="s">
        <v>5106</v>
      </c>
      <c r="AE224" s="2352">
        <v>5.25</v>
      </c>
      <c r="AF224" s="2352">
        <v>122.25</v>
      </c>
      <c r="AG224" s="2352">
        <v>111.75</v>
      </c>
      <c r="AH224" s="2352">
        <v>14.25</v>
      </c>
    </row>
    <row r="225" spans="22:34">
      <c r="W225" t="s">
        <v>2262</v>
      </c>
      <c r="X225" s="2386">
        <v>126</v>
      </c>
      <c r="Y225" s="674">
        <v>135.60000610351563</v>
      </c>
      <c r="Z225" s="2386">
        <v>24</v>
      </c>
      <c r="AA225" s="2386">
        <v>17.399999618530273</v>
      </c>
      <c r="AD225" t="s">
        <v>1576</v>
      </c>
      <c r="AE225" s="2352">
        <v>6</v>
      </c>
      <c r="AF225" s="2352">
        <v>414</v>
      </c>
      <c r="AG225" s="2352">
        <v>111.75</v>
      </c>
      <c r="AH225" s="2352">
        <v>14.25</v>
      </c>
    </row>
    <row r="226" spans="22:34">
      <c r="AC226" t="s">
        <v>691</v>
      </c>
      <c r="AD226" t="s">
        <v>5748</v>
      </c>
      <c r="AE226" s="2352">
        <v>419.25</v>
      </c>
      <c r="AF226" s="2352">
        <v>134.25</v>
      </c>
      <c r="AG226" s="2352">
        <v>0</v>
      </c>
      <c r="AH226" s="2352">
        <v>30.75</v>
      </c>
    </row>
    <row r="227" spans="22:34">
      <c r="V227" t="s">
        <v>3528</v>
      </c>
      <c r="W227" t="s">
        <v>5648</v>
      </c>
      <c r="X227" s="2386">
        <v>10.5</v>
      </c>
      <c r="Y227" s="674">
        <v>6.75</v>
      </c>
      <c r="Z227" s="2386">
        <v>104.55000305175781</v>
      </c>
      <c r="AA227" s="2386">
        <v>33.75</v>
      </c>
      <c r="AD227" t="s">
        <v>5749</v>
      </c>
      <c r="AE227" s="2352">
        <v>363</v>
      </c>
      <c r="AF227" s="2352">
        <v>165</v>
      </c>
      <c r="AG227" s="2352">
        <v>114.75</v>
      </c>
      <c r="AH227" s="2352">
        <v>0</v>
      </c>
    </row>
    <row r="228" spans="22:34">
      <c r="W228" t="s">
        <v>1451</v>
      </c>
      <c r="X228" s="2386">
        <v>202.57504272460938</v>
      </c>
      <c r="Y228" s="674">
        <v>122.32495880126953</v>
      </c>
      <c r="Z228" s="2386">
        <v>7.8000001907348633</v>
      </c>
      <c r="AA228" s="2386">
        <v>152.85000610351563</v>
      </c>
      <c r="AD228" t="s">
        <v>5750</v>
      </c>
      <c r="AE228" s="2352">
        <v>334.5</v>
      </c>
      <c r="AF228" s="2352">
        <v>788.25</v>
      </c>
      <c r="AG228" s="2352">
        <v>172.5</v>
      </c>
      <c r="AH228" s="2352">
        <v>0</v>
      </c>
    </row>
    <row r="229" spans="22:34">
      <c r="W229" t="s">
        <v>1452</v>
      </c>
      <c r="X229" s="2386">
        <v>481.2750244140625</v>
      </c>
      <c r="Y229" s="674">
        <v>28.574960708618164</v>
      </c>
      <c r="Z229" s="2386">
        <v>7.8000001907348633</v>
      </c>
      <c r="AA229" s="2386">
        <v>338.85000610351563</v>
      </c>
      <c r="AD229" t="s">
        <v>5751</v>
      </c>
      <c r="AE229" s="2352">
        <v>507</v>
      </c>
      <c r="AF229" s="2352">
        <v>783.75</v>
      </c>
      <c r="AG229" s="2352">
        <v>0</v>
      </c>
      <c r="AH229" s="2352">
        <v>4.5</v>
      </c>
    </row>
    <row r="230" spans="22:34">
      <c r="W230" t="s">
        <v>5705</v>
      </c>
      <c r="X230" s="2386">
        <v>436.20001220703125</v>
      </c>
      <c r="Y230" s="674">
        <v>566.0999755859375</v>
      </c>
      <c r="Z230" s="2386">
        <v>0</v>
      </c>
      <c r="AA230" s="2386">
        <v>14.25</v>
      </c>
      <c r="AD230" t="s">
        <v>5752</v>
      </c>
      <c r="AE230" s="2352">
        <v>334.5</v>
      </c>
      <c r="AF230" s="2352">
        <v>783.75</v>
      </c>
      <c r="AG230" s="2352">
        <v>0</v>
      </c>
      <c r="AH230" s="2352">
        <v>4.5</v>
      </c>
    </row>
    <row r="231" spans="22:34">
      <c r="W231" t="s">
        <v>5706</v>
      </c>
      <c r="X231" s="2386">
        <v>613.79998779296875</v>
      </c>
      <c r="Y231" s="674">
        <v>566.0999755859375</v>
      </c>
      <c r="Z231" s="2386">
        <v>0</v>
      </c>
      <c r="AA231" s="2386">
        <v>14.25</v>
      </c>
      <c r="AD231" t="s">
        <v>5753</v>
      </c>
      <c r="AE231" s="2352">
        <v>420.75</v>
      </c>
      <c r="AF231" s="2352">
        <v>788.25</v>
      </c>
      <c r="AG231" s="2352">
        <v>0</v>
      </c>
      <c r="AH231" s="2352">
        <v>7.5</v>
      </c>
    </row>
    <row r="232" spans="22:34">
      <c r="W232" t="s">
        <v>5707</v>
      </c>
      <c r="X232" s="2386">
        <v>233.55000305175781</v>
      </c>
      <c r="Y232" s="674">
        <v>596.4000244140625</v>
      </c>
      <c r="Z232" s="2386">
        <v>29.25</v>
      </c>
      <c r="AA232" s="2386">
        <v>109.34999847412109</v>
      </c>
      <c r="AD232" t="s">
        <v>5754</v>
      </c>
      <c r="AE232" s="2352">
        <v>124.5</v>
      </c>
      <c r="AF232" s="2352">
        <v>555.75</v>
      </c>
      <c r="AG232" s="2352">
        <v>75</v>
      </c>
      <c r="AH232" s="2352">
        <v>0</v>
      </c>
    </row>
    <row r="233" spans="22:34">
      <c r="W233" t="s">
        <v>2262</v>
      </c>
      <c r="X233" s="2386">
        <v>131.39999389648438</v>
      </c>
      <c r="Y233" s="674">
        <v>364.20001220703125</v>
      </c>
      <c r="Z233" s="2386">
        <v>21</v>
      </c>
      <c r="AA233" s="2386">
        <v>17.399999618530273</v>
      </c>
      <c r="AD233" t="s">
        <v>5755</v>
      </c>
      <c r="AE233" s="2352">
        <v>474.75</v>
      </c>
      <c r="AF233" s="2352">
        <v>804</v>
      </c>
      <c r="AG233" s="2352">
        <v>0</v>
      </c>
      <c r="AH233" s="2352">
        <v>27.75</v>
      </c>
    </row>
    <row r="234" spans="22:34">
      <c r="AD234" t="s">
        <v>5756</v>
      </c>
      <c r="AE234" s="2352">
        <v>363</v>
      </c>
      <c r="AF234" s="2352">
        <v>165</v>
      </c>
      <c r="AG234" s="2352">
        <v>0</v>
      </c>
      <c r="AH234" s="2352">
        <v>21</v>
      </c>
    </row>
    <row r="235" spans="22:34">
      <c r="V235" t="s">
        <v>2504</v>
      </c>
      <c r="W235" t="s">
        <v>5648</v>
      </c>
      <c r="X235" s="2386">
        <v>1.5</v>
      </c>
      <c r="Y235" s="674">
        <v>3</v>
      </c>
      <c r="Z235" s="2386">
        <v>104.40000152587891</v>
      </c>
      <c r="AA235" s="2386">
        <v>32.25</v>
      </c>
      <c r="AD235" t="s">
        <v>5757</v>
      </c>
      <c r="AE235" s="2352">
        <v>477.75</v>
      </c>
      <c r="AF235" s="2352">
        <v>165</v>
      </c>
      <c r="AG235" s="2352">
        <v>0</v>
      </c>
      <c r="AH235" s="2352">
        <v>21</v>
      </c>
    </row>
    <row r="236" spans="22:34">
      <c r="W236" t="s">
        <v>2262</v>
      </c>
      <c r="X236" s="2386">
        <v>7.1999998092651367</v>
      </c>
      <c r="Y236" s="674">
        <v>133.19999694824219</v>
      </c>
      <c r="Z236" s="2386">
        <v>22.200000762939453</v>
      </c>
      <c r="AA236" s="2386">
        <v>16.799999237060547</v>
      </c>
      <c r="AD236" t="s">
        <v>5758</v>
      </c>
      <c r="AE236" s="2352">
        <v>451.5</v>
      </c>
      <c r="AF236" s="2352">
        <v>803.25</v>
      </c>
      <c r="AG236" s="2352">
        <v>23.25</v>
      </c>
      <c r="AH236" s="2352">
        <v>0</v>
      </c>
    </row>
    <row r="237" spans="22:34">
      <c r="AD237" t="s">
        <v>5759</v>
      </c>
      <c r="AE237" s="2352">
        <v>451.5</v>
      </c>
      <c r="AF237" s="2352">
        <v>832.5</v>
      </c>
      <c r="AG237" s="2352">
        <v>23.25</v>
      </c>
      <c r="AH237" s="2352">
        <v>0</v>
      </c>
    </row>
    <row r="238" spans="22:34">
      <c r="W238" t="s">
        <v>5473</v>
      </c>
      <c r="X238" s="2386">
        <v>336</v>
      </c>
      <c r="Y238" s="674">
        <v>675</v>
      </c>
      <c r="Z238" s="2386">
        <v>21.600000381469727</v>
      </c>
      <c r="AA238" s="2386">
        <v>19.200000762939453</v>
      </c>
      <c r="AD238" t="s">
        <v>5760</v>
      </c>
      <c r="AE238" s="2352">
        <v>234.75</v>
      </c>
      <c r="AF238" s="2352">
        <v>555.75</v>
      </c>
      <c r="AG238" s="2352">
        <v>81</v>
      </c>
      <c r="AH238" s="2352">
        <v>0</v>
      </c>
    </row>
    <row r="239" spans="22:34">
      <c r="W239" t="s">
        <v>7269</v>
      </c>
      <c r="X239" s="2386">
        <v>438.75</v>
      </c>
      <c r="Y239" s="674">
        <v>171.89999389648438</v>
      </c>
      <c r="Z239" s="2386">
        <v>89.099998474121094</v>
      </c>
      <c r="AA239" s="2386">
        <v>453.45001220703125</v>
      </c>
      <c r="AD239" t="s">
        <v>5761</v>
      </c>
      <c r="AE239" s="2352">
        <v>148.5</v>
      </c>
      <c r="AF239" s="2352">
        <v>513.75</v>
      </c>
      <c r="AG239" s="2352">
        <v>0</v>
      </c>
      <c r="AH239" s="2352">
        <v>9.75</v>
      </c>
    </row>
    <row r="240" spans="22:34">
      <c r="W240" t="s">
        <v>5330</v>
      </c>
      <c r="X240" s="2386">
        <v>438.75</v>
      </c>
      <c r="Y240" s="674">
        <v>469.04998779296875</v>
      </c>
      <c r="Z240" s="2386">
        <v>89.099998474121094</v>
      </c>
      <c r="AA240" s="2386">
        <v>24.600000381469727</v>
      </c>
      <c r="AD240" t="s">
        <v>5762</v>
      </c>
      <c r="AE240" s="2352">
        <v>148.5</v>
      </c>
      <c r="AF240" s="2352">
        <v>513.75</v>
      </c>
      <c r="AG240" s="2352">
        <v>215.25</v>
      </c>
      <c r="AH240" s="2352">
        <v>0</v>
      </c>
    </row>
    <row r="241" spans="22:34">
      <c r="W241" t="s">
        <v>3176</v>
      </c>
      <c r="X241" s="2386">
        <v>438.75</v>
      </c>
      <c r="Y241" s="674">
        <v>478.04998779296875</v>
      </c>
      <c r="Z241" s="2386">
        <v>89.099998474121094</v>
      </c>
      <c r="AA241" s="2386">
        <v>136.94999694824219</v>
      </c>
      <c r="AD241" t="s">
        <v>5763</v>
      </c>
      <c r="AE241" s="2352">
        <v>268.5</v>
      </c>
      <c r="AF241" s="2352">
        <v>585</v>
      </c>
      <c r="AG241" s="2352">
        <v>0</v>
      </c>
      <c r="AH241" s="2352">
        <v>7.5</v>
      </c>
    </row>
    <row r="242" spans="22:34">
      <c r="W242" t="s">
        <v>12097</v>
      </c>
      <c r="X242" s="2386">
        <v>621</v>
      </c>
      <c r="Y242" s="674">
        <v>921</v>
      </c>
      <c r="Z242" s="2386">
        <v>88.199996948242188</v>
      </c>
      <c r="AA242" s="2386">
        <v>55.200000762939453</v>
      </c>
      <c r="AD242" t="s">
        <v>5764</v>
      </c>
      <c r="AE242" s="2352">
        <v>268.5</v>
      </c>
      <c r="AF242" s="2352">
        <v>592.5</v>
      </c>
      <c r="AG242" s="2352">
        <v>213</v>
      </c>
      <c r="AH242" s="2352">
        <v>0</v>
      </c>
    </row>
    <row r="243" spans="22:34">
      <c r="W243" t="s">
        <v>12098</v>
      </c>
      <c r="X243" s="2386">
        <v>621</v>
      </c>
      <c r="Y243" s="674">
        <v>935.4000244140625</v>
      </c>
      <c r="Z243" s="2386">
        <v>88.199996948242188</v>
      </c>
      <c r="AA243" s="2386">
        <v>74.400001525878906</v>
      </c>
      <c r="AD243" t="s">
        <v>5765</v>
      </c>
      <c r="AE243" s="2352">
        <v>363.75</v>
      </c>
      <c r="AF243" s="2352">
        <v>513.75</v>
      </c>
      <c r="AG243" s="2352">
        <v>0</v>
      </c>
      <c r="AH243" s="2352">
        <v>30</v>
      </c>
    </row>
    <row r="244" spans="22:34">
      <c r="V244" t="s">
        <v>3530</v>
      </c>
      <c r="W244" t="s">
        <v>5648</v>
      </c>
      <c r="X244" s="2386">
        <v>5.4000000953674316</v>
      </c>
      <c r="Y244" s="674">
        <v>6.75</v>
      </c>
      <c r="Z244" s="2386">
        <v>106.05000305175781</v>
      </c>
      <c r="AA244" s="2386">
        <v>33.75</v>
      </c>
      <c r="AD244" t="s">
        <v>5766</v>
      </c>
      <c r="AE244" s="2352">
        <v>480.75</v>
      </c>
      <c r="AF244" s="2352">
        <v>562.5</v>
      </c>
      <c r="AG244" s="2352">
        <v>0</v>
      </c>
      <c r="AH244" s="2352">
        <v>30</v>
      </c>
    </row>
    <row r="245" spans="22:34">
      <c r="V245" t="s">
        <v>5907</v>
      </c>
      <c r="W245" t="s">
        <v>387</v>
      </c>
      <c r="X245" s="2386">
        <v>830.4000244140625</v>
      </c>
      <c r="Y245" s="674">
        <v>1482.14990234375</v>
      </c>
      <c r="Z245" s="2386">
        <v>3.5984251648187637E-2</v>
      </c>
      <c r="AA245" s="2386">
        <v>22.433937072753906</v>
      </c>
      <c r="AD245" t="s">
        <v>2966</v>
      </c>
      <c r="AE245" s="2352">
        <v>414.75</v>
      </c>
      <c r="AF245" s="2352">
        <v>279.75</v>
      </c>
      <c r="AG245" s="2352">
        <v>0</v>
      </c>
      <c r="AH245" s="2352">
        <v>354</v>
      </c>
    </row>
    <row r="246" spans="22:34">
      <c r="W246" t="s">
        <v>5648</v>
      </c>
      <c r="X246" s="2386">
        <v>9.1499996185302734</v>
      </c>
      <c r="Y246" s="674">
        <v>6.75</v>
      </c>
      <c r="Z246" s="2386">
        <v>111.59999847412109</v>
      </c>
      <c r="AA246" s="2386">
        <v>33.75</v>
      </c>
      <c r="AD246" t="s">
        <v>2967</v>
      </c>
      <c r="AE246" s="2352">
        <v>402.75</v>
      </c>
      <c r="AF246" s="2352">
        <v>279.75</v>
      </c>
      <c r="AG246" s="2352">
        <v>12</v>
      </c>
      <c r="AH246" s="2352">
        <v>0</v>
      </c>
    </row>
    <row r="247" spans="22:34">
      <c r="W247" t="s">
        <v>7765</v>
      </c>
      <c r="X247" s="2386">
        <v>583.79998779296875</v>
      </c>
      <c r="Y247" s="674">
        <v>151.19999694824219</v>
      </c>
      <c r="Z247" s="2386">
        <v>24</v>
      </c>
      <c r="AA247" s="2386">
        <v>16.799999237060547</v>
      </c>
      <c r="AD247" t="s">
        <v>2968</v>
      </c>
      <c r="AE247" s="2352">
        <v>531</v>
      </c>
      <c r="AF247" s="2352">
        <v>279.75</v>
      </c>
      <c r="AG247" s="2352">
        <v>0</v>
      </c>
      <c r="AH247" s="2352">
        <v>354</v>
      </c>
    </row>
    <row r="248" spans="22:34">
      <c r="W248" t="s">
        <v>7764</v>
      </c>
      <c r="X248" s="2386">
        <v>583.79998779296875</v>
      </c>
      <c r="Y248" s="674">
        <v>164.39999389648438</v>
      </c>
      <c r="Z248" s="2386">
        <v>24</v>
      </c>
      <c r="AA248" s="2386">
        <v>18.600000381469727</v>
      </c>
      <c r="AD248" t="s">
        <v>2969</v>
      </c>
      <c r="AE248" s="2352">
        <v>519</v>
      </c>
      <c r="AF248" s="2352">
        <v>279.75</v>
      </c>
      <c r="AG248" s="2352">
        <v>12</v>
      </c>
      <c r="AH248" s="2352">
        <v>0</v>
      </c>
    </row>
    <row r="249" spans="22:34">
      <c r="W249" t="s">
        <v>388</v>
      </c>
      <c r="X249" s="2386">
        <v>646.79998779296875</v>
      </c>
      <c r="Y249" s="674">
        <v>121.19999694824219</v>
      </c>
      <c r="Z249" s="2386">
        <v>286.79998779296875</v>
      </c>
      <c r="AA249" s="2386">
        <v>17.399999618530273</v>
      </c>
      <c r="AD249" t="s">
        <v>2970</v>
      </c>
      <c r="AE249" s="2352">
        <v>519.75</v>
      </c>
      <c r="AF249" s="2352">
        <v>633.75</v>
      </c>
      <c r="AG249" s="2352">
        <v>11.25</v>
      </c>
      <c r="AH249" s="2352">
        <v>0</v>
      </c>
    </row>
    <row r="250" spans="22:34">
      <c r="W250" t="s">
        <v>389</v>
      </c>
      <c r="X250" s="2386">
        <v>9</v>
      </c>
      <c r="Y250" s="674">
        <v>48.599998474121094</v>
      </c>
      <c r="Z250" s="2386">
        <v>147.60000610351563</v>
      </c>
      <c r="AA250" s="2386">
        <v>23.399999618530273</v>
      </c>
      <c r="AD250" t="s">
        <v>2971</v>
      </c>
      <c r="AE250" s="2352">
        <v>403.5</v>
      </c>
      <c r="AF250" s="2352">
        <v>633.75</v>
      </c>
      <c r="AG250" s="2352">
        <v>11.25</v>
      </c>
      <c r="AH250" s="2352">
        <v>0</v>
      </c>
    </row>
    <row r="251" spans="22:34">
      <c r="W251" t="s">
        <v>5767</v>
      </c>
      <c r="X251" s="2386">
        <v>11.399999618530273</v>
      </c>
      <c r="Y251" s="674">
        <v>2419.199951171875</v>
      </c>
      <c r="Z251" s="2386">
        <v>146.39999389648438</v>
      </c>
      <c r="AA251" s="2386">
        <v>16.799999237060547</v>
      </c>
      <c r="AD251" t="s">
        <v>5648</v>
      </c>
      <c r="AE251" s="2352">
        <v>4.5</v>
      </c>
      <c r="AF251" s="2352">
        <v>6.75</v>
      </c>
      <c r="AG251" s="2352">
        <v>112.5</v>
      </c>
      <c r="AH251" s="2352">
        <v>33.75</v>
      </c>
    </row>
    <row r="252" spans="22:34">
      <c r="W252" t="s">
        <v>387</v>
      </c>
      <c r="X252" s="2386">
        <v>830.4000244140625</v>
      </c>
      <c r="Y252" s="674">
        <v>1518.14990234375</v>
      </c>
      <c r="Z252" s="2386">
        <v>3.5984251648187637E-2</v>
      </c>
      <c r="AA252" s="2386">
        <v>22.433937072753906</v>
      </c>
      <c r="AD252" t="s">
        <v>5767</v>
      </c>
      <c r="AE252" s="2352">
        <v>99</v>
      </c>
      <c r="AF252" s="2352">
        <v>81.75</v>
      </c>
      <c r="AG252" s="2352">
        <v>383.25</v>
      </c>
      <c r="AH252" s="2352">
        <v>15</v>
      </c>
    </row>
    <row r="253" spans="22:34">
      <c r="W253" t="s">
        <v>1279</v>
      </c>
      <c r="X253" s="2386">
        <v>1128</v>
      </c>
      <c r="Y253" s="674">
        <v>1832.2501220703125</v>
      </c>
      <c r="Z253" s="2386">
        <v>0</v>
      </c>
      <c r="AA253" s="2386">
        <v>86.400001525878906</v>
      </c>
      <c r="AD253" t="s">
        <v>8406</v>
      </c>
      <c r="AE253" s="2352">
        <v>866.25</v>
      </c>
      <c r="AF253" s="2352">
        <v>666</v>
      </c>
      <c r="AG253" s="2352">
        <v>276.75</v>
      </c>
      <c r="AH253" s="2352">
        <v>126</v>
      </c>
    </row>
    <row r="254" spans="22:34">
      <c r="V254" t="s">
        <v>3536</v>
      </c>
      <c r="W254" t="s">
        <v>5648</v>
      </c>
      <c r="X254" s="2386">
        <v>4.1999998092651367</v>
      </c>
      <c r="Y254" s="674">
        <v>6.75</v>
      </c>
      <c r="Z254" s="2386">
        <v>104.09999847412109</v>
      </c>
      <c r="AA254" s="2386">
        <v>33.75</v>
      </c>
      <c r="AC254" t="s">
        <v>692</v>
      </c>
      <c r="AD254" t="s">
        <v>5748</v>
      </c>
      <c r="AE254" s="2352">
        <v>484.5</v>
      </c>
      <c r="AF254" s="2352">
        <v>723.75</v>
      </c>
      <c r="AG254" s="2352">
        <v>9</v>
      </c>
      <c r="AH254" s="2352">
        <v>0</v>
      </c>
    </row>
    <row r="255" spans="22:34">
      <c r="W255" t="s">
        <v>7014</v>
      </c>
      <c r="X255" s="2386">
        <v>240.60000610351563</v>
      </c>
      <c r="Y255" s="674">
        <v>1128</v>
      </c>
      <c r="Z255" s="2386">
        <v>22.799999237060547</v>
      </c>
      <c r="AA255" s="2386">
        <v>18</v>
      </c>
      <c r="AD255" t="s">
        <v>5749</v>
      </c>
      <c r="AE255" s="2352">
        <v>484.5</v>
      </c>
      <c r="AF255" s="2352">
        <v>604.5</v>
      </c>
      <c r="AG255" s="2352">
        <v>9</v>
      </c>
      <c r="AH255" s="2352">
        <v>0</v>
      </c>
    </row>
    <row r="256" spans="22:34">
      <c r="W256" t="s">
        <v>12099</v>
      </c>
      <c r="X256" s="2386">
        <v>286.79998779296875</v>
      </c>
      <c r="Y256" s="674">
        <v>1663.199951171875</v>
      </c>
      <c r="Z256" s="2386">
        <v>22.200000762939453</v>
      </c>
      <c r="AA256" s="2386">
        <v>17.399999618530273</v>
      </c>
      <c r="AD256" t="s">
        <v>5750</v>
      </c>
      <c r="AE256" s="2352">
        <v>494.25</v>
      </c>
      <c r="AF256" s="2352">
        <v>604.5</v>
      </c>
      <c r="AG256" s="2352">
        <v>0</v>
      </c>
      <c r="AH256" s="2352">
        <v>119.25</v>
      </c>
    </row>
    <row r="257" spans="22:34">
      <c r="W257" t="s">
        <v>12100</v>
      </c>
      <c r="X257" s="2386">
        <v>286.79998779296875</v>
      </c>
      <c r="Y257" s="674">
        <v>1699.199951171875</v>
      </c>
      <c r="Z257" s="2386">
        <v>22.200000762939453</v>
      </c>
      <c r="AA257" s="2386">
        <v>17.399999618530273</v>
      </c>
      <c r="AD257" t="s">
        <v>5648</v>
      </c>
      <c r="AE257" s="2352">
        <v>4.5</v>
      </c>
      <c r="AF257" s="2352">
        <v>6.75</v>
      </c>
      <c r="AG257" s="2352">
        <v>112.5</v>
      </c>
      <c r="AH257" s="2352">
        <v>33.75</v>
      </c>
    </row>
    <row r="258" spans="22:34">
      <c r="V258" t="s">
        <v>2998</v>
      </c>
      <c r="W258" t="s">
        <v>5648</v>
      </c>
      <c r="X258" s="2386">
        <v>4.1999998092651367</v>
      </c>
      <c r="Y258" s="674">
        <v>6.75</v>
      </c>
      <c r="Z258" s="2386">
        <v>104.09999847412109</v>
      </c>
      <c r="AA258" s="2386">
        <v>33.75</v>
      </c>
      <c r="AD258" t="s">
        <v>2972</v>
      </c>
      <c r="AE258" s="2352">
        <v>245.25</v>
      </c>
      <c r="AF258" s="2352">
        <v>692.25</v>
      </c>
      <c r="AG258" s="2352">
        <v>157.5</v>
      </c>
      <c r="AH258" s="2352">
        <v>17.25</v>
      </c>
    </row>
    <row r="259" spans="22:34">
      <c r="V259" t="s">
        <v>245</v>
      </c>
      <c r="W259" t="s">
        <v>5648</v>
      </c>
      <c r="X259" s="2386">
        <v>9.8999996185302734</v>
      </c>
      <c r="Y259" s="674">
        <v>6.75</v>
      </c>
      <c r="Z259" s="2386">
        <v>103.34999847412109</v>
      </c>
      <c r="AA259" s="2386">
        <v>33.75</v>
      </c>
      <c r="AD259" t="s">
        <v>7202</v>
      </c>
      <c r="AE259" s="2352">
        <v>244.5</v>
      </c>
      <c r="AF259" s="2352">
        <v>668.25</v>
      </c>
      <c r="AG259" s="2352">
        <v>158.25</v>
      </c>
      <c r="AH259" s="2352">
        <v>17.25</v>
      </c>
    </row>
    <row r="260" spans="22:34">
      <c r="V260" t="s">
        <v>2165</v>
      </c>
      <c r="W260" t="s">
        <v>5648</v>
      </c>
      <c r="X260" s="2386">
        <v>4.1999998092651367</v>
      </c>
      <c r="Y260" s="674">
        <v>6.75</v>
      </c>
      <c r="Z260" s="2386">
        <v>111.90000152587891</v>
      </c>
      <c r="AA260" s="2386">
        <v>33.75</v>
      </c>
      <c r="AC260" t="s">
        <v>693</v>
      </c>
      <c r="AD260" t="s">
        <v>5648</v>
      </c>
      <c r="AE260" s="2352">
        <v>9</v>
      </c>
      <c r="AF260" s="2352">
        <v>6.75</v>
      </c>
      <c r="AG260" s="2352">
        <v>112.5</v>
      </c>
      <c r="AH260" s="2352">
        <v>33.75</v>
      </c>
    </row>
    <row r="261" spans="22:34">
      <c r="W261" t="s">
        <v>3643</v>
      </c>
      <c r="X261" s="2386">
        <v>232.80000305175781</v>
      </c>
      <c r="Y261" s="674">
        <v>595.20001220703125</v>
      </c>
      <c r="Z261" s="2386">
        <v>19.200000762939453</v>
      </c>
      <c r="AA261" s="2386">
        <v>18</v>
      </c>
      <c r="AD261" t="s">
        <v>5339</v>
      </c>
      <c r="AE261" s="2352">
        <v>81</v>
      </c>
      <c r="AF261" s="2352">
        <v>78</v>
      </c>
      <c r="AG261" s="2352">
        <v>132.75</v>
      </c>
      <c r="AH261" s="2352">
        <v>21</v>
      </c>
    </row>
    <row r="262" spans="22:34">
      <c r="V262" t="s">
        <v>3535</v>
      </c>
      <c r="W262" t="s">
        <v>5648</v>
      </c>
      <c r="X262" s="2386">
        <v>4.1999998092651367</v>
      </c>
      <c r="Y262" s="674">
        <v>6.75</v>
      </c>
      <c r="Z262" s="2386">
        <v>111.90000152587891</v>
      </c>
      <c r="AA262" s="2386">
        <v>33.75</v>
      </c>
      <c r="AD262" t="s">
        <v>5340</v>
      </c>
      <c r="AE262" s="2352">
        <v>9.75</v>
      </c>
      <c r="AF262" s="2352">
        <v>477.75</v>
      </c>
      <c r="AG262" s="2352">
        <v>242.25</v>
      </c>
      <c r="AH262" s="2352">
        <v>25.5</v>
      </c>
    </row>
    <row r="263" spans="22:34">
      <c r="V263" t="s">
        <v>2959</v>
      </c>
      <c r="W263" t="s">
        <v>702</v>
      </c>
      <c r="X263" s="2386">
        <v>1271.4000244140625</v>
      </c>
      <c r="Y263" s="674">
        <v>43.349998474121094</v>
      </c>
      <c r="Z263" s="2386">
        <v>0</v>
      </c>
      <c r="AA263" s="2386">
        <v>16.799999237060547</v>
      </c>
      <c r="AD263" t="s">
        <v>3593</v>
      </c>
      <c r="AE263" s="2352">
        <v>219.75</v>
      </c>
      <c r="AF263" s="2352">
        <v>78</v>
      </c>
      <c r="AG263" s="2352">
        <v>217.5</v>
      </c>
      <c r="AH263" s="2352">
        <v>21</v>
      </c>
    </row>
    <row r="264" spans="22:34">
      <c r="W264" t="s">
        <v>553</v>
      </c>
      <c r="X264" s="2386">
        <v>417.14999389648438</v>
      </c>
      <c r="Y264" s="674">
        <v>114</v>
      </c>
      <c r="Z264" s="2386">
        <v>44.25</v>
      </c>
      <c r="AA264" s="2386">
        <v>15.75</v>
      </c>
      <c r="AD264" t="s">
        <v>5767</v>
      </c>
      <c r="AE264" s="2352">
        <v>1137.75</v>
      </c>
      <c r="AF264" s="2352">
        <v>105.75</v>
      </c>
      <c r="AG264" s="2352">
        <v>60</v>
      </c>
      <c r="AH264" s="2352">
        <v>15.75</v>
      </c>
    </row>
    <row r="265" spans="22:34">
      <c r="W265" t="s">
        <v>554</v>
      </c>
      <c r="X265" s="2386">
        <v>732.1500244140625</v>
      </c>
      <c r="Y265" s="674">
        <v>114.75</v>
      </c>
      <c r="Z265" s="2386">
        <v>224.25</v>
      </c>
      <c r="AA265" s="2386">
        <v>15</v>
      </c>
      <c r="AD265" t="s">
        <v>3594</v>
      </c>
      <c r="AE265" s="2352">
        <v>442.5</v>
      </c>
      <c r="AF265" s="2352">
        <v>78</v>
      </c>
      <c r="AG265" s="2352">
        <v>213.75</v>
      </c>
      <c r="AH265" s="2352">
        <v>21</v>
      </c>
    </row>
    <row r="266" spans="22:34">
      <c r="W266" t="s">
        <v>555</v>
      </c>
      <c r="X266" s="2386">
        <v>416.39999389648438</v>
      </c>
      <c r="Y266" s="674">
        <v>189.75</v>
      </c>
      <c r="Z266" s="2386">
        <v>45.150001525878906</v>
      </c>
      <c r="AA266" s="2386">
        <v>45</v>
      </c>
      <c r="AD266" t="s">
        <v>3595</v>
      </c>
      <c r="AE266" s="2352">
        <v>1378.5</v>
      </c>
      <c r="AF266" s="2352">
        <v>132.75</v>
      </c>
      <c r="AG266" s="2352">
        <v>117</v>
      </c>
      <c r="AH266" s="2352">
        <v>15.75</v>
      </c>
    </row>
    <row r="267" spans="22:34">
      <c r="W267" t="s">
        <v>556</v>
      </c>
      <c r="X267" s="2386">
        <v>417.14999389648438</v>
      </c>
      <c r="Y267" s="674">
        <v>294.75</v>
      </c>
      <c r="Z267" s="2386">
        <v>44.25</v>
      </c>
      <c r="AA267" s="2386">
        <v>15</v>
      </c>
      <c r="AD267" t="s">
        <v>3596</v>
      </c>
      <c r="AE267" s="2352">
        <v>2125.5</v>
      </c>
      <c r="AF267" s="2352">
        <v>132.75</v>
      </c>
      <c r="AG267" s="2352">
        <v>117</v>
      </c>
      <c r="AH267" s="2352">
        <v>15.75</v>
      </c>
    </row>
    <row r="268" spans="22:34">
      <c r="W268" t="s">
        <v>557</v>
      </c>
      <c r="X268" s="2386">
        <v>732.1500244140625</v>
      </c>
      <c r="Y268" s="674">
        <v>248.25</v>
      </c>
      <c r="Z268" s="2386">
        <v>224.39999389648438</v>
      </c>
      <c r="AA268" s="2386">
        <v>45.750080108642578</v>
      </c>
      <c r="AD268" t="s">
        <v>3597</v>
      </c>
      <c r="AE268" s="2352">
        <v>1565.25</v>
      </c>
      <c r="AF268" s="2352">
        <v>84.75</v>
      </c>
      <c r="AG268" s="2352">
        <v>297</v>
      </c>
      <c r="AH268" s="2352">
        <v>18</v>
      </c>
    </row>
    <row r="269" spans="22:34">
      <c r="W269" t="s">
        <v>558</v>
      </c>
      <c r="X269" s="2386">
        <v>732.1500244140625</v>
      </c>
      <c r="Y269" s="674">
        <v>294</v>
      </c>
      <c r="Z269" s="2386">
        <v>224.25</v>
      </c>
      <c r="AA269" s="2386">
        <v>15</v>
      </c>
      <c r="AD269" t="s">
        <v>3598</v>
      </c>
      <c r="AE269" s="2352">
        <v>1878.75</v>
      </c>
      <c r="AF269" s="2352">
        <v>84.75</v>
      </c>
      <c r="AG269" s="2352">
        <v>132.75</v>
      </c>
      <c r="AH269" s="2352">
        <v>18</v>
      </c>
    </row>
    <row r="270" spans="22:34">
      <c r="W270" t="s">
        <v>556</v>
      </c>
      <c r="X270" s="2386">
        <v>417.14999389648438</v>
      </c>
      <c r="Y270" s="674">
        <v>365.39999389648438</v>
      </c>
      <c r="Z270" s="2386">
        <v>44.25</v>
      </c>
      <c r="AA270" s="2386">
        <v>11.399999618530273</v>
      </c>
      <c r="AC270" t="s">
        <v>5178</v>
      </c>
      <c r="AD270" t="s">
        <v>5648</v>
      </c>
      <c r="AE270" s="2352">
        <v>26.25</v>
      </c>
      <c r="AF270" s="2352">
        <v>6.75</v>
      </c>
      <c r="AG270" s="2352">
        <v>112.5</v>
      </c>
      <c r="AH270" s="2352">
        <v>33.75</v>
      </c>
    </row>
    <row r="271" spans="22:34">
      <c r="W271" t="s">
        <v>558</v>
      </c>
      <c r="X271" s="2386">
        <v>731.4000244140625</v>
      </c>
      <c r="Y271" s="674">
        <v>365.39999389648438</v>
      </c>
      <c r="Z271" s="2386">
        <v>225.14999389648438</v>
      </c>
      <c r="AA271" s="2386">
        <v>11.399999618530273</v>
      </c>
      <c r="AD271" t="s">
        <v>3390</v>
      </c>
      <c r="AE271" s="2352">
        <v>516</v>
      </c>
      <c r="AF271" s="2352">
        <v>765.75</v>
      </c>
      <c r="AG271" s="2352">
        <v>12</v>
      </c>
      <c r="AH271" s="2352">
        <v>11.25</v>
      </c>
    </row>
    <row r="272" spans="22:34">
      <c r="W272" t="s">
        <v>556</v>
      </c>
      <c r="X272" s="2386">
        <v>371.39999389648438</v>
      </c>
      <c r="Y272" s="674">
        <v>886.79998779296875</v>
      </c>
      <c r="Z272" s="2386">
        <v>44.843544006347656</v>
      </c>
      <c r="AA272" s="2386">
        <v>15</v>
      </c>
      <c r="AE272" s="2352">
        <v>0</v>
      </c>
      <c r="AF272" s="2352">
        <v>0</v>
      </c>
      <c r="AG272" s="2352">
        <v>0</v>
      </c>
      <c r="AH272" s="2352">
        <v>0</v>
      </c>
    </row>
    <row r="273" spans="22:34">
      <c r="W273" t="s">
        <v>556</v>
      </c>
      <c r="X273" s="2386">
        <v>461.39999389648438</v>
      </c>
      <c r="Y273" s="674">
        <v>886.79998779296875</v>
      </c>
      <c r="Z273" s="2386">
        <v>44.843544006347656</v>
      </c>
      <c r="AA273" s="2386">
        <v>15</v>
      </c>
      <c r="AD273" t="s">
        <v>3391</v>
      </c>
      <c r="AE273" s="2352">
        <v>516</v>
      </c>
      <c r="AF273" s="2352">
        <v>798.75</v>
      </c>
      <c r="AG273" s="2352">
        <v>12</v>
      </c>
      <c r="AH273" s="2352">
        <v>11.25</v>
      </c>
    </row>
    <row r="274" spans="22:34">
      <c r="V274" t="s">
        <v>2964</v>
      </c>
      <c r="W274" t="s">
        <v>559</v>
      </c>
      <c r="X274" s="2386">
        <v>309</v>
      </c>
      <c r="Y274" s="674">
        <v>41.400001525878906</v>
      </c>
      <c r="Z274" s="2386">
        <v>122.40000152587891</v>
      </c>
      <c r="AA274" s="2386">
        <v>168</v>
      </c>
      <c r="AD274" t="s">
        <v>3392</v>
      </c>
      <c r="AE274" s="2352">
        <v>591.75</v>
      </c>
      <c r="AF274" s="2352">
        <v>768.75</v>
      </c>
      <c r="AG274" s="2352">
        <v>9.75</v>
      </c>
      <c r="AH274" s="2352">
        <v>10.5</v>
      </c>
    </row>
    <row r="275" spans="22:34">
      <c r="W275" t="s">
        <v>560</v>
      </c>
      <c r="X275" s="2386">
        <v>309</v>
      </c>
      <c r="Y275" s="674">
        <v>738.1500244140625</v>
      </c>
      <c r="Z275" s="2386">
        <v>122.40000152587891</v>
      </c>
      <c r="AA275" s="2386">
        <v>70.5</v>
      </c>
      <c r="AD275" t="s">
        <v>4903</v>
      </c>
      <c r="AE275" s="2352">
        <v>591.75</v>
      </c>
      <c r="AF275" s="2352">
        <v>801.75</v>
      </c>
      <c r="AG275" s="2352">
        <v>9.75</v>
      </c>
      <c r="AH275" s="2352">
        <v>10.5</v>
      </c>
    </row>
    <row r="276" spans="22:34">
      <c r="W276" t="s">
        <v>560</v>
      </c>
      <c r="X276" s="2386">
        <v>1485.5999755859375</v>
      </c>
      <c r="Y276" s="674">
        <v>366.14999389648438</v>
      </c>
      <c r="Z276" s="2386">
        <v>0</v>
      </c>
      <c r="AA276" s="2386">
        <v>93.75</v>
      </c>
      <c r="AD276" t="s">
        <v>4904</v>
      </c>
      <c r="AE276" s="2352">
        <v>562.5</v>
      </c>
      <c r="AF276" s="2352">
        <v>768.75</v>
      </c>
      <c r="AG276" s="2352">
        <v>9.75</v>
      </c>
      <c r="AH276" s="2352">
        <v>10.5</v>
      </c>
    </row>
    <row r="277" spans="22:34">
      <c r="V277" t="s">
        <v>1503</v>
      </c>
      <c r="W277" t="s">
        <v>1279</v>
      </c>
      <c r="X277" s="2386">
        <v>466.95001220703125</v>
      </c>
      <c r="Y277" s="674">
        <v>1518</v>
      </c>
      <c r="Z277" s="2386">
        <v>775.95001220703125</v>
      </c>
      <c r="AA277" s="2386">
        <v>380.39999389648438</v>
      </c>
      <c r="AD277" t="s">
        <v>4905</v>
      </c>
      <c r="AE277" s="2352">
        <v>562.5</v>
      </c>
      <c r="AF277" s="2352">
        <v>801.75</v>
      </c>
      <c r="AG277" s="2352">
        <v>9.75</v>
      </c>
      <c r="AH277" s="2352">
        <v>10.5</v>
      </c>
    </row>
    <row r="278" spans="22:34">
      <c r="W278" t="s">
        <v>4343</v>
      </c>
      <c r="X278" s="2386">
        <v>1241.4000244140625</v>
      </c>
      <c r="Y278" s="674">
        <v>1584</v>
      </c>
      <c r="Z278" s="2386">
        <v>231.89999389648438</v>
      </c>
      <c r="AA278" s="2386">
        <v>27.600000381469727</v>
      </c>
      <c r="AD278" t="s">
        <v>4906</v>
      </c>
      <c r="AE278" s="2352">
        <v>516</v>
      </c>
      <c r="AF278" s="2352">
        <v>815.25</v>
      </c>
      <c r="AG278" s="2352">
        <v>12</v>
      </c>
      <c r="AH278" s="2352">
        <v>11.25</v>
      </c>
    </row>
    <row r="279" spans="22:34">
      <c r="W279" t="s">
        <v>4343</v>
      </c>
      <c r="X279" s="2386">
        <v>729.75</v>
      </c>
      <c r="Y279" s="674">
        <v>1308.75</v>
      </c>
      <c r="Z279" s="2386">
        <v>160.05000305175781</v>
      </c>
      <c r="AA279" s="2386">
        <v>52.049999237060547</v>
      </c>
      <c r="AD279" t="s">
        <v>4907</v>
      </c>
      <c r="AE279" s="2352">
        <v>562.5</v>
      </c>
      <c r="AF279" s="2352">
        <v>818.25</v>
      </c>
      <c r="AG279" s="2352">
        <v>9.75</v>
      </c>
      <c r="AH279" s="2352">
        <v>10.5</v>
      </c>
    </row>
    <row r="280" spans="22:34">
      <c r="W280" t="s">
        <v>1279</v>
      </c>
      <c r="X280" s="2386">
        <v>102.44999694824219</v>
      </c>
      <c r="Y280" s="674">
        <v>2590.349853515625</v>
      </c>
      <c r="Z280" s="2386">
        <v>1168.199951171875</v>
      </c>
      <c r="AA280" s="2386">
        <v>116.85008239746094</v>
      </c>
      <c r="AD280" t="s">
        <v>5689</v>
      </c>
      <c r="AE280" s="2352">
        <v>592.5</v>
      </c>
      <c r="AF280" s="2352">
        <v>818.25</v>
      </c>
      <c r="AG280" s="2352">
        <v>9.75</v>
      </c>
      <c r="AH280" s="2352">
        <v>10.5</v>
      </c>
    </row>
    <row r="281" spans="22:34">
      <c r="W281" t="s">
        <v>4343</v>
      </c>
      <c r="X281" s="2386">
        <v>730.5</v>
      </c>
      <c r="Y281" s="674">
        <v>1254</v>
      </c>
      <c r="Z281" s="2386">
        <v>159.30000305175781</v>
      </c>
      <c r="AA281" s="2386">
        <v>39.599998474121094</v>
      </c>
      <c r="AD281" t="s">
        <v>3599</v>
      </c>
      <c r="AE281" s="2352">
        <v>575.25</v>
      </c>
      <c r="AF281" s="2352">
        <v>111.75</v>
      </c>
      <c r="AG281" s="2352">
        <v>128.25</v>
      </c>
      <c r="AH281" s="2352">
        <v>15.75</v>
      </c>
    </row>
    <row r="282" spans="22:34">
      <c r="W282" t="s">
        <v>4343</v>
      </c>
      <c r="X282" s="2386">
        <v>730.5</v>
      </c>
      <c r="Y282" s="674">
        <v>1201.199951171875</v>
      </c>
      <c r="Z282" s="2386">
        <v>159.30000305175781</v>
      </c>
      <c r="AA282" s="2386">
        <v>39.599998474121094</v>
      </c>
      <c r="AD282" t="s">
        <v>3600</v>
      </c>
      <c r="AE282" s="2352">
        <v>87.75</v>
      </c>
      <c r="AF282" s="2352">
        <v>78.75</v>
      </c>
      <c r="AG282" s="2352">
        <v>425.25</v>
      </c>
      <c r="AH282" s="2352">
        <v>14.25</v>
      </c>
    </row>
    <row r="283" spans="22:34">
      <c r="W283" t="s">
        <v>1022</v>
      </c>
      <c r="X283" s="2386">
        <v>1886.4000244140625</v>
      </c>
      <c r="Y283" s="674">
        <v>1321.949951171875</v>
      </c>
      <c r="Z283" s="2386">
        <v>518.89190673828125</v>
      </c>
      <c r="AA283" s="2386">
        <v>171.32086181640625</v>
      </c>
      <c r="AC283" t="s">
        <v>4360</v>
      </c>
      <c r="AD283" t="s">
        <v>5648</v>
      </c>
      <c r="AE283" s="2352">
        <v>7.5</v>
      </c>
      <c r="AF283" s="2352">
        <v>6</v>
      </c>
      <c r="AG283" s="2352">
        <v>112.5</v>
      </c>
      <c r="AH283" s="2352">
        <v>33.75</v>
      </c>
    </row>
    <row r="284" spans="22:34">
      <c r="W284" t="s">
        <v>4343</v>
      </c>
      <c r="X284" s="2386">
        <v>729.2999267578125</v>
      </c>
      <c r="Y284" s="674">
        <v>1374.7498779296875</v>
      </c>
      <c r="Z284" s="2386">
        <v>162.75</v>
      </c>
      <c r="AA284" s="2386">
        <v>50.849998474121094</v>
      </c>
      <c r="AD284" t="s">
        <v>3601</v>
      </c>
      <c r="AE284" s="2352">
        <v>247.5</v>
      </c>
      <c r="AF284" s="2352">
        <v>57</v>
      </c>
      <c r="AG284" s="2352">
        <v>468.75</v>
      </c>
      <c r="AH284" s="2352">
        <v>15.75</v>
      </c>
    </row>
    <row r="285" spans="22:34">
      <c r="W285" t="s">
        <v>7767</v>
      </c>
      <c r="X285" s="2386">
        <v>889.79998779296875</v>
      </c>
      <c r="Y285" s="674">
        <v>3046.800048828125</v>
      </c>
      <c r="Z285" s="2386">
        <v>2.25</v>
      </c>
      <c r="AA285" s="2386">
        <v>12.75</v>
      </c>
      <c r="AC285" t="s">
        <v>4361</v>
      </c>
      <c r="AD285" t="s">
        <v>5648</v>
      </c>
      <c r="AE285" s="2352">
        <v>4.5</v>
      </c>
      <c r="AF285" s="2352">
        <v>6</v>
      </c>
      <c r="AG285" s="2352">
        <v>112.5</v>
      </c>
      <c r="AH285" s="2352">
        <v>33.75</v>
      </c>
    </row>
    <row r="286" spans="22:34">
      <c r="W286" t="s">
        <v>7768</v>
      </c>
      <c r="X286" s="2386">
        <v>889.79998779296875</v>
      </c>
      <c r="Y286" s="674">
        <v>3060</v>
      </c>
      <c r="Z286" s="2386">
        <v>2.25</v>
      </c>
      <c r="AA286" s="2386">
        <v>12.75</v>
      </c>
      <c r="AC286" t="s">
        <v>488</v>
      </c>
      <c r="AD286" t="s">
        <v>5648</v>
      </c>
      <c r="AE286" s="2352">
        <v>4.5</v>
      </c>
      <c r="AF286" s="2352">
        <v>6</v>
      </c>
      <c r="AG286" s="2352">
        <v>112.5</v>
      </c>
      <c r="AH286" s="2352">
        <v>33.75</v>
      </c>
    </row>
    <row r="287" spans="22:34">
      <c r="W287" t="s">
        <v>1279</v>
      </c>
      <c r="X287" s="2386">
        <v>103.94992065429688</v>
      </c>
      <c r="Y287" s="674">
        <v>2979.89990234375</v>
      </c>
      <c r="Z287" s="2386">
        <v>1447.35009765625</v>
      </c>
      <c r="AA287" s="2386">
        <v>121.20008087158203</v>
      </c>
      <c r="AD287" t="s">
        <v>2946</v>
      </c>
      <c r="AE287" s="2352">
        <v>4.5</v>
      </c>
      <c r="AF287" s="2352">
        <v>44.25</v>
      </c>
      <c r="AG287" s="2352">
        <v>808.5</v>
      </c>
      <c r="AH287" s="2352">
        <v>20.25</v>
      </c>
    </row>
    <row r="288" spans="22:34">
      <c r="W288" t="s">
        <v>1279</v>
      </c>
      <c r="X288" s="2386">
        <v>102.44999694824219</v>
      </c>
      <c r="Y288" s="674">
        <v>2719.949951171875</v>
      </c>
      <c r="Z288" s="2386">
        <v>1168.199951171875</v>
      </c>
      <c r="AA288" s="2386">
        <v>116.85008239746094</v>
      </c>
      <c r="AC288" t="s">
        <v>5179</v>
      </c>
      <c r="AD288" t="s">
        <v>5748</v>
      </c>
      <c r="AE288" s="2352">
        <v>555</v>
      </c>
      <c r="AF288" s="2352">
        <v>597.75</v>
      </c>
      <c r="AG288" s="2352">
        <v>0</v>
      </c>
      <c r="AH288" s="2352">
        <v>0</v>
      </c>
    </row>
    <row r="289" spans="22:34">
      <c r="W289" t="s">
        <v>1279</v>
      </c>
      <c r="X289" s="2386">
        <v>102.44999694824219</v>
      </c>
      <c r="Y289" s="674">
        <v>2849.5498046875</v>
      </c>
      <c r="Z289" s="2386">
        <v>1168.199951171875</v>
      </c>
      <c r="AA289" s="2386">
        <v>116.85008239746094</v>
      </c>
      <c r="AD289" t="s">
        <v>5648</v>
      </c>
      <c r="AE289" s="2352">
        <v>4.5</v>
      </c>
      <c r="AF289" s="2352">
        <v>6.75</v>
      </c>
      <c r="AG289" s="2352">
        <v>112.5</v>
      </c>
      <c r="AH289" s="2352">
        <v>33.75</v>
      </c>
    </row>
    <row r="290" spans="22:34">
      <c r="V290" t="s">
        <v>1521</v>
      </c>
      <c r="AD290" t="s">
        <v>2947</v>
      </c>
      <c r="AE290" s="2352">
        <v>401.25</v>
      </c>
      <c r="AF290" s="2352">
        <v>76.5</v>
      </c>
      <c r="AG290" s="2352">
        <v>254.25</v>
      </c>
      <c r="AH290" s="2352">
        <v>19.5</v>
      </c>
    </row>
    <row r="291" spans="22:34">
      <c r="AC291" t="s">
        <v>5180</v>
      </c>
      <c r="AD291" t="s">
        <v>5648</v>
      </c>
      <c r="AE291" s="2352">
        <v>3.75</v>
      </c>
      <c r="AF291" s="2352">
        <v>6.75</v>
      </c>
      <c r="AG291" s="2352">
        <v>112.5</v>
      </c>
      <c r="AH291" s="2352">
        <v>33.75</v>
      </c>
    </row>
    <row r="292" spans="22:34">
      <c r="AC292" t="s">
        <v>7322</v>
      </c>
      <c r="AD292" t="s">
        <v>5648</v>
      </c>
      <c r="AE292" s="2352">
        <v>4.5</v>
      </c>
      <c r="AF292" s="2352">
        <v>6.75</v>
      </c>
      <c r="AG292" s="2352">
        <v>112.5</v>
      </c>
      <c r="AH292" s="2352">
        <v>33.75</v>
      </c>
    </row>
    <row r="293" spans="22:34">
      <c r="AC293" t="s">
        <v>7323</v>
      </c>
      <c r="AD293" t="s">
        <v>5648</v>
      </c>
      <c r="AE293" s="2352">
        <v>4.5</v>
      </c>
      <c r="AF293" s="2352">
        <v>6.75</v>
      </c>
      <c r="AG293" s="2352">
        <v>112.5</v>
      </c>
      <c r="AH293" s="2352">
        <v>33.75</v>
      </c>
    </row>
    <row r="294" spans="22:34">
      <c r="AC294" t="s">
        <v>7324</v>
      </c>
      <c r="AD294" t="s">
        <v>5748</v>
      </c>
      <c r="AE294" s="2352">
        <v>10.5</v>
      </c>
      <c r="AF294" s="2352">
        <v>814.5</v>
      </c>
      <c r="AG294" s="2352">
        <v>476.25</v>
      </c>
      <c r="AH294" s="2352">
        <v>0</v>
      </c>
    </row>
    <row r="295" spans="22:34">
      <c r="AD295" t="s">
        <v>5648</v>
      </c>
      <c r="AE295" s="2352">
        <v>4.5</v>
      </c>
      <c r="AF295" s="2352">
        <v>6.75</v>
      </c>
      <c r="AG295" s="2352">
        <v>112.5</v>
      </c>
      <c r="AH295" s="2352">
        <v>33.75</v>
      </c>
    </row>
    <row r="296" spans="22:34">
      <c r="AC296" t="s">
        <v>2162</v>
      </c>
      <c r="AD296" t="s">
        <v>5648</v>
      </c>
      <c r="AE296" s="2352">
        <v>0</v>
      </c>
      <c r="AF296" s="2352">
        <v>6.75</v>
      </c>
      <c r="AG296" s="2352">
        <v>112.5</v>
      </c>
      <c r="AH296" s="2352">
        <v>33.75</v>
      </c>
    </row>
    <row r="297" spans="22:34">
      <c r="AC297" t="s">
        <v>2163</v>
      </c>
      <c r="AD297" t="s">
        <v>5648</v>
      </c>
      <c r="AE297" s="2352">
        <v>4.5</v>
      </c>
      <c r="AF297" s="2352">
        <v>6.75</v>
      </c>
      <c r="AG297" s="2352">
        <v>112.5</v>
      </c>
      <c r="AH297" s="2352">
        <v>33.75</v>
      </c>
    </row>
    <row r="298" spans="22:34">
      <c r="AC298" t="s">
        <v>3798</v>
      </c>
      <c r="AD298" t="s">
        <v>5648</v>
      </c>
      <c r="AE298" s="2352">
        <v>3.75</v>
      </c>
      <c r="AF298" s="2352">
        <v>6</v>
      </c>
      <c r="AG298" s="2352">
        <v>112.5</v>
      </c>
      <c r="AH298" s="2352">
        <v>33.75</v>
      </c>
    </row>
    <row r="299" spans="22:34">
      <c r="AD299" t="s">
        <v>5767</v>
      </c>
      <c r="AE299" s="2352">
        <v>291.75</v>
      </c>
      <c r="AF299" s="2352">
        <v>83.25</v>
      </c>
      <c r="AG299" s="2352">
        <v>377.25</v>
      </c>
      <c r="AH299" s="2352">
        <v>15.75</v>
      </c>
    </row>
    <row r="300" spans="22:34">
      <c r="AD300" t="s">
        <v>4148</v>
      </c>
      <c r="AE300" s="2352">
        <v>208.5</v>
      </c>
      <c r="AF300" s="2352">
        <v>195.75</v>
      </c>
      <c r="AG300" s="2352">
        <v>24</v>
      </c>
      <c r="AH300" s="2352">
        <v>17.25</v>
      </c>
    </row>
    <row r="301" spans="22:34">
      <c r="AD301" t="s">
        <v>8407</v>
      </c>
      <c r="AE301" s="2352">
        <v>332.25</v>
      </c>
      <c r="AF301" s="2352">
        <v>235.5</v>
      </c>
      <c r="AG301" s="2352">
        <v>343.5</v>
      </c>
      <c r="AH301" s="2352">
        <v>21.75</v>
      </c>
    </row>
    <row r="302" spans="22:34">
      <c r="AC302" t="s">
        <v>2164</v>
      </c>
      <c r="AD302" t="s">
        <v>5648</v>
      </c>
      <c r="AE302" s="2352">
        <v>4.5</v>
      </c>
      <c r="AF302" s="2352">
        <v>6.75</v>
      </c>
      <c r="AG302" s="2352">
        <v>112.5</v>
      </c>
      <c r="AH302" s="2352">
        <v>33.75</v>
      </c>
    </row>
    <row r="303" spans="22:34">
      <c r="AD303" t="s">
        <v>2948</v>
      </c>
      <c r="AE303" s="2352">
        <v>257.25</v>
      </c>
      <c r="AF303" s="2352">
        <v>76.5</v>
      </c>
      <c r="AG303" s="2352">
        <v>123.75</v>
      </c>
      <c r="AH303" s="2352">
        <v>16.5</v>
      </c>
    </row>
    <row r="304" spans="22:34">
      <c r="AC304" t="s">
        <v>7530</v>
      </c>
      <c r="AD304" t="s">
        <v>5648</v>
      </c>
      <c r="AE304" s="2352">
        <v>11.25</v>
      </c>
      <c r="AF304" s="2352">
        <v>6.75</v>
      </c>
      <c r="AG304" s="2352">
        <v>112.5</v>
      </c>
      <c r="AH304" s="2352">
        <v>33.75</v>
      </c>
    </row>
    <row r="305" spans="29:34">
      <c r="AD305" t="s">
        <v>2261</v>
      </c>
      <c r="AE305" s="2352">
        <v>375.75</v>
      </c>
      <c r="AF305" s="2352">
        <v>668.25</v>
      </c>
      <c r="AG305" s="2352">
        <v>41.25</v>
      </c>
      <c r="AH305" s="2352">
        <v>18</v>
      </c>
    </row>
    <row r="306" spans="29:34">
      <c r="AD306" t="s">
        <v>2262</v>
      </c>
      <c r="AE306" s="2352">
        <v>135.75</v>
      </c>
      <c r="AF306" s="2352">
        <v>138</v>
      </c>
      <c r="AG306" s="2352">
        <v>24</v>
      </c>
      <c r="AH306" s="2352">
        <v>17.25</v>
      </c>
    </row>
    <row r="307" spans="29:34">
      <c r="AE307" s="2352">
        <v>0</v>
      </c>
      <c r="AF307" s="2352">
        <v>0</v>
      </c>
      <c r="AG307" s="2352">
        <v>0</v>
      </c>
      <c r="AH307" s="2352">
        <v>0</v>
      </c>
    </row>
    <row r="308" spans="29:34">
      <c r="AC308" t="s">
        <v>3528</v>
      </c>
      <c r="AD308" t="s">
        <v>5648</v>
      </c>
      <c r="AE308" s="2352">
        <v>11.25</v>
      </c>
      <c r="AF308" s="2352">
        <v>6.75</v>
      </c>
      <c r="AG308" s="2352">
        <v>112.5</v>
      </c>
      <c r="AH308" s="2352">
        <v>33.75</v>
      </c>
    </row>
    <row r="309" spans="29:34">
      <c r="AD309" t="s">
        <v>1451</v>
      </c>
      <c r="AE309" s="2352">
        <v>219.37</v>
      </c>
      <c r="AF309" s="2352">
        <v>112.88</v>
      </c>
      <c r="AG309" s="2352">
        <v>8.25</v>
      </c>
      <c r="AH309" s="2352">
        <v>169.5</v>
      </c>
    </row>
    <row r="310" spans="29:34">
      <c r="AD310" t="s">
        <v>1452</v>
      </c>
      <c r="AE310" s="2352">
        <v>525</v>
      </c>
      <c r="AF310" s="2352">
        <v>12.75</v>
      </c>
      <c r="AG310" s="2352">
        <v>8.25</v>
      </c>
      <c r="AH310" s="2352">
        <v>368.25</v>
      </c>
    </row>
    <row r="311" spans="29:34">
      <c r="AD311" t="s">
        <v>5705</v>
      </c>
      <c r="AE311" s="2352">
        <v>474</v>
      </c>
      <c r="AF311" s="2352">
        <v>559.5</v>
      </c>
      <c r="AG311" s="2352">
        <v>0</v>
      </c>
      <c r="AH311" s="2352">
        <v>14.25</v>
      </c>
    </row>
    <row r="312" spans="29:34">
      <c r="AD312" t="s">
        <v>5706</v>
      </c>
      <c r="AE312" s="2352">
        <v>668.25</v>
      </c>
      <c r="AF312" s="2352">
        <v>559.5</v>
      </c>
      <c r="AG312" s="2352">
        <v>0</v>
      </c>
      <c r="AH312" s="2352">
        <v>14.25</v>
      </c>
    </row>
    <row r="313" spans="29:34">
      <c r="AD313" t="s">
        <v>5707</v>
      </c>
      <c r="AE313" s="2352">
        <v>254.25</v>
      </c>
      <c r="AF313" s="2352">
        <v>589.5</v>
      </c>
      <c r="AG313" s="2352">
        <v>29.25</v>
      </c>
      <c r="AH313" s="2352">
        <v>107.25</v>
      </c>
    </row>
    <row r="314" spans="29:34">
      <c r="AD314" t="s">
        <v>2262</v>
      </c>
      <c r="AE314" s="2352">
        <v>140.25</v>
      </c>
      <c r="AF314" s="2352">
        <v>360</v>
      </c>
      <c r="AG314" s="2352">
        <v>24</v>
      </c>
      <c r="AH314" s="2352">
        <v>17.25</v>
      </c>
    </row>
    <row r="315" spans="29:34">
      <c r="AE315" s="2352">
        <v>0</v>
      </c>
      <c r="AF315" s="2352">
        <v>0</v>
      </c>
      <c r="AG315" s="2352">
        <v>0</v>
      </c>
      <c r="AH315" s="2352">
        <v>0</v>
      </c>
    </row>
    <row r="316" spans="29:34">
      <c r="AC316" t="s">
        <v>2504</v>
      </c>
      <c r="AD316" t="s">
        <v>5648</v>
      </c>
      <c r="AE316" s="2352">
        <v>1.5</v>
      </c>
      <c r="AF316" s="2352">
        <v>3</v>
      </c>
      <c r="AG316" s="2352">
        <v>106.5</v>
      </c>
      <c r="AH316" s="2352">
        <v>32.25</v>
      </c>
    </row>
    <row r="317" spans="29:34">
      <c r="AD317" t="s">
        <v>2262</v>
      </c>
      <c r="AE317" s="2352">
        <v>7.5</v>
      </c>
      <c r="AF317" s="2352">
        <v>133.5</v>
      </c>
      <c r="AG317" s="2352">
        <v>24</v>
      </c>
      <c r="AH317" s="2352">
        <v>17.25</v>
      </c>
    </row>
    <row r="318" spans="29:34">
      <c r="AE318" s="2352">
        <v>0</v>
      </c>
      <c r="AF318" s="2352">
        <v>0</v>
      </c>
      <c r="AG318" s="2352">
        <v>0</v>
      </c>
      <c r="AH318" s="2352">
        <v>0</v>
      </c>
    </row>
    <row r="319" spans="29:34">
      <c r="AD319" t="s">
        <v>5473</v>
      </c>
      <c r="AE319" s="2352">
        <v>317.25</v>
      </c>
      <c r="AF319" s="2352">
        <v>692.25</v>
      </c>
      <c r="AG319" s="2352">
        <v>24</v>
      </c>
      <c r="AH319" s="2352">
        <v>18</v>
      </c>
    </row>
    <row r="320" spans="29:34">
      <c r="AD320" t="s">
        <v>7269</v>
      </c>
      <c r="AE320" s="2352">
        <v>409.5</v>
      </c>
      <c r="AF320" s="2352">
        <v>174.75</v>
      </c>
      <c r="AG320" s="2352">
        <v>97.5</v>
      </c>
      <c r="AH320" s="2352">
        <v>466.5</v>
      </c>
    </row>
    <row r="321" spans="29:34">
      <c r="AD321" t="s">
        <v>5330</v>
      </c>
      <c r="AE321" s="2352">
        <v>409.5</v>
      </c>
      <c r="AF321" s="2352">
        <v>458.25</v>
      </c>
      <c r="AG321" s="2352">
        <v>97.5</v>
      </c>
      <c r="AH321" s="2352">
        <v>25.5</v>
      </c>
    </row>
    <row r="322" spans="29:34">
      <c r="AD322" t="s">
        <v>3176</v>
      </c>
      <c r="AE322" s="2352">
        <v>409.5</v>
      </c>
      <c r="AF322" s="2352">
        <v>467.25</v>
      </c>
      <c r="AG322" s="2352">
        <v>97.5</v>
      </c>
      <c r="AH322" s="2352">
        <v>162.75</v>
      </c>
    </row>
    <row r="323" spans="29:34">
      <c r="AC323" t="s">
        <v>3530</v>
      </c>
      <c r="AD323" t="s">
        <v>5648</v>
      </c>
      <c r="AE323" s="2352">
        <v>6</v>
      </c>
      <c r="AF323" s="2352">
        <v>6.75</v>
      </c>
      <c r="AG323" s="2352">
        <v>112.5</v>
      </c>
      <c r="AH323" s="2352">
        <v>33.75</v>
      </c>
    </row>
    <row r="324" spans="29:34">
      <c r="AC324" t="s">
        <v>5907</v>
      </c>
      <c r="AD324" t="s">
        <v>387</v>
      </c>
      <c r="AE324" s="2352">
        <v>905.25</v>
      </c>
      <c r="AF324" s="2352">
        <v>1502.25</v>
      </c>
      <c r="AG324" s="2352">
        <v>0.04</v>
      </c>
      <c r="AH324" s="2352">
        <v>22.43</v>
      </c>
    </row>
    <row r="325" spans="29:34">
      <c r="AD325" t="s">
        <v>5648</v>
      </c>
      <c r="AE325" s="2352">
        <v>9.75</v>
      </c>
      <c r="AF325" s="2352">
        <v>6.75</v>
      </c>
      <c r="AG325" s="2352">
        <v>112.5</v>
      </c>
      <c r="AH325" s="2352">
        <v>33.75</v>
      </c>
    </row>
    <row r="326" spans="29:34">
      <c r="AD326" t="s">
        <v>7765</v>
      </c>
      <c r="AE326" s="2352">
        <v>635.25</v>
      </c>
      <c r="AF326" s="2352">
        <v>152.25</v>
      </c>
      <c r="AG326" s="2352">
        <v>24</v>
      </c>
      <c r="AH326" s="2352">
        <v>17.25</v>
      </c>
    </row>
    <row r="327" spans="29:34">
      <c r="AD327" t="s">
        <v>7764</v>
      </c>
      <c r="AE327" s="2352">
        <v>635.25</v>
      </c>
      <c r="AF327" s="2352">
        <v>165.75</v>
      </c>
      <c r="AG327" s="2352">
        <v>24</v>
      </c>
      <c r="AH327" s="2352">
        <v>18</v>
      </c>
    </row>
    <row r="328" spans="29:34">
      <c r="AD328" t="s">
        <v>388</v>
      </c>
      <c r="AE328" s="2352">
        <v>703.5</v>
      </c>
      <c r="AF328" s="2352">
        <v>122.25</v>
      </c>
      <c r="AG328" s="2352">
        <v>314.25</v>
      </c>
      <c r="AH328" s="2352">
        <v>18</v>
      </c>
    </row>
    <row r="329" spans="29:34">
      <c r="AD329" t="s">
        <v>389</v>
      </c>
      <c r="AE329" s="2352">
        <v>9.75</v>
      </c>
      <c r="AF329" s="2352">
        <v>48.75</v>
      </c>
      <c r="AG329" s="2352">
        <v>158.25</v>
      </c>
      <c r="AH329" s="2352">
        <v>23.25</v>
      </c>
    </row>
    <row r="330" spans="29:34">
      <c r="AD330" t="s">
        <v>5767</v>
      </c>
      <c r="AE330" s="2352">
        <v>11.25</v>
      </c>
      <c r="AF330" s="2352">
        <v>2497.5</v>
      </c>
      <c r="AG330" s="2352">
        <v>158.25</v>
      </c>
      <c r="AH330" s="2352">
        <v>16.5</v>
      </c>
    </row>
    <row r="331" spans="29:34">
      <c r="AD331" t="s">
        <v>387</v>
      </c>
      <c r="AE331" s="2352">
        <v>905.25</v>
      </c>
      <c r="AF331" s="2352">
        <v>1538.25</v>
      </c>
      <c r="AG331" s="2352">
        <v>0.04</v>
      </c>
      <c r="AH331" s="2352">
        <v>22.43</v>
      </c>
    </row>
    <row r="332" spans="29:34">
      <c r="AD332" t="s">
        <v>1279</v>
      </c>
      <c r="AE332" s="2352">
        <v>1976.25</v>
      </c>
      <c r="AF332" s="2352">
        <v>1851</v>
      </c>
      <c r="AG332" s="2352">
        <v>92.25</v>
      </c>
      <c r="AH332" s="2352">
        <v>87.75</v>
      </c>
    </row>
    <row r="333" spans="29:34">
      <c r="AC333" t="s">
        <v>3536</v>
      </c>
      <c r="AD333" t="s">
        <v>5648</v>
      </c>
      <c r="AE333" s="2352">
        <v>4.5</v>
      </c>
      <c r="AF333" s="2352">
        <v>6.75</v>
      </c>
      <c r="AG333" s="2352">
        <v>112.5</v>
      </c>
      <c r="AH333" s="2352">
        <v>33.75</v>
      </c>
    </row>
    <row r="334" spans="29:34">
      <c r="AD334" t="s">
        <v>7014</v>
      </c>
      <c r="AE334" s="2352">
        <v>261.75</v>
      </c>
      <c r="AF334" s="2352">
        <v>339.75</v>
      </c>
      <c r="AG334" s="2352">
        <v>24</v>
      </c>
      <c r="AH334" s="2352">
        <v>17.25</v>
      </c>
    </row>
    <row r="335" spans="29:34">
      <c r="AD335" t="s">
        <v>4510</v>
      </c>
      <c r="AE335" s="2352">
        <v>261.75</v>
      </c>
      <c r="AF335" s="2352">
        <v>359.25</v>
      </c>
      <c r="AG335" s="2352">
        <v>24</v>
      </c>
      <c r="AH335" s="2352">
        <v>17.25</v>
      </c>
    </row>
    <row r="336" spans="29:34">
      <c r="AD336" t="s">
        <v>4511</v>
      </c>
      <c r="AE336" s="2352">
        <v>261</v>
      </c>
      <c r="AF336" s="2352">
        <v>378</v>
      </c>
      <c r="AG336" s="2352">
        <v>24</v>
      </c>
      <c r="AH336" s="2352">
        <v>17.25</v>
      </c>
    </row>
    <row r="337" spans="29:34">
      <c r="AC337" t="s">
        <v>2998</v>
      </c>
      <c r="AD337" t="s">
        <v>5648</v>
      </c>
      <c r="AE337" s="2352">
        <v>4.5</v>
      </c>
      <c r="AF337" s="2352">
        <v>6.75</v>
      </c>
      <c r="AG337" s="2352">
        <v>112.5</v>
      </c>
      <c r="AH337" s="2352">
        <v>33.75</v>
      </c>
    </row>
    <row r="338" spans="29:34">
      <c r="AC338" t="s">
        <v>245</v>
      </c>
      <c r="AD338" t="s">
        <v>5648</v>
      </c>
      <c r="AE338" s="2352">
        <v>10.5</v>
      </c>
      <c r="AF338" s="2352">
        <v>6.75</v>
      </c>
      <c r="AG338" s="2352">
        <v>112.5</v>
      </c>
      <c r="AH338" s="2352">
        <v>33.75</v>
      </c>
    </row>
    <row r="339" spans="29:34">
      <c r="AC339" t="s">
        <v>2165</v>
      </c>
      <c r="AD339" t="s">
        <v>5648</v>
      </c>
      <c r="AE339" s="2352">
        <v>4.5</v>
      </c>
      <c r="AF339" s="2352">
        <v>6.75</v>
      </c>
      <c r="AG339" s="2352">
        <v>112.5</v>
      </c>
      <c r="AH339" s="2352">
        <v>33.75</v>
      </c>
    </row>
    <row r="340" spans="29:34">
      <c r="AD340" t="s">
        <v>3643</v>
      </c>
      <c r="AE340" s="2352">
        <v>250.5</v>
      </c>
      <c r="AF340" s="2352">
        <v>602.25</v>
      </c>
      <c r="AG340" s="2352">
        <v>24</v>
      </c>
      <c r="AH340" s="2352">
        <v>17.25</v>
      </c>
    </row>
    <row r="341" spans="29:34">
      <c r="AC341" t="s">
        <v>3535</v>
      </c>
      <c r="AD341" t="s">
        <v>5648</v>
      </c>
      <c r="AE341" s="2352">
        <v>4.5</v>
      </c>
      <c r="AF341" s="2352">
        <v>6.75</v>
      </c>
      <c r="AG341" s="2352">
        <v>112.5</v>
      </c>
      <c r="AH341" s="2352">
        <v>33.75</v>
      </c>
    </row>
    <row r="342" spans="29:34">
      <c r="AC342" t="s">
        <v>2166</v>
      </c>
      <c r="AD342" t="s">
        <v>5648</v>
      </c>
      <c r="AE342" s="2352">
        <v>4.5</v>
      </c>
      <c r="AF342" s="2352">
        <v>6.75</v>
      </c>
      <c r="AG342" s="2352">
        <v>112.5</v>
      </c>
      <c r="AH342" s="2352">
        <v>33.75</v>
      </c>
    </row>
    <row r="343" spans="29:34">
      <c r="AC343" t="s">
        <v>2167</v>
      </c>
      <c r="AD343" t="s">
        <v>5748</v>
      </c>
      <c r="AE343" s="2352">
        <v>96.75</v>
      </c>
      <c r="AF343" s="2352">
        <v>234</v>
      </c>
      <c r="AG343" s="2352">
        <v>35.25</v>
      </c>
      <c r="AH343" s="2352">
        <v>0</v>
      </c>
    </row>
    <row r="344" spans="29:34">
      <c r="AD344" t="s">
        <v>5648</v>
      </c>
      <c r="AE344" s="2352">
        <v>4.5</v>
      </c>
      <c r="AF344" s="2352">
        <v>6.75</v>
      </c>
      <c r="AG344" s="2352">
        <v>112.5</v>
      </c>
      <c r="AH344" s="2352">
        <v>33.75</v>
      </c>
    </row>
    <row r="345" spans="29:34">
      <c r="AC345" t="s">
        <v>4787</v>
      </c>
      <c r="AD345" t="s">
        <v>5648</v>
      </c>
      <c r="AE345" s="2352">
        <v>4.5</v>
      </c>
      <c r="AF345" s="2352">
        <v>6.75</v>
      </c>
      <c r="AG345" s="2352">
        <v>112.5</v>
      </c>
      <c r="AH345" s="2352">
        <v>33.75</v>
      </c>
    </row>
    <row r="346" spans="29:34">
      <c r="AC346" t="s">
        <v>5158</v>
      </c>
      <c r="AD346" t="s">
        <v>8408</v>
      </c>
      <c r="AE346" s="2352">
        <v>292.5</v>
      </c>
      <c r="AF346" s="2352">
        <v>892.5</v>
      </c>
      <c r="AG346" s="2352">
        <v>24.75</v>
      </c>
      <c r="AH346" s="2352">
        <v>17.25</v>
      </c>
    </row>
    <row r="347" spans="29:34">
      <c r="AD347" t="s">
        <v>8071</v>
      </c>
      <c r="AE347" s="2352">
        <v>198.75</v>
      </c>
      <c r="AF347" s="2352">
        <v>1272.75</v>
      </c>
      <c r="AG347" s="2352">
        <v>24.75</v>
      </c>
      <c r="AH347" s="2352">
        <v>17.25</v>
      </c>
    </row>
    <row r="348" spans="29:34">
      <c r="AD348" t="s">
        <v>5648</v>
      </c>
      <c r="AE348" s="2352">
        <v>4.5</v>
      </c>
      <c r="AF348" s="2352">
        <v>6.75</v>
      </c>
      <c r="AG348" s="2352">
        <v>112.5</v>
      </c>
      <c r="AH348" s="2352">
        <v>33.75</v>
      </c>
    </row>
    <row r="349" spans="29:34">
      <c r="AD349" t="s">
        <v>3507</v>
      </c>
      <c r="AE349" s="2352">
        <v>311.25</v>
      </c>
      <c r="AF349" s="2352">
        <v>6</v>
      </c>
      <c r="AG349" s="2352">
        <v>148.5</v>
      </c>
      <c r="AH349" s="2352">
        <v>16.5</v>
      </c>
    </row>
    <row r="350" spans="29:34">
      <c r="AD350" t="s">
        <v>8072</v>
      </c>
      <c r="AE350" s="2352">
        <v>198.75</v>
      </c>
      <c r="AF350" s="2352">
        <v>989.25</v>
      </c>
      <c r="AG350" s="2352">
        <v>24.75</v>
      </c>
      <c r="AH350" s="2352">
        <v>18</v>
      </c>
    </row>
    <row r="351" spans="29:34">
      <c r="AD351" t="s">
        <v>8073</v>
      </c>
      <c r="AE351" s="2352">
        <v>198.75</v>
      </c>
      <c r="AF351" s="2352">
        <v>1005</v>
      </c>
      <c r="AG351" s="2352">
        <v>24.75</v>
      </c>
      <c r="AH351" s="2352">
        <v>17.25</v>
      </c>
    </row>
    <row r="352" spans="29:34">
      <c r="AD352" t="s">
        <v>8074</v>
      </c>
      <c r="AE352" s="2352">
        <v>198.75</v>
      </c>
      <c r="AF352" s="2352">
        <v>1020</v>
      </c>
      <c r="AG352" s="2352">
        <v>24.75</v>
      </c>
      <c r="AH352" s="2352">
        <v>17.25</v>
      </c>
    </row>
    <row r="353" spans="30:34">
      <c r="AD353" t="s">
        <v>8075</v>
      </c>
      <c r="AE353" s="2352">
        <v>280.5</v>
      </c>
      <c r="AF353" s="2352">
        <v>1034.25</v>
      </c>
      <c r="AG353" s="2352">
        <v>24</v>
      </c>
      <c r="AH353" s="2352">
        <v>18</v>
      </c>
    </row>
    <row r="354" spans="30:34">
      <c r="AD354" t="s">
        <v>8076</v>
      </c>
      <c r="AE354" s="2352">
        <v>198.75</v>
      </c>
      <c r="AF354" s="2352">
        <v>480</v>
      </c>
      <c r="AG354" s="2352">
        <v>24.75</v>
      </c>
      <c r="AH354" s="2352">
        <v>15.75</v>
      </c>
    </row>
    <row r="355" spans="30:34">
      <c r="AD355" t="s">
        <v>8077</v>
      </c>
      <c r="AE355" s="2352">
        <v>198.75</v>
      </c>
      <c r="AF355" s="2352">
        <v>672.75</v>
      </c>
      <c r="AG355" s="2352">
        <v>24.75</v>
      </c>
      <c r="AH355" s="2352">
        <v>17.25</v>
      </c>
    </row>
    <row r="356" spans="30:34">
      <c r="AD356" t="s">
        <v>704</v>
      </c>
      <c r="AE356" s="2352">
        <v>569.25</v>
      </c>
      <c r="AF356" s="2352">
        <v>42.75</v>
      </c>
      <c r="AG356" s="2352">
        <v>24</v>
      </c>
      <c r="AH356" s="2352">
        <v>17.25</v>
      </c>
    </row>
    <row r="357" spans="30:34">
      <c r="AD357" t="s">
        <v>2050</v>
      </c>
      <c r="AE357" s="2352">
        <v>198.75</v>
      </c>
      <c r="AF357" s="2352">
        <v>435.75</v>
      </c>
      <c r="AG357" s="2352">
        <v>24.75</v>
      </c>
      <c r="AH357" s="2352">
        <v>17.25</v>
      </c>
    </row>
    <row r="358" spans="30:34">
      <c r="AD358" t="s">
        <v>2051</v>
      </c>
      <c r="AE358" s="2352">
        <v>198.75</v>
      </c>
      <c r="AF358" s="2352">
        <v>467.25</v>
      </c>
      <c r="AG358" s="2352">
        <v>24.75</v>
      </c>
      <c r="AH358" s="2352">
        <v>17.25</v>
      </c>
    </row>
    <row r="359" spans="30:34">
      <c r="AD359" t="s">
        <v>2052</v>
      </c>
      <c r="AE359" s="2352">
        <v>198.75</v>
      </c>
      <c r="AF359" s="2352">
        <v>594</v>
      </c>
      <c r="AG359" s="2352">
        <v>24.75</v>
      </c>
      <c r="AH359" s="2352">
        <v>17.25</v>
      </c>
    </row>
    <row r="360" spans="30:34">
      <c r="AD360" t="s">
        <v>2053</v>
      </c>
      <c r="AE360" s="2352">
        <v>198.75</v>
      </c>
      <c r="AF360" s="2352">
        <v>566.25</v>
      </c>
      <c r="AG360" s="2352">
        <v>24.75</v>
      </c>
      <c r="AH360" s="2352">
        <v>17.25</v>
      </c>
    </row>
    <row r="361" spans="30:34">
      <c r="AD361" t="s">
        <v>8078</v>
      </c>
      <c r="AE361" s="2352">
        <v>198.75</v>
      </c>
      <c r="AF361" s="2352">
        <v>854.25</v>
      </c>
      <c r="AG361" s="2352">
        <v>24.75</v>
      </c>
      <c r="AH361" s="2352">
        <v>17.25</v>
      </c>
    </row>
    <row r="362" spans="30:34">
      <c r="AD362" t="s">
        <v>2054</v>
      </c>
      <c r="AE362" s="2352">
        <v>198.75</v>
      </c>
      <c r="AF362" s="2352">
        <v>1158.75</v>
      </c>
      <c r="AG362" s="2352">
        <v>24.75</v>
      </c>
      <c r="AH362" s="2352">
        <v>17.25</v>
      </c>
    </row>
    <row r="363" spans="30:34">
      <c r="AD363" t="s">
        <v>8079</v>
      </c>
      <c r="AE363" s="2352">
        <v>198.75</v>
      </c>
      <c r="AF363" s="2352">
        <v>921</v>
      </c>
      <c r="AG363" s="2352">
        <v>24.75</v>
      </c>
      <c r="AH363" s="2352">
        <v>17.25</v>
      </c>
    </row>
    <row r="364" spans="30:34">
      <c r="AD364" t="s">
        <v>622</v>
      </c>
      <c r="AE364" s="2352">
        <v>198.75</v>
      </c>
      <c r="AF364" s="2352">
        <v>1128.75</v>
      </c>
      <c r="AG364" s="2352">
        <v>24.75</v>
      </c>
      <c r="AH364" s="2352">
        <v>17.25</v>
      </c>
    </row>
    <row r="365" spans="30:34">
      <c r="AD365" t="s">
        <v>623</v>
      </c>
      <c r="AE365" s="2352">
        <v>198.75</v>
      </c>
      <c r="AF365" s="2352">
        <v>1143.75</v>
      </c>
      <c r="AG365" s="2352">
        <v>24.75</v>
      </c>
      <c r="AH365" s="2352">
        <v>17.25</v>
      </c>
    </row>
    <row r="366" spans="30:34">
      <c r="AD366" t="s">
        <v>8080</v>
      </c>
      <c r="AE366" s="2352">
        <v>198.75</v>
      </c>
      <c r="AF366" s="2352">
        <v>353.25</v>
      </c>
      <c r="AG366" s="2352">
        <v>24.75</v>
      </c>
      <c r="AH366" s="2352">
        <v>17.25</v>
      </c>
    </row>
    <row r="367" spans="30:34">
      <c r="AD367" t="s">
        <v>8081</v>
      </c>
      <c r="AE367" s="2352">
        <v>198.75</v>
      </c>
      <c r="AF367" s="2352">
        <v>368.25</v>
      </c>
      <c r="AG367" s="2352">
        <v>24.75</v>
      </c>
      <c r="AH367" s="2352">
        <v>17.25</v>
      </c>
    </row>
    <row r="368" spans="30:34">
      <c r="AD368" t="s">
        <v>8082</v>
      </c>
      <c r="AE368" s="2352">
        <v>198.75</v>
      </c>
      <c r="AF368" s="2352">
        <v>907.5</v>
      </c>
      <c r="AG368" s="2352">
        <v>24.75</v>
      </c>
      <c r="AH368" s="2352">
        <v>17.25</v>
      </c>
    </row>
    <row r="369" spans="29:34">
      <c r="AD369" t="s">
        <v>8083</v>
      </c>
      <c r="AE369" s="2352">
        <v>198.75</v>
      </c>
      <c r="AF369" s="2352">
        <v>892.5</v>
      </c>
      <c r="AG369" s="2352">
        <v>24.75</v>
      </c>
      <c r="AH369" s="2352">
        <v>17.25</v>
      </c>
    </row>
    <row r="370" spans="29:34">
      <c r="AD370" t="s">
        <v>8084</v>
      </c>
      <c r="AE370" s="2352">
        <v>198.75</v>
      </c>
      <c r="AF370" s="2352">
        <v>1228.5</v>
      </c>
      <c r="AG370" s="2352">
        <v>24.75</v>
      </c>
      <c r="AH370" s="2352">
        <v>17.25</v>
      </c>
    </row>
    <row r="371" spans="29:34">
      <c r="AD371" t="s">
        <v>8085</v>
      </c>
      <c r="AE371" s="2352">
        <v>198.75</v>
      </c>
      <c r="AF371" s="2352">
        <v>415.5</v>
      </c>
      <c r="AG371" s="2352">
        <v>24.75</v>
      </c>
      <c r="AH371" s="2352">
        <v>17.25</v>
      </c>
    </row>
    <row r="372" spans="29:34">
      <c r="AD372" t="s">
        <v>8086</v>
      </c>
      <c r="AE372" s="2352">
        <v>198.75</v>
      </c>
      <c r="AF372" s="2352">
        <v>450</v>
      </c>
      <c r="AG372" s="2352">
        <v>24.75</v>
      </c>
      <c r="AH372" s="2352">
        <v>17.25</v>
      </c>
    </row>
    <row r="373" spans="29:34">
      <c r="AD373" t="s">
        <v>8087</v>
      </c>
      <c r="AE373" s="2352">
        <v>198.75</v>
      </c>
      <c r="AF373" s="2352">
        <v>611.25</v>
      </c>
      <c r="AG373" s="2352">
        <v>25.5</v>
      </c>
      <c r="AH373" s="2352">
        <v>15</v>
      </c>
    </row>
    <row r="374" spans="29:34">
      <c r="AD374" t="s">
        <v>8088</v>
      </c>
      <c r="AE374" s="2352">
        <v>198.75</v>
      </c>
      <c r="AF374" s="2352">
        <v>626.25</v>
      </c>
      <c r="AG374" s="2352">
        <v>24.75</v>
      </c>
      <c r="AH374" s="2352">
        <v>17.25</v>
      </c>
    </row>
    <row r="375" spans="29:34">
      <c r="AD375" t="s">
        <v>8089</v>
      </c>
      <c r="AE375" s="2352">
        <v>198.75</v>
      </c>
      <c r="AF375" s="2352">
        <v>645</v>
      </c>
      <c r="AG375" s="2352">
        <v>23.25</v>
      </c>
      <c r="AH375" s="2352">
        <v>16.5</v>
      </c>
    </row>
    <row r="376" spans="29:34">
      <c r="AD376" t="s">
        <v>8090</v>
      </c>
      <c r="AE376" s="2352">
        <v>198.75</v>
      </c>
      <c r="AF376" s="2352">
        <v>756.75</v>
      </c>
      <c r="AG376" s="2352">
        <v>24</v>
      </c>
      <c r="AH376" s="2352">
        <v>17.25</v>
      </c>
    </row>
    <row r="377" spans="29:34">
      <c r="AD377" t="s">
        <v>8091</v>
      </c>
      <c r="AE377" s="2352">
        <v>198.75</v>
      </c>
      <c r="AF377" s="2352">
        <v>936</v>
      </c>
      <c r="AG377" s="2352">
        <v>24.75</v>
      </c>
      <c r="AH377" s="2352">
        <v>17.25</v>
      </c>
    </row>
    <row r="378" spans="29:34">
      <c r="AD378" t="s">
        <v>8092</v>
      </c>
      <c r="AE378" s="2352">
        <v>198.75</v>
      </c>
      <c r="AF378" s="2352">
        <v>385.5</v>
      </c>
      <c r="AG378" s="2352">
        <v>24.75</v>
      </c>
      <c r="AH378" s="2352">
        <v>16.5</v>
      </c>
    </row>
    <row r="379" spans="29:34">
      <c r="AD379" t="s">
        <v>8093</v>
      </c>
      <c r="AE379" s="2352">
        <v>288</v>
      </c>
      <c r="AF379" s="2352">
        <v>625.5</v>
      </c>
      <c r="AG379" s="2352">
        <v>24.75</v>
      </c>
      <c r="AH379" s="2352">
        <v>17.25</v>
      </c>
    </row>
    <row r="380" spans="29:34">
      <c r="AD380" t="s">
        <v>8094</v>
      </c>
      <c r="AE380" s="2352">
        <v>292.5</v>
      </c>
      <c r="AF380" s="2352">
        <v>878.25</v>
      </c>
      <c r="AG380" s="2352">
        <v>24.75</v>
      </c>
      <c r="AH380" s="2352">
        <v>17.25</v>
      </c>
    </row>
    <row r="381" spans="29:34">
      <c r="AD381" t="s">
        <v>8409</v>
      </c>
      <c r="AE381" s="2352">
        <v>288.47000000000003</v>
      </c>
      <c r="AF381" s="2352">
        <v>894.29</v>
      </c>
      <c r="AG381" s="2352">
        <v>26.69</v>
      </c>
      <c r="AH381" s="2352">
        <v>15.46</v>
      </c>
    </row>
    <row r="382" spans="29:34">
      <c r="AC382" t="s">
        <v>2470</v>
      </c>
      <c r="AD382" t="s">
        <v>577</v>
      </c>
      <c r="AE382" s="2352">
        <v>0</v>
      </c>
      <c r="AF382" s="2352">
        <v>0</v>
      </c>
      <c r="AG382" s="2352">
        <v>123.75</v>
      </c>
      <c r="AH382" s="2352">
        <v>33.75</v>
      </c>
    </row>
    <row r="383" spans="29:34">
      <c r="AD383" t="s">
        <v>578</v>
      </c>
      <c r="AE383" s="2352">
        <v>200.25</v>
      </c>
      <c r="AF383" s="2352">
        <v>171</v>
      </c>
      <c r="AG383" s="2352">
        <v>33.75</v>
      </c>
      <c r="AH383" s="2352">
        <v>15.75</v>
      </c>
    </row>
    <row r="384" spans="29:34">
      <c r="AD384" t="s">
        <v>579</v>
      </c>
      <c r="AE384" s="2352">
        <v>244.5</v>
      </c>
      <c r="AF384" s="2352">
        <v>171</v>
      </c>
      <c r="AG384" s="2352">
        <v>33.75</v>
      </c>
      <c r="AH384" s="2352">
        <v>15.75</v>
      </c>
    </row>
    <row r="385" spans="29:34">
      <c r="AC385" t="s">
        <v>4921</v>
      </c>
      <c r="AD385" t="s">
        <v>5648</v>
      </c>
      <c r="AE385" s="2352">
        <v>4.5</v>
      </c>
      <c r="AF385" s="2352">
        <v>6.75</v>
      </c>
      <c r="AG385" s="2352">
        <v>112.5</v>
      </c>
      <c r="AH385" s="2352">
        <v>33.75</v>
      </c>
    </row>
    <row r="386" spans="29:34">
      <c r="AC386" t="s">
        <v>5114</v>
      </c>
      <c r="AD386" t="s">
        <v>3364</v>
      </c>
      <c r="AE386" s="2352">
        <v>0</v>
      </c>
      <c r="AF386" s="2352">
        <v>81</v>
      </c>
      <c r="AG386" s="2352">
        <v>796.5</v>
      </c>
      <c r="AH386" s="2352">
        <v>443.25</v>
      </c>
    </row>
    <row r="387" spans="29:34">
      <c r="AD387" t="s">
        <v>5648</v>
      </c>
      <c r="AE387" s="2352">
        <v>4.5</v>
      </c>
      <c r="AF387" s="2352">
        <v>6.75</v>
      </c>
      <c r="AG387" s="2352">
        <v>112.5</v>
      </c>
      <c r="AH387" s="2352">
        <v>33.75</v>
      </c>
    </row>
    <row r="388" spans="29:34">
      <c r="AC388" t="s">
        <v>929</v>
      </c>
      <c r="AD388" t="s">
        <v>5648</v>
      </c>
      <c r="AE388" s="2352">
        <v>4.5</v>
      </c>
      <c r="AF388" s="2352">
        <v>6.75</v>
      </c>
      <c r="AG388" s="2352">
        <v>112.5</v>
      </c>
      <c r="AH388" s="2352">
        <v>33.75</v>
      </c>
    </row>
    <row r="389" spans="29:34">
      <c r="AC389" t="s">
        <v>7434</v>
      </c>
      <c r="AD389" t="s">
        <v>5648</v>
      </c>
      <c r="AE389" s="2352">
        <v>4.5</v>
      </c>
      <c r="AF389" s="2352">
        <v>6.75</v>
      </c>
      <c r="AG389" s="2352">
        <v>112.5</v>
      </c>
      <c r="AH389" s="2352">
        <v>33.75</v>
      </c>
    </row>
    <row r="390" spans="29:34">
      <c r="AC390" t="s">
        <v>930</v>
      </c>
      <c r="AD390" t="s">
        <v>3365</v>
      </c>
      <c r="AE390" s="2352">
        <v>6.75</v>
      </c>
      <c r="AF390" s="2352">
        <v>882</v>
      </c>
      <c r="AG390" s="2352">
        <v>549.75</v>
      </c>
      <c r="AH390" s="2352">
        <v>192</v>
      </c>
    </row>
    <row r="391" spans="29:34">
      <c r="AD391" t="s">
        <v>5648</v>
      </c>
      <c r="AE391" s="2352">
        <v>4.5</v>
      </c>
      <c r="AF391" s="2352">
        <v>6.75</v>
      </c>
      <c r="AG391" s="2352">
        <v>112.5</v>
      </c>
      <c r="AH391" s="2352">
        <v>33.75</v>
      </c>
    </row>
    <row r="392" spans="29:34">
      <c r="AC392" t="s">
        <v>3232</v>
      </c>
      <c r="AD392" t="s">
        <v>5648</v>
      </c>
      <c r="AE392" s="2352">
        <v>4.5</v>
      </c>
      <c r="AF392" s="2352">
        <v>6.75</v>
      </c>
      <c r="AG392" s="2352">
        <v>112.5</v>
      </c>
      <c r="AH392" s="2352">
        <v>33.75</v>
      </c>
    </row>
    <row r="393" spans="29:34">
      <c r="AD393" t="s">
        <v>3366</v>
      </c>
      <c r="AE393" s="2352">
        <v>363</v>
      </c>
      <c r="AF393" s="2352">
        <v>454.5</v>
      </c>
      <c r="AG393" s="2352">
        <v>225.75</v>
      </c>
      <c r="AH393" s="2352">
        <v>28.5</v>
      </c>
    </row>
    <row r="394" spans="29:34">
      <c r="AD394" t="s">
        <v>701</v>
      </c>
      <c r="AE394" s="2352">
        <v>363</v>
      </c>
      <c r="AF394" s="2352">
        <v>489.75</v>
      </c>
      <c r="AG394" s="2352">
        <v>225.75</v>
      </c>
      <c r="AH394" s="2352">
        <v>28.5</v>
      </c>
    </row>
    <row r="395" spans="29:34">
      <c r="AC395" t="s">
        <v>931</v>
      </c>
      <c r="AD395" t="s">
        <v>5648</v>
      </c>
      <c r="AE395" s="2352">
        <v>4.5</v>
      </c>
      <c r="AF395" s="2352">
        <v>6.75</v>
      </c>
      <c r="AG395" s="2352">
        <v>112.5</v>
      </c>
      <c r="AH395" s="2352">
        <v>33.75</v>
      </c>
    </row>
    <row r="396" spans="29:34">
      <c r="AC396" t="s">
        <v>932</v>
      </c>
      <c r="AD396" t="s">
        <v>5648</v>
      </c>
      <c r="AE396" s="2352">
        <v>9.75</v>
      </c>
      <c r="AF396" s="2352">
        <v>6.75</v>
      </c>
      <c r="AG396" s="2352">
        <v>112.5</v>
      </c>
      <c r="AH396" s="2352">
        <v>33.75</v>
      </c>
    </row>
    <row r="397" spans="29:34">
      <c r="AC397" t="s">
        <v>2179</v>
      </c>
      <c r="AD397" t="s">
        <v>5648</v>
      </c>
      <c r="AE397" s="2352">
        <v>9.75</v>
      </c>
      <c r="AF397" s="2352">
        <v>6.75</v>
      </c>
      <c r="AG397" s="2352">
        <v>112.5</v>
      </c>
      <c r="AH397" s="2352">
        <v>33.75</v>
      </c>
    </row>
    <row r="398" spans="29:34">
      <c r="AC398" t="s">
        <v>2180</v>
      </c>
      <c r="AD398" t="s">
        <v>5648</v>
      </c>
      <c r="AE398" s="2352">
        <v>9.75</v>
      </c>
      <c r="AF398" s="2352">
        <v>6.75</v>
      </c>
      <c r="AG398" s="2352">
        <v>112.5</v>
      </c>
      <c r="AH398" s="2352">
        <v>33.75</v>
      </c>
    </row>
    <row r="399" spans="29:34">
      <c r="AC399" t="s">
        <v>2957</v>
      </c>
      <c r="AD399" t="s">
        <v>5648</v>
      </c>
      <c r="AE399" s="2352">
        <v>9.75</v>
      </c>
      <c r="AF399" s="2352">
        <v>6.75</v>
      </c>
      <c r="AG399" s="2352">
        <v>112.5</v>
      </c>
      <c r="AH399" s="2352">
        <v>33.75</v>
      </c>
    </row>
    <row r="400" spans="29:34">
      <c r="AC400" t="s">
        <v>2959</v>
      </c>
      <c r="AD400" t="s">
        <v>702</v>
      </c>
      <c r="AE400" s="2352">
        <v>1437.75</v>
      </c>
      <c r="AF400" s="2352">
        <v>44.25</v>
      </c>
      <c r="AG400" s="2352">
        <v>0</v>
      </c>
      <c r="AH400" s="2352">
        <v>17.25</v>
      </c>
    </row>
    <row r="401" spans="29:34">
      <c r="AD401" t="s">
        <v>553</v>
      </c>
      <c r="AE401" s="2352">
        <v>498</v>
      </c>
      <c r="AF401" s="2352">
        <v>116.25</v>
      </c>
      <c r="AG401" s="2352">
        <v>48.75</v>
      </c>
      <c r="AH401" s="2352">
        <v>15.75</v>
      </c>
    </row>
    <row r="402" spans="29:34">
      <c r="AD402" t="s">
        <v>554</v>
      </c>
      <c r="AE402" s="2352">
        <v>844.5</v>
      </c>
      <c r="AF402" s="2352">
        <v>117</v>
      </c>
      <c r="AG402" s="2352">
        <v>246.75</v>
      </c>
      <c r="AH402" s="2352">
        <v>15</v>
      </c>
    </row>
    <row r="403" spans="29:34">
      <c r="AD403" t="s">
        <v>555</v>
      </c>
      <c r="AE403" s="2352">
        <v>497.25</v>
      </c>
      <c r="AF403" s="2352">
        <v>192</v>
      </c>
      <c r="AG403" s="2352">
        <v>48.75</v>
      </c>
      <c r="AH403" s="2352">
        <v>45</v>
      </c>
    </row>
    <row r="404" spans="29:34">
      <c r="AD404" t="s">
        <v>556</v>
      </c>
      <c r="AE404" s="2352">
        <v>498</v>
      </c>
      <c r="AF404" s="2352">
        <v>297</v>
      </c>
      <c r="AG404" s="2352">
        <v>48.75</v>
      </c>
      <c r="AH404" s="2352">
        <v>15</v>
      </c>
    </row>
    <row r="405" spans="29:34">
      <c r="AD405" t="s">
        <v>557</v>
      </c>
      <c r="AE405" s="2352">
        <v>844.5</v>
      </c>
      <c r="AF405" s="2352">
        <v>250.5</v>
      </c>
      <c r="AG405" s="2352">
        <v>246</v>
      </c>
      <c r="AH405" s="2352">
        <v>45.75</v>
      </c>
    </row>
    <row r="406" spans="29:34">
      <c r="AD406" t="s">
        <v>558</v>
      </c>
      <c r="AE406" s="2352">
        <v>844.5</v>
      </c>
      <c r="AF406" s="2352">
        <v>296.25</v>
      </c>
      <c r="AG406" s="2352">
        <v>246.75</v>
      </c>
      <c r="AH406" s="2352">
        <v>15</v>
      </c>
    </row>
    <row r="407" spans="29:34">
      <c r="AD407" t="s">
        <v>556</v>
      </c>
      <c r="AE407" s="2352">
        <v>498</v>
      </c>
      <c r="AF407" s="2352">
        <v>386.25</v>
      </c>
      <c r="AG407" s="2352">
        <v>48.75</v>
      </c>
      <c r="AH407" s="2352">
        <v>15</v>
      </c>
    </row>
    <row r="408" spans="29:34">
      <c r="AD408" t="s">
        <v>558</v>
      </c>
      <c r="AE408" s="2352">
        <v>843.75</v>
      </c>
      <c r="AF408" s="2352">
        <v>386.25</v>
      </c>
      <c r="AG408" s="2352">
        <v>246.75</v>
      </c>
      <c r="AH408" s="2352">
        <v>15</v>
      </c>
    </row>
    <row r="409" spans="29:34">
      <c r="AD409" t="s">
        <v>556</v>
      </c>
      <c r="AE409" s="2352">
        <v>447.75</v>
      </c>
      <c r="AF409" s="2352">
        <v>851.25</v>
      </c>
      <c r="AG409" s="2352">
        <v>48.44</v>
      </c>
      <c r="AH409" s="2352">
        <v>15</v>
      </c>
    </row>
    <row r="410" spans="29:34">
      <c r="AD410" t="s">
        <v>556</v>
      </c>
      <c r="AE410" s="2352">
        <v>546.75</v>
      </c>
      <c r="AF410" s="2352">
        <v>851.25</v>
      </c>
      <c r="AG410" s="2352">
        <v>48.44</v>
      </c>
      <c r="AH410" s="2352">
        <v>15</v>
      </c>
    </row>
    <row r="411" spans="29:34">
      <c r="AC411" t="s">
        <v>2964</v>
      </c>
      <c r="AD411" t="s">
        <v>559</v>
      </c>
      <c r="AE411" s="2352">
        <v>338.25</v>
      </c>
      <c r="AF411" s="2352">
        <v>42</v>
      </c>
      <c r="AG411" s="2352">
        <v>133.5</v>
      </c>
      <c r="AH411" s="2352">
        <v>168</v>
      </c>
    </row>
    <row r="412" spans="29:34">
      <c r="AD412" t="s">
        <v>560</v>
      </c>
      <c r="AE412" s="2352">
        <v>338.25</v>
      </c>
      <c r="AF412" s="2352">
        <v>738.75</v>
      </c>
      <c r="AG412" s="2352">
        <v>133.5</v>
      </c>
      <c r="AH412" s="2352">
        <v>70.5</v>
      </c>
    </row>
    <row r="413" spans="29:34">
      <c r="AD413" t="s">
        <v>560</v>
      </c>
      <c r="AE413" s="2352">
        <v>1624.5</v>
      </c>
      <c r="AF413" s="2352">
        <v>366.75</v>
      </c>
      <c r="AG413" s="2352">
        <v>547.5</v>
      </c>
      <c r="AH413" s="2352">
        <v>93.75</v>
      </c>
    </row>
    <row r="414" spans="29:34">
      <c r="AC414" t="s">
        <v>1503</v>
      </c>
      <c r="AD414" t="s">
        <v>1279</v>
      </c>
      <c r="AE414" s="2352">
        <v>510.75</v>
      </c>
      <c r="AF414" s="2352">
        <v>1485.75</v>
      </c>
      <c r="AG414" s="2352">
        <v>851.25</v>
      </c>
      <c r="AH414" s="2352">
        <v>369</v>
      </c>
    </row>
    <row r="415" spans="29:34">
      <c r="AD415" t="s">
        <v>4343</v>
      </c>
      <c r="AE415" s="2352">
        <v>1360.5</v>
      </c>
      <c r="AF415" s="2352">
        <v>1549.5</v>
      </c>
      <c r="AG415" s="2352">
        <v>253.5</v>
      </c>
      <c r="AH415" s="2352">
        <v>26.25</v>
      </c>
    </row>
    <row r="416" spans="29:34">
      <c r="AD416" t="s">
        <v>4343</v>
      </c>
      <c r="AE416" s="2352">
        <v>801</v>
      </c>
      <c r="AF416" s="2352">
        <v>1283.25</v>
      </c>
      <c r="AG416" s="2352">
        <v>174</v>
      </c>
      <c r="AH416" s="2352">
        <v>50.25</v>
      </c>
    </row>
    <row r="417" spans="22:34">
      <c r="AD417" t="s">
        <v>1279</v>
      </c>
      <c r="AE417" s="2352">
        <v>106.5</v>
      </c>
      <c r="AF417" s="2352">
        <v>2523</v>
      </c>
      <c r="AG417" s="2352">
        <v>1283.25</v>
      </c>
      <c r="AH417" s="2352">
        <v>90</v>
      </c>
    </row>
    <row r="418" spans="22:34">
      <c r="AD418" t="s">
        <v>4343</v>
      </c>
      <c r="AE418" s="2352">
        <v>801.75</v>
      </c>
      <c r="AF418" s="2352">
        <v>1230.75</v>
      </c>
      <c r="AG418" s="2352">
        <v>174</v>
      </c>
      <c r="AH418" s="2352">
        <v>38.25</v>
      </c>
    </row>
    <row r="419" spans="22:34">
      <c r="AD419" t="s">
        <v>4343</v>
      </c>
      <c r="AE419" s="2352">
        <v>801.75</v>
      </c>
      <c r="AF419" s="2352">
        <v>1179.75</v>
      </c>
      <c r="AG419" s="2352">
        <v>174</v>
      </c>
      <c r="AH419" s="2352">
        <v>38.25</v>
      </c>
    </row>
    <row r="420" spans="22:34">
      <c r="AD420" t="s">
        <v>1022</v>
      </c>
      <c r="AE420" s="2352">
        <v>2049.6999999999998</v>
      </c>
      <c r="AF420" s="2352">
        <v>1296.75</v>
      </c>
      <c r="AG420" s="2352">
        <v>534.24</v>
      </c>
      <c r="AH420" s="2352">
        <v>165.47</v>
      </c>
    </row>
    <row r="421" spans="22:34">
      <c r="AD421" t="s">
        <v>4343</v>
      </c>
      <c r="AE421" s="2352">
        <v>800.25</v>
      </c>
      <c r="AF421" s="2352">
        <v>1347</v>
      </c>
      <c r="AG421" s="2352">
        <v>177.75</v>
      </c>
      <c r="AH421" s="2352">
        <v>49.5</v>
      </c>
    </row>
    <row r="422" spans="22:34">
      <c r="AD422" t="s">
        <v>7767</v>
      </c>
      <c r="AE422" s="2352">
        <v>975.75</v>
      </c>
      <c r="AF422" s="2352">
        <v>2703</v>
      </c>
      <c r="AG422" s="2352">
        <v>2.25</v>
      </c>
      <c r="AH422" s="2352">
        <v>12.75</v>
      </c>
    </row>
    <row r="423" spans="22:34">
      <c r="AD423" t="s">
        <v>7768</v>
      </c>
      <c r="AE423" s="2352">
        <v>975.75</v>
      </c>
      <c r="AF423" s="2352">
        <v>2715.75</v>
      </c>
      <c r="AG423" s="2352">
        <v>2.25</v>
      </c>
      <c r="AH423" s="2352">
        <v>12.75</v>
      </c>
    </row>
    <row r="424" spans="22:34">
      <c r="W424" t="s">
        <v>1279</v>
      </c>
      <c r="X424" s="2386">
        <v>104.25</v>
      </c>
      <c r="Y424" s="674">
        <v>2637.75</v>
      </c>
      <c r="Z424" s="2386">
        <v>1595.25</v>
      </c>
      <c r="AA424" s="2386">
        <v>117.75</v>
      </c>
      <c r="AD424" t="s">
        <v>1279</v>
      </c>
      <c r="AE424" s="2352">
        <v>104.25</v>
      </c>
      <c r="AF424" s="2352">
        <v>2637.75</v>
      </c>
      <c r="AG424" s="2352">
        <v>1595.25</v>
      </c>
      <c r="AH424" s="2352">
        <v>117.75</v>
      </c>
    </row>
    <row r="425" spans="22:34">
      <c r="V425" t="s">
        <v>1521</v>
      </c>
      <c r="AC425" t="s">
        <v>1521</v>
      </c>
    </row>
  </sheetData>
  <phoneticPr fontId="65" type="noConversion"/>
  <pageMargins left="0.62992125984251979" right="0.19685039370078738" top="0.19" bottom="0.45" header="0.17" footer="0.2"/>
  <pageSetup paperSize="9" orientation="portrait" horizontalDpi="300" verticalDpi="300" r:id="rId1"/>
  <headerFooter alignWithMargins="0">
    <oddFooter>&amp;R&amp;"Arial,Standard"&amp;9Seite &amp;P&amp;L&amp;"Arial,Fett"&amp;11AGRIDEA &amp;"Arial,Standard"&amp;9 Nachweis Version 9.9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indexed="9"/>
    <pageSetUpPr fitToPage="1"/>
  </sheetPr>
  <dimension ref="A1:F73"/>
  <sheetViews>
    <sheetView showGridLines="0" showRowColHeaders="0" showZeros="0" workbookViewId="0">
      <extLst>
        <ext xmlns:xlsdti="http://schemas.microsoft.com/office/spreadsheetml/2023/showDataTypeIcons" uri="{77bfe23e-c014-4d31-8a63-9c772dbf06b6}">
          <xlsdti:showDataTypeIcons visible="0"/>
        </ext>
      </extLst>
    </sheetView>
  </sheetViews>
  <sheetFormatPr baseColWidth="10" defaultRowHeight="12"/>
  <cols>
    <col min="1" max="1" width="11.28515625" customWidth="1"/>
    <col min="2" max="2" width="8.85546875" customWidth="1"/>
    <col min="3" max="4" width="12.7109375" customWidth="1"/>
    <col min="5" max="5" width="24.85546875" customWidth="1"/>
    <col min="6" max="6" width="6.28515625" customWidth="1"/>
  </cols>
  <sheetData>
    <row r="1" spans="1:6" ht="30.75" customHeight="1">
      <c r="A1" s="19"/>
    </row>
    <row r="2" spans="1:6" ht="36.75" customHeight="1">
      <c r="A2" s="19"/>
      <c r="C2" s="653" t="str">
        <f>Q!NW</f>
        <v>Nachweis</v>
      </c>
      <c r="F2" s="4"/>
    </row>
    <row r="3" spans="1:6" ht="8.4499999999999993" customHeight="1"/>
    <row r="4" spans="1:6" ht="15">
      <c r="A4" s="26" t="str">
        <f>Texte!A13</f>
        <v>Betrieb:</v>
      </c>
      <c r="C4" s="652" t="str">
        <f>Allg!C9</f>
        <v>Imhof &amp; Zaehner Betriebsgemeinschaft</v>
      </c>
    </row>
    <row r="5" spans="1:6" ht="15">
      <c r="A5" s="26" t="str">
        <f>Texte!A15</f>
        <v>Jahr:</v>
      </c>
      <c r="C5" s="652">
        <f>Allg!G6</f>
        <v>2026</v>
      </c>
      <c r="D5" s="652"/>
    </row>
    <row r="6" spans="1:6" ht="15">
      <c r="A6" s="26" t="str">
        <f>Texte!A14</f>
        <v>Variante:</v>
      </c>
      <c r="C6" s="652">
        <f>Allg!G7</f>
        <v>0</v>
      </c>
    </row>
    <row r="7" spans="1:6" ht="15">
      <c r="A7" s="26" t="str">
        <f>IF(Allg!C19=0,"","BeraterIn")</f>
        <v/>
      </c>
      <c r="C7" s="652">
        <f>Allg!C19</f>
        <v>0</v>
      </c>
    </row>
    <row r="8" spans="1:6" ht="8.4499999999999993" customHeight="1"/>
    <row r="9" spans="1:6" ht="15">
      <c r="A9" s="26" t="str">
        <f>Q!F9</f>
        <v>Inhaltsverzeichnis</v>
      </c>
      <c r="F9" s="4" t="str">
        <f>Texte!Seite</f>
        <v>Seite</v>
      </c>
    </row>
    <row r="10" spans="1:6" ht="7.5" customHeight="1">
      <c r="A10" s="26"/>
    </row>
    <row r="11" spans="1:6">
      <c r="C11" t="str">
        <f>Texte!A25</f>
        <v>Deckblatt</v>
      </c>
      <c r="F11">
        <v>1</v>
      </c>
    </row>
    <row r="12" spans="1:6">
      <c r="C12" t="s">
        <v>6555</v>
      </c>
      <c r="F12">
        <v>2</v>
      </c>
    </row>
    <row r="13" spans="1:6">
      <c r="C13" t="s">
        <v>4305</v>
      </c>
      <c r="F13">
        <v>3</v>
      </c>
    </row>
    <row r="14" spans="1:6">
      <c r="C14" t="s">
        <v>5959</v>
      </c>
      <c r="F14">
        <v>4</v>
      </c>
    </row>
    <row r="15" spans="1:6">
      <c r="C15" t="s">
        <v>5348</v>
      </c>
      <c r="F15">
        <v>5</v>
      </c>
    </row>
    <row r="16" spans="1:6">
      <c r="C16" t="s">
        <v>6980</v>
      </c>
      <c r="F16">
        <v>6</v>
      </c>
    </row>
    <row r="17" spans="3:6">
      <c r="C17" t="s">
        <v>3236</v>
      </c>
      <c r="F17">
        <v>7</v>
      </c>
    </row>
    <row r="18" spans="3:6">
      <c r="C18" t="s">
        <v>7571</v>
      </c>
      <c r="F18">
        <v>8</v>
      </c>
    </row>
    <row r="19" spans="3:6">
      <c r="C19" t="s">
        <v>823</v>
      </c>
      <c r="F19">
        <v>9</v>
      </c>
    </row>
    <row r="20" spans="3:6">
      <c r="C20" t="s">
        <v>5029</v>
      </c>
      <c r="F20">
        <v>10</v>
      </c>
    </row>
    <row r="21" spans="3:6">
      <c r="C21" t="s">
        <v>2255</v>
      </c>
      <c r="F21">
        <v>11</v>
      </c>
    </row>
    <row r="22" spans="3:6">
      <c r="C22" t="s">
        <v>2517</v>
      </c>
      <c r="F22">
        <v>12</v>
      </c>
    </row>
    <row r="23" spans="3:6">
      <c r="C23" t="s">
        <v>3554</v>
      </c>
      <c r="F23">
        <v>13</v>
      </c>
    </row>
    <row r="24" spans="3:6">
      <c r="C24" t="s">
        <v>6067</v>
      </c>
      <c r="F24">
        <v>14</v>
      </c>
    </row>
    <row r="25" spans="3:6">
      <c r="C25" t="s">
        <v>1983</v>
      </c>
      <c r="F25">
        <v>15</v>
      </c>
    </row>
    <row r="26" spans="3:6">
      <c r="C26" t="s">
        <v>1334</v>
      </c>
      <c r="F26">
        <v>16</v>
      </c>
    </row>
    <row r="27" spans="3:6">
      <c r="C27" t="s">
        <v>4537</v>
      </c>
      <c r="F27">
        <v>17</v>
      </c>
    </row>
    <row r="28" spans="3:6">
      <c r="C28" t="s">
        <v>3188</v>
      </c>
      <c r="F28">
        <v>18</v>
      </c>
    </row>
    <row r="29" spans="3:6">
      <c r="C29" t="s">
        <v>2640</v>
      </c>
      <c r="F29">
        <v>19</v>
      </c>
    </row>
    <row r="30" spans="3:6">
      <c r="C30" t="s">
        <v>2557</v>
      </c>
      <c r="F30">
        <v>20</v>
      </c>
    </row>
    <row r="31" spans="3:6">
      <c r="C31" t="s">
        <v>1152</v>
      </c>
      <c r="F31">
        <v>21</v>
      </c>
    </row>
    <row r="32" spans="3:6">
      <c r="C32" t="s">
        <v>5976</v>
      </c>
      <c r="F32">
        <v>22</v>
      </c>
    </row>
    <row r="33" spans="3:6">
      <c r="C33" t="s">
        <v>5410</v>
      </c>
      <c r="F33">
        <v>23</v>
      </c>
    </row>
    <row r="34" spans="3:6">
      <c r="C34" t="s">
        <v>3402</v>
      </c>
      <c r="F34">
        <v>24</v>
      </c>
    </row>
    <row r="35" spans="3:6">
      <c r="C35" t="s">
        <v>4610</v>
      </c>
      <c r="F35">
        <v>25</v>
      </c>
    </row>
    <row r="36" spans="3:6">
      <c r="C36" t="s">
        <v>7142</v>
      </c>
      <c r="F36">
        <v>26</v>
      </c>
    </row>
    <row r="37" spans="3:6">
      <c r="C37" t="s">
        <v>5784</v>
      </c>
      <c r="F37">
        <v>27</v>
      </c>
    </row>
    <row r="38" spans="3:6">
      <c r="C38" t="s">
        <v>4872</v>
      </c>
      <c r="F38">
        <v>28</v>
      </c>
    </row>
    <row r="39" spans="3:6">
      <c r="C39" t="s">
        <v>5067</v>
      </c>
      <c r="F39">
        <v>29</v>
      </c>
    </row>
    <row r="40" spans="3:6">
      <c r="C40" t="s">
        <v>1861</v>
      </c>
      <c r="F40">
        <v>30</v>
      </c>
    </row>
    <row r="41" spans="3:6">
      <c r="C41" t="s">
        <v>6713</v>
      </c>
      <c r="F41">
        <v>31</v>
      </c>
    </row>
    <row r="42" spans="3:6">
      <c r="C42" t="s">
        <v>2075</v>
      </c>
      <c r="F42">
        <v>32</v>
      </c>
    </row>
    <row r="43" spans="3:6">
      <c r="C43" t="s">
        <v>6907</v>
      </c>
      <c r="F43">
        <v>33</v>
      </c>
    </row>
    <row r="44" spans="3:6">
      <c r="C44" t="s">
        <v>246</v>
      </c>
      <c r="F44">
        <v>34</v>
      </c>
    </row>
    <row r="45" spans="3:6">
      <c r="C45" t="s">
        <v>247</v>
      </c>
      <c r="F45">
        <v>35</v>
      </c>
    </row>
    <row r="46" spans="3:6">
      <c r="C46" t="s">
        <v>248</v>
      </c>
      <c r="F46">
        <v>36</v>
      </c>
    </row>
    <row r="47" spans="3:6">
      <c r="C47" t="s">
        <v>5077</v>
      </c>
      <c r="F47">
        <v>37</v>
      </c>
    </row>
    <row r="48" spans="3:6">
      <c r="C48" t="s">
        <v>3178</v>
      </c>
      <c r="F48">
        <v>38</v>
      </c>
    </row>
    <row r="49" spans="3:6">
      <c r="C49" t="s">
        <v>6933</v>
      </c>
      <c r="F49">
        <v>41</v>
      </c>
    </row>
    <row r="50" spans="3:6">
      <c r="C50" t="s">
        <v>4495</v>
      </c>
      <c r="F50">
        <v>42</v>
      </c>
    </row>
    <row r="51" spans="3:6">
      <c r="C51" t="s">
        <v>4494</v>
      </c>
      <c r="F51">
        <v>43</v>
      </c>
    </row>
    <row r="52" spans="3:6">
      <c r="C52" t="s">
        <v>2165</v>
      </c>
      <c r="F52">
        <v>44</v>
      </c>
    </row>
    <row r="53" spans="3:6">
      <c r="C53" t="s">
        <v>7237</v>
      </c>
      <c r="F53">
        <v>45</v>
      </c>
    </row>
    <row r="54" spans="3:6">
      <c r="C54" t="s">
        <v>4925</v>
      </c>
      <c r="F54">
        <v>46</v>
      </c>
    </row>
    <row r="55" spans="3:6">
      <c r="C55" t="s">
        <v>5908</v>
      </c>
      <c r="F55">
        <v>47</v>
      </c>
    </row>
    <row r="56" spans="3:6">
      <c r="C56" t="s">
        <v>306</v>
      </c>
      <c r="F56">
        <v>48</v>
      </c>
    </row>
    <row r="57" spans="3:6">
      <c r="C57" t="s">
        <v>342</v>
      </c>
      <c r="F57">
        <v>49</v>
      </c>
    </row>
    <row r="58" spans="3:6">
      <c r="C58" t="s">
        <v>4921</v>
      </c>
      <c r="F58">
        <v>50</v>
      </c>
    </row>
    <row r="59" spans="3:6">
      <c r="C59" t="s">
        <v>6226</v>
      </c>
      <c r="F59">
        <v>51</v>
      </c>
    </row>
    <row r="60" spans="3:6">
      <c r="C60" t="s">
        <v>6227</v>
      </c>
      <c r="F60">
        <v>52</v>
      </c>
    </row>
    <row r="61" spans="3:6">
      <c r="C61" t="s">
        <v>7433</v>
      </c>
      <c r="F61">
        <v>53</v>
      </c>
    </row>
    <row r="62" spans="3:6">
      <c r="C62" t="s">
        <v>3029</v>
      </c>
      <c r="F62">
        <v>54</v>
      </c>
    </row>
    <row r="63" spans="3:6">
      <c r="C63" t="s">
        <v>6959</v>
      </c>
      <c r="F63">
        <v>55</v>
      </c>
    </row>
    <row r="64" spans="3:6">
      <c r="C64" t="s">
        <v>2714</v>
      </c>
      <c r="F64">
        <v>56</v>
      </c>
    </row>
    <row r="65" spans="3:6">
      <c r="C65" t="s">
        <v>3074</v>
      </c>
      <c r="F65">
        <v>57</v>
      </c>
    </row>
    <row r="66" spans="3:6">
      <c r="C66" t="s">
        <v>3074</v>
      </c>
      <c r="F66">
        <v>58</v>
      </c>
    </row>
    <row r="67" spans="3:6">
      <c r="C67" t="s">
        <v>3074</v>
      </c>
      <c r="F67">
        <v>59</v>
      </c>
    </row>
    <row r="68" spans="3:6">
      <c r="C68" t="s">
        <v>3074</v>
      </c>
      <c r="F68">
        <v>60</v>
      </c>
    </row>
    <row r="69" spans="3:6">
      <c r="C69" t="s">
        <v>1923</v>
      </c>
      <c r="F69">
        <v>61</v>
      </c>
    </row>
    <row r="70" spans="3:6">
      <c r="C70" t="s">
        <v>1367</v>
      </c>
      <c r="F70">
        <v>62</v>
      </c>
    </row>
    <row r="71" spans="3:6">
      <c r="C71" t="s">
        <v>3257</v>
      </c>
      <c r="F71">
        <v>63</v>
      </c>
    </row>
    <row r="72" spans="3:6">
      <c r="C72" t="s">
        <v>375</v>
      </c>
      <c r="F72">
        <v>64</v>
      </c>
    </row>
    <row r="73" spans="3:6">
      <c r="C73" t="s">
        <v>3075</v>
      </c>
      <c r="F73">
        <v>65</v>
      </c>
    </row>
  </sheetData>
  <sheetProtection algorithmName="SHA-512" hashValue="TjZSOYqMZ/LThTohSVIGjVChYe3I8E8FcsLFhm6oWUtIQS6YsoUJnbuxu0kkOri9gT1nOpwoVOJjklbjyvaqkA==" saltValue="uScVkMvJWhnrNiDn2X4Ixg==" spinCount="100000" sheet="1" objects="1" scenarios="1"/>
  <phoneticPr fontId="65" type="noConversion"/>
  <pageMargins left="0.78740157480314965" right="0.19685039370078741" top="0.59055118110236227" bottom="0.59055118110236227" header="0" footer="0.39370078740157483"/>
  <pageSetup paperSize="9" orientation="portrait" r:id="rId1"/>
  <headerFooter alignWithMargins="0">
    <oddFooter>&amp;C&amp;9&amp;F&amp;R&amp;"Arial,Standard"&amp;9Seite &amp;P&amp;L&amp;"Arial,Fett"&amp;11AGRIDEA &amp;"Arial,Standard"&amp;9 Nachweis Version 9.9</oddFooter>
  </headerFooter>
  <drawing r:id="rId2"/>
</worksheet>
</file>

<file path=xl/worksheets/sheet3.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5">
    <tabColor indexed="26"/>
    <pageSetUpPr fitToPage="1"/>
  </sheetPr>
  <dimension ref="A1:J58"/>
  <sheetViews>
    <sheetView showGridLines="0" showRowColHeaders="0" showZeros="0" topLeftCell="A34" zoomScale="95" zoomScaleNormal="95" workbookViewId="0">
      <selection activeCell="C47" sqref="C47"/>
      <extLst>
        <ext uri="{77bfe23e-c014-4d31-8a63-9c772dbf06b6}">
          <ns2:showDataTypeIcons visible="0"/>
        </ext>
      </extLst>
    </sheetView>
  </sheetViews>
  <sheetFormatPr baseColWidth="10" defaultRowHeight="12"/>
  <cols>
    <col min="1" max="1" width="0.85546875" customWidth="1"/>
    <col min="2" max="2" width="24.28515625" customWidth="1"/>
    <col min="3" max="3" width="28.7109375" customWidth="1"/>
    <col min="4" max="4" width="0.85546875" customWidth="1"/>
    <col min="5" max="5" width="16.7109375" customWidth="1"/>
    <col min="6" max="6" width="0.85546875" customWidth="1"/>
    <col min="7" max="7" width="28.7109375" customWidth="1"/>
    <col min="8" max="10" width="11.42578125" hidden="1" customWidth="1"/>
  </cols>
  <sheetData>
    <row r="1" spans="1:9" ht="42" customHeight="1">
      <c r="A1" s="1"/>
      <c r="B1" s="19" t="str">
        <f>Q!NW_Tit</f>
        <v xml:space="preserve">                                   Nachweis</v>
      </c>
      <c r="C1" s="1"/>
      <c r="D1" s="1"/>
      <c r="E1" s="720"/>
      <c r="F1" s="1"/>
      <c r="G1" s="20" t="str">
        <f>Q!F12</f>
        <v>Allgemeine Angaben</v>
      </c>
      <c r="H1" s="1"/>
      <c r="I1" s="1"/>
    </row>
    <row r="2" spans="1:9" ht="22.7" customHeight="1" thickBot="1">
      <c r="A2" s="1"/>
      <c r="B2" s="21"/>
      <c r="C2" s="3048"/>
      <c r="D2" s="3049"/>
      <c r="E2" s="21"/>
      <c r="F2" s="21"/>
      <c r="G2" s="21"/>
      <c r="H2" s="1"/>
      <c r="I2" s="1"/>
    </row>
    <row r="3" spans="1:9" ht="15">
      <c r="A3" s="1"/>
      <c r="B3" s="1"/>
      <c r="C3" s="1"/>
      <c r="D3" s="1"/>
      <c r="E3" s="1"/>
      <c r="F3" s="1"/>
      <c r="G3" s="34"/>
      <c r="H3" s="1"/>
      <c r="I3" s="1"/>
    </row>
    <row r="4" spans="1:9" ht="18.95" customHeight="1">
      <c r="A4" s="1"/>
      <c r="B4" s="22" t="str">
        <f>Texte!A159</f>
        <v xml:space="preserve">Allgemeine Angaben zum Betrieb </v>
      </c>
      <c r="C4" s="23"/>
      <c r="D4" s="23"/>
      <c r="E4" s="4" t="str">
        <f>Texte!A160</f>
        <v>Betriebsnummer</v>
      </c>
      <c r="F4" s="24"/>
      <c r="G4" s="3450" t="s">
        <v>12231</v>
      </c>
      <c r="H4" s="1"/>
      <c r="I4" s="1"/>
    </row>
    <row r="5" spans="1:9" ht="10.5" customHeight="1">
      <c r="A5" s="1"/>
      <c r="B5" s="1"/>
      <c r="C5" s="1"/>
      <c r="D5" s="1"/>
      <c r="E5" s="1"/>
      <c r="F5" s="1"/>
      <c r="G5" s="34"/>
      <c r="H5" s="1"/>
      <c r="I5" s="1"/>
    </row>
    <row r="6" spans="1:9" ht="18.95" customHeight="1">
      <c r="A6" s="1"/>
      <c r="B6" s="1"/>
      <c r="C6" s="1"/>
      <c r="D6" s="1"/>
      <c r="E6" s="4" t="str">
        <f>Texte!A161</f>
        <v>Erntejahr</v>
      </c>
      <c r="F6" s="24"/>
      <c r="G6" s="1904">
        <v>2026</v>
      </c>
      <c r="H6" s="25">
        <f>IF(G6&lt;25,G6+2000,IF(G6&lt;100,G6+1900,G6))</f>
        <v>2026</v>
      </c>
      <c r="I6" s="1"/>
    </row>
    <row r="7" spans="1:9" ht="18.95" customHeight="1">
      <c r="A7" s="1"/>
      <c r="B7" s="1"/>
      <c r="C7" s="1"/>
      <c r="D7" s="1"/>
      <c r="E7" s="4" t="str">
        <f>Texte!A162</f>
        <v>Variante</v>
      </c>
      <c r="F7" s="24"/>
      <c r="G7" s="1904"/>
      <c r="H7" s="1"/>
      <c r="I7" s="1"/>
    </row>
    <row r="8" spans="1:9" ht="15">
      <c r="A8" s="1"/>
      <c r="B8" s="1"/>
      <c r="C8" s="34"/>
      <c r="D8" s="34"/>
      <c r="E8" s="34"/>
      <c r="F8" s="34"/>
      <c r="G8" s="34"/>
      <c r="H8" s="1"/>
      <c r="I8" s="1"/>
    </row>
    <row r="9" spans="1:9" ht="18.95" customHeight="1">
      <c r="A9" s="1"/>
      <c r="B9" s="26" t="str">
        <f>Texte!A165</f>
        <v>Name, Vorname</v>
      </c>
      <c r="C9" s="3450" t="s">
        <v>12232</v>
      </c>
      <c r="D9" s="28"/>
      <c r="E9" s="28"/>
      <c r="F9" s="28"/>
      <c r="G9" s="28" t="s">
        <v>4899</v>
      </c>
      <c r="H9" s="732" t="b">
        <v>0</v>
      </c>
      <c r="I9" s="30"/>
    </row>
    <row r="10" spans="1:9" ht="18.95" customHeight="1">
      <c r="A10" s="1"/>
      <c r="B10" s="26" t="str">
        <f>Texte!A166</f>
        <v>Strasse, Hof</v>
      </c>
      <c r="C10" s="27"/>
      <c r="D10" s="28"/>
      <c r="E10" s="28"/>
      <c r="F10" s="28"/>
      <c r="G10" s="28"/>
      <c r="H10" s="30"/>
      <c r="I10" s="30"/>
    </row>
    <row r="11" spans="1:9" ht="18.95" customHeight="1">
      <c r="A11" s="1"/>
      <c r="B11" s="26" t="str">
        <f>Texte!A167</f>
        <v>PLZ, Ort</v>
      </c>
      <c r="C11" s="27"/>
      <c r="D11" s="31"/>
      <c r="E11" s="4" t="str">
        <f>Texte!A169</f>
        <v>Kanton</v>
      </c>
      <c r="F11" s="4"/>
      <c r="G11" s="27"/>
      <c r="H11" s="30"/>
      <c r="I11" s="30"/>
    </row>
    <row r="12" spans="1:9" ht="18.95" customHeight="1">
      <c r="A12" s="1"/>
      <c r="B12" s="26" t="str">
        <f>Texte!A168</f>
        <v>Telefon</v>
      </c>
      <c r="C12" s="35"/>
      <c r="D12" s="31"/>
      <c r="E12" s="4" t="str">
        <f>Texte!A170</f>
        <v>Fax, E-Mail</v>
      </c>
      <c r="F12" s="4"/>
      <c r="G12" s="35"/>
      <c r="H12" s="30"/>
      <c r="I12" s="30"/>
    </row>
    <row r="13" spans="1:9" s="648" customFormat="1" ht="9.9499999999999993" customHeight="1">
      <c r="A13" s="1"/>
      <c r="B13" s="26"/>
      <c r="C13" s="34"/>
      <c r="D13" s="26"/>
      <c r="E13" s="26"/>
      <c r="F13" s="26"/>
      <c r="G13" s="34"/>
      <c r="H13" s="30"/>
      <c r="I13" s="30"/>
    </row>
    <row r="14" spans="1:9" ht="18.95" customHeight="1">
      <c r="A14" s="1"/>
      <c r="B14" s="26" t="str">
        <f>Texte!A171</f>
        <v>Höhe über Meer</v>
      </c>
      <c r="C14" s="1940"/>
      <c r="D14" s="31"/>
      <c r="E14" s="4" t="str">
        <f>Texte!A178</f>
        <v>Winterfütterung</v>
      </c>
      <c r="F14" s="31"/>
      <c r="G14" s="1703"/>
      <c r="H14" s="1"/>
      <c r="I14" s="1"/>
    </row>
    <row r="15" spans="1:9" ht="18.95" customHeight="1">
      <c r="A15" s="1"/>
      <c r="B15" s="26" t="str">
        <f>Texte!A172</f>
        <v>Produktionsform</v>
      </c>
      <c r="C15" s="1016" t="s">
        <v>2697</v>
      </c>
      <c r="D15" s="31"/>
      <c r="E15" s="4" t="str">
        <f>Texte!A179</f>
        <v>Zoneneinteilung</v>
      </c>
      <c r="F15" s="4"/>
      <c r="G15" s="1017" t="s">
        <v>483</v>
      </c>
      <c r="H15" s="25">
        <v>3</v>
      </c>
      <c r="I15" s="1"/>
    </row>
    <row r="16" spans="1:9" ht="18.95" customHeight="1">
      <c r="A16" s="1"/>
      <c r="B16" s="26" t="str">
        <f>Texte!A177</f>
        <v>Gemeinschaften</v>
      </c>
      <c r="C16" s="1017" t="s">
        <v>6196</v>
      </c>
      <c r="E16" s="4" t="str">
        <f>Texte!A180</f>
        <v>Silofütterung</v>
      </c>
      <c r="F16" s="4"/>
      <c r="G16" s="1017" t="s">
        <v>448</v>
      </c>
      <c r="H16" s="25">
        <v>0</v>
      </c>
      <c r="I16" s="1"/>
    </row>
    <row r="17" spans="1:10" ht="18.95" customHeight="1">
      <c r="A17" s="1"/>
      <c r="B17" s="26" t="str">
        <f>Texte!A173</f>
        <v>Eigentumsverhältnis</v>
      </c>
      <c r="C17" s="1017"/>
      <c r="E17" s="4"/>
      <c r="F17" s="4"/>
      <c r="G17" s="4"/>
      <c r="H17" s="25">
        <v>0</v>
      </c>
      <c r="I17" s="1"/>
    </row>
    <row r="18" spans="1:10" ht="9.9499999999999993" customHeight="1">
      <c r="A18" s="1"/>
      <c r="C18" s="34"/>
      <c r="D18" s="34"/>
      <c r="E18" s="34"/>
      <c r="F18" s="34"/>
      <c r="G18" s="34"/>
      <c r="H18" s="1"/>
      <c r="I18" s="1"/>
    </row>
    <row r="19" spans="1:10" ht="18.95" customHeight="1">
      <c r="A19" s="1"/>
      <c r="B19" s="26" t="str">
        <f>Texte!A182</f>
        <v>BeraterIn: Name, Tel.</v>
      </c>
      <c r="C19" s="27"/>
      <c r="D19" s="28"/>
      <c r="E19" s="28"/>
      <c r="F19" s="28"/>
      <c r="G19" s="29"/>
      <c r="H19" s="1"/>
      <c r="I19" s="1"/>
    </row>
    <row r="20" spans="1:10" ht="18.95" customHeight="1">
      <c r="A20" s="1"/>
      <c r="B20" s="26" t="str">
        <f>Texte!A183</f>
        <v>Familie</v>
      </c>
      <c r="C20" s="32" t="str">
        <f>Texte!A184</f>
        <v>Name, Vorname</v>
      </c>
      <c r="D20" s="33"/>
      <c r="E20" s="32" t="str">
        <f>Texte!A185</f>
        <v>Geburtsjahr</v>
      </c>
      <c r="F20" s="33"/>
      <c r="G20" s="34" t="str">
        <f>Texte!A186</f>
        <v>weitere Angaben</v>
      </c>
      <c r="H20" s="1"/>
      <c r="I20" s="1"/>
    </row>
    <row r="21" spans="1:10" ht="18.95" customHeight="1">
      <c r="A21" s="1"/>
      <c r="B21" s="26"/>
      <c r="C21" s="35"/>
      <c r="D21" s="33"/>
      <c r="E21" s="36"/>
      <c r="F21" s="33"/>
      <c r="G21" s="27"/>
      <c r="H21" s="25">
        <f t="shared" ref="H21:H35" si="0">IF(E21&lt;25,E21+2000,IF(E21&lt;100,E21+1900,E21))</f>
        <v>2000</v>
      </c>
      <c r="I21" s="25">
        <f>IF(ISBLANK(C21),0,IF(ISBLANK(E21),1,IF($H$6-H21&lt;=5,0.4,MIN(1,INT(($H$6-H21+9)/5)*0.2))))</f>
        <v>0</v>
      </c>
      <c r="J21" s="25">
        <f>IF(ISBLANK(C21),0,IF(ISBLANK(E21),1,IF(Allg!$H$6-Allg!H21&lt;12,0,MIN(1,(Allg!$H$6-Allg!H21-8)*0.1))))</f>
        <v>0</v>
      </c>
    </row>
    <row r="22" spans="1:10" ht="18.95" customHeight="1">
      <c r="A22" s="1"/>
      <c r="B22" s="26"/>
      <c r="C22" s="35"/>
      <c r="D22" s="33"/>
      <c r="E22" s="36"/>
      <c r="F22" s="33"/>
      <c r="G22" s="27"/>
      <c r="H22" s="25">
        <f t="shared" si="0"/>
        <v>2000</v>
      </c>
      <c r="I22" s="25">
        <f t="shared" ref="I22:I28" si="1">IF(ISBLANK(C22),0,IF(ISBLANK(E22),1,IF($H$6-H22&lt;=5,0.4,MIN(1,INT(($H$6-H22+9)/5)*0.2))))</f>
        <v>0</v>
      </c>
      <c r="J22" s="25">
        <f>IF(ISBLANK(C22),0,IF(ISBLANK(E22),1,IF(Allg!$H$6-Allg!H22&lt;12,0,MIN(1,(Allg!$H$6-Allg!H22-8)*0.1))))</f>
        <v>0</v>
      </c>
    </row>
    <row r="23" spans="1:10" ht="18.95" customHeight="1">
      <c r="A23" s="1"/>
      <c r="B23" s="26"/>
      <c r="C23" s="35"/>
      <c r="D23" s="33"/>
      <c r="E23" s="36"/>
      <c r="F23" s="33"/>
      <c r="G23" s="27"/>
      <c r="H23" s="25">
        <f t="shared" si="0"/>
        <v>2000</v>
      </c>
      <c r="I23" s="25">
        <f t="shared" si="1"/>
        <v>0</v>
      </c>
      <c r="J23" s="25">
        <f>IF(ISBLANK(C23),0,IF(ISBLANK(E23),1,IF(Allg!$H$6-Allg!H23&lt;12,0,MIN(1,(Allg!$H$6-Allg!H23-8)*0.1))))</f>
        <v>0</v>
      </c>
    </row>
    <row r="24" spans="1:10" ht="18.95" customHeight="1">
      <c r="A24" s="1"/>
      <c r="B24" s="26"/>
      <c r="C24" s="35"/>
      <c r="D24" s="33"/>
      <c r="E24" s="36"/>
      <c r="F24" s="33"/>
      <c r="G24" s="27"/>
      <c r="H24" s="25">
        <f t="shared" si="0"/>
        <v>2000</v>
      </c>
      <c r="I24" s="25">
        <f t="shared" si="1"/>
        <v>0</v>
      </c>
      <c r="J24" s="25">
        <f>IF(ISBLANK(C24),0,IF(ISBLANK(E24),1,IF(Allg!$H$6-Allg!H24&lt;12,0,MIN(1,(Allg!$H$6-Allg!H24-8)*0.1))))</f>
        <v>0</v>
      </c>
    </row>
    <row r="25" spans="1:10" ht="18.95" customHeight="1">
      <c r="A25" s="1"/>
      <c r="B25" s="26"/>
      <c r="C25" s="35"/>
      <c r="D25" s="33"/>
      <c r="E25" s="36"/>
      <c r="F25" s="33"/>
      <c r="G25" s="27"/>
      <c r="H25" s="25">
        <f t="shared" si="0"/>
        <v>2000</v>
      </c>
      <c r="I25" s="25">
        <f t="shared" si="1"/>
        <v>0</v>
      </c>
      <c r="J25" s="25">
        <f>IF(ISBLANK(C25),0,IF(ISBLANK(E25),1,IF(Allg!$H$6-Allg!H25&lt;12,0,MIN(1,(Allg!$H$6-Allg!H25-8)*0.1))))</f>
        <v>0</v>
      </c>
    </row>
    <row r="26" spans="1:10" ht="18.95" customHeight="1">
      <c r="A26" s="1"/>
      <c r="B26" s="26"/>
      <c r="C26" s="35"/>
      <c r="D26" s="33"/>
      <c r="E26" s="36"/>
      <c r="F26" s="33"/>
      <c r="G26" s="27"/>
      <c r="H26" s="25">
        <f t="shared" si="0"/>
        <v>2000</v>
      </c>
      <c r="I26" s="25">
        <f t="shared" si="1"/>
        <v>0</v>
      </c>
      <c r="J26" s="25">
        <f>IF(ISBLANK(C26),0,IF(ISBLANK(E26),1,IF(Allg!$H$6-Allg!H26&lt;12,0,MIN(1,(Allg!$H$6-Allg!H26-8)*0.1))))</f>
        <v>0</v>
      </c>
    </row>
    <row r="27" spans="1:10" ht="18.95" customHeight="1">
      <c r="A27" s="1"/>
      <c r="B27" s="26"/>
      <c r="C27" s="35"/>
      <c r="D27" s="33"/>
      <c r="E27" s="36"/>
      <c r="F27" s="33"/>
      <c r="G27" s="27"/>
      <c r="H27" s="25">
        <f t="shared" si="0"/>
        <v>2000</v>
      </c>
      <c r="I27" s="25">
        <f t="shared" si="1"/>
        <v>0</v>
      </c>
      <c r="J27" s="25">
        <f>IF(ISBLANK(C27),0,IF(ISBLANK(E27),1,IF(Allg!$H$6-Allg!H27&lt;12,0,MIN(1,(Allg!$H$6-Allg!H27-8)*0.1))))</f>
        <v>0</v>
      </c>
    </row>
    <row r="28" spans="1:10" ht="18.95" customHeight="1">
      <c r="A28" s="1"/>
      <c r="B28" s="26"/>
      <c r="C28" s="35"/>
      <c r="D28" s="33"/>
      <c r="E28" s="36"/>
      <c r="F28" s="33"/>
      <c r="G28" s="27"/>
      <c r="H28" s="25">
        <f t="shared" si="0"/>
        <v>2000</v>
      </c>
      <c r="I28" s="25">
        <f t="shared" si="1"/>
        <v>0</v>
      </c>
      <c r="J28" s="25">
        <f>IF(ISBLANK(C28),0,IF(ISBLANK(E28),1,IF(Allg!$H$6-Allg!H28&lt;12,0,MIN(1,(Allg!$H$6-Allg!H28-8)*0.1))))</f>
        <v>0</v>
      </c>
    </row>
    <row r="29" spans="1:10" ht="18.95" hidden="1" customHeight="1">
      <c r="A29" s="1"/>
      <c r="B29" s="26" t="str">
        <f>Texte!A187</f>
        <v>Gemeinschaft</v>
      </c>
      <c r="C29" s="32" t="str">
        <f>Texte!A184</f>
        <v>Name, Vorname</v>
      </c>
      <c r="D29" s="33"/>
      <c r="E29" s="32" t="str">
        <f>Texte!A185</f>
        <v>Geburtsjahr</v>
      </c>
      <c r="F29" s="33"/>
      <c r="G29" s="34" t="str">
        <f>Texte!A186</f>
        <v>weitere Angaben</v>
      </c>
      <c r="H29" s="25"/>
      <c r="I29" s="25"/>
      <c r="J29" s="25"/>
    </row>
    <row r="30" spans="1:10" ht="18.95" hidden="1" customHeight="1">
      <c r="A30" s="1"/>
      <c r="B30" s="913" t="str">
        <f>Texte!A188</f>
        <v>Partner A</v>
      </c>
      <c r="C30" s="35"/>
      <c r="D30" s="33"/>
      <c r="E30" s="36"/>
      <c r="F30" s="33"/>
      <c r="G30" s="27"/>
      <c r="H30" s="25">
        <f t="shared" si="0"/>
        <v>2000</v>
      </c>
      <c r="I30" s="25"/>
      <c r="J30" s="25">
        <f>IF(ISBLANK(C30),0,IF(ISBLANK(E30),1,IF(Allg!$H$6-Allg!H30&lt;12,0,MIN(1,(Allg!$H$6-Allg!H30-8)*0.1))))</f>
        <v>0</v>
      </c>
    </row>
    <row r="31" spans="1:10" ht="18.95" hidden="1" customHeight="1">
      <c r="A31" s="1"/>
      <c r="B31" s="913" t="str">
        <f>Texte!A189</f>
        <v>Partner B</v>
      </c>
      <c r="C31" s="35"/>
      <c r="D31" s="33"/>
      <c r="E31" s="36"/>
      <c r="F31" s="33"/>
      <c r="G31" s="27"/>
      <c r="H31" s="25">
        <f t="shared" si="0"/>
        <v>2000</v>
      </c>
      <c r="I31" s="25"/>
      <c r="J31" s="25">
        <f>IF(ISBLANK(C31),0,IF(ISBLANK(E31),1,IF(Allg!$H$6-Allg!H31&lt;12,0,MIN(1,(Allg!$H$6-Allg!H31-8)*0.1))))</f>
        <v>0</v>
      </c>
    </row>
    <row r="32" spans="1:10" ht="18.95" hidden="1" customHeight="1">
      <c r="A32" s="1"/>
      <c r="B32" s="913" t="str">
        <f>Texte!A190</f>
        <v>Partner C</v>
      </c>
      <c r="C32" s="35"/>
      <c r="D32" s="33"/>
      <c r="E32" s="36"/>
      <c r="F32" s="33"/>
      <c r="G32" s="27"/>
      <c r="H32" s="25">
        <f t="shared" si="0"/>
        <v>2000</v>
      </c>
      <c r="I32" s="25"/>
      <c r="J32" s="25">
        <f>IF(ISBLANK(C32),0,IF(ISBLANK(E32),1,IF(Allg!$H$6-Allg!H32&lt;12,0,MIN(1,(Allg!$H$6-Allg!H32-8)*0.1))))</f>
        <v>0</v>
      </c>
    </row>
    <row r="33" spans="1:10" ht="18.95" hidden="1" customHeight="1">
      <c r="A33" s="1"/>
      <c r="B33" s="913" t="str">
        <f>Texte!A191</f>
        <v>Partner D</v>
      </c>
      <c r="C33" s="35"/>
      <c r="D33" s="33"/>
      <c r="E33" s="36"/>
      <c r="F33" s="33"/>
      <c r="G33" s="27"/>
      <c r="H33" s="25">
        <f t="shared" si="0"/>
        <v>2000</v>
      </c>
      <c r="I33" s="25"/>
      <c r="J33" s="25">
        <f>IF(ISBLANK(C33),0,IF(ISBLANK(E33),1,IF(Allg!$H$6-Allg!H33&lt;12,0,MIN(1,(Allg!$H$6-Allg!H33-8)*0.1))))</f>
        <v>0</v>
      </c>
    </row>
    <row r="34" spans="1:10" ht="18.95" customHeight="1">
      <c r="A34" s="1"/>
      <c r="B34" s="26" t="str">
        <f>Texte!A192</f>
        <v>Angestellte</v>
      </c>
      <c r="C34" s="35"/>
      <c r="D34" s="33"/>
      <c r="E34" s="36"/>
      <c r="F34" s="33"/>
      <c r="G34" s="27"/>
      <c r="H34" s="25">
        <f t="shared" si="0"/>
        <v>2000</v>
      </c>
      <c r="I34" s="25"/>
      <c r="J34" s="25">
        <f>IF(ISBLANK(C34),0,IF(ISBLANK(E34),1,IF(Allg!$H$6-Allg!H34&lt;12,0,MIN(1,(Allg!$H$6-Allg!H34-8)*0.1))))</f>
        <v>0</v>
      </c>
    </row>
    <row r="35" spans="1:10" ht="18.95" customHeight="1">
      <c r="A35" s="1"/>
      <c r="B35" s="26"/>
      <c r="C35" s="35"/>
      <c r="D35" s="33"/>
      <c r="E35" s="36"/>
      <c r="F35" s="33"/>
      <c r="G35" s="27"/>
      <c r="H35" s="25">
        <f t="shared" si="0"/>
        <v>2000</v>
      </c>
      <c r="I35" s="25"/>
      <c r="J35" s="25">
        <f>IF(ISBLANK(C35),0,IF(ISBLANK(E35),1,IF(Allg!$H$6-Allg!H35&lt;12,0,MIN(1,(Allg!$H$6-Allg!H35-8)*0.1))))</f>
        <v>0</v>
      </c>
    </row>
    <row r="36" spans="1:10" ht="18.95" customHeight="1">
      <c r="A36" s="1"/>
      <c r="B36" s="26" t="str">
        <f>Texte!A193</f>
        <v>Vertragsmengen</v>
      </c>
      <c r="C36" s="32" t="str">
        <f>Texte!A195</f>
        <v>Milch, vermarktet</v>
      </c>
      <c r="D36" s="33"/>
      <c r="E36" s="32" t="str">
        <f>Texte!A196</f>
        <v>Raps</v>
      </c>
      <c r="F36" s="33"/>
      <c r="G36" s="34" t="str">
        <f>Texte!A197</f>
        <v>Zuckerrüben</v>
      </c>
      <c r="H36" s="1"/>
      <c r="I36" s="1"/>
    </row>
    <row r="37" spans="1:10" ht="18.95" customHeight="1">
      <c r="A37" s="1"/>
      <c r="B37" s="2594">
        <f>Texte!A194</f>
        <v>0</v>
      </c>
      <c r="C37" s="37"/>
      <c r="D37" s="33"/>
      <c r="E37" s="655"/>
      <c r="F37" s="33"/>
      <c r="G37" s="655"/>
      <c r="H37" s="1"/>
      <c r="I37" s="1"/>
    </row>
    <row r="38" spans="1:10" ht="18.95" customHeight="1">
      <c r="A38" s="1"/>
      <c r="B38" s="26" t="str">
        <f>Texte!A198</f>
        <v>Landw. Nutzfläche</v>
      </c>
      <c r="C38" s="32" t="str">
        <f>Texte!A199</f>
        <v>Eigenland</v>
      </c>
      <c r="D38" s="33"/>
      <c r="E38" s="34" t="str">
        <f>Texte!A200</f>
        <v>Pachtland</v>
      </c>
      <c r="F38" s="33"/>
      <c r="G38" s="34" t="str">
        <f>Texte!A201</f>
        <v>Total</v>
      </c>
      <c r="H38" s="1"/>
      <c r="I38" s="1"/>
    </row>
    <row r="39" spans="1:10" ht="18.95" hidden="1" customHeight="1">
      <c r="A39" s="1"/>
      <c r="B39" s="913" t="str">
        <f>Texte!A188</f>
        <v>Partner A</v>
      </c>
      <c r="C39" s="38"/>
      <c r="D39" s="33"/>
      <c r="E39" s="38"/>
      <c r="F39" s="33"/>
      <c r="G39" s="915"/>
      <c r="H39" s="1"/>
      <c r="I39" s="1"/>
    </row>
    <row r="40" spans="1:10" ht="18.95" hidden="1" customHeight="1">
      <c r="A40" s="1"/>
      <c r="B40" s="913" t="str">
        <f>Texte!A189</f>
        <v>Partner B</v>
      </c>
      <c r="C40" s="38"/>
      <c r="D40" s="33"/>
      <c r="E40" s="38"/>
      <c r="F40" s="33"/>
      <c r="G40" s="915"/>
      <c r="H40" s="1"/>
      <c r="I40" s="1"/>
    </row>
    <row r="41" spans="1:10" ht="18.95" hidden="1" customHeight="1">
      <c r="A41" s="1"/>
      <c r="B41" s="913" t="str">
        <f>Texte!A190</f>
        <v>Partner C</v>
      </c>
      <c r="C41" s="38"/>
      <c r="D41" s="33"/>
      <c r="E41" s="38"/>
      <c r="F41" s="33"/>
      <c r="G41" s="915"/>
      <c r="H41" s="1"/>
      <c r="I41" s="1"/>
    </row>
    <row r="42" spans="1:10" ht="18.95" hidden="1" customHeight="1">
      <c r="A42" s="1"/>
      <c r="B42" s="913" t="str">
        <f>Texte!A191</f>
        <v>Partner D</v>
      </c>
      <c r="C42" s="38"/>
      <c r="D42" s="33"/>
      <c r="E42" s="38"/>
      <c r="F42" s="33"/>
      <c r="G42" s="647"/>
      <c r="H42" s="1"/>
      <c r="I42" s="1"/>
    </row>
    <row r="43" spans="1:10" ht="18.95" customHeight="1">
      <c r="A43" s="1"/>
      <c r="B43" s="26"/>
      <c r="C43" s="38">
        <v>133.13</v>
      </c>
      <c r="D43" s="33"/>
      <c r="E43" s="38"/>
      <c r="F43" s="33"/>
      <c r="G43" s="647">
        <f>Eigenland+Pachtland</f>
        <v>133</v>
      </c>
      <c r="H43" s="916"/>
      <c r="I43" s="1"/>
    </row>
    <row r="44" spans="1:10" ht="7.15" customHeight="1">
      <c r="A44" s="1"/>
      <c r="C44" s="39"/>
      <c r="D44" s="33"/>
      <c r="E44" s="39"/>
      <c r="F44" s="33"/>
      <c r="G44" s="34"/>
      <c r="H44" s="1"/>
      <c r="I44" s="1"/>
    </row>
    <row r="45" spans="1:10" ht="18.95" customHeight="1">
      <c r="A45" s="1"/>
      <c r="C45" s="39"/>
      <c r="D45" s="33"/>
      <c r="E45" s="4" t="str">
        <f>Texte!A202</f>
        <v>zusätzlich Bauland ohne Beitragsberechtigung</v>
      </c>
      <c r="F45" s="33"/>
      <c r="G45" s="38"/>
      <c r="H45" s="1"/>
      <c r="I45" s="1"/>
    </row>
    <row r="46" spans="1:10" ht="7.15" customHeight="1">
      <c r="A46" s="1"/>
      <c r="C46" s="647"/>
      <c r="D46" s="647"/>
      <c r="E46" s="647"/>
      <c r="F46" s="647"/>
      <c r="G46" s="647"/>
      <c r="H46" s="1"/>
      <c r="I46" s="1"/>
    </row>
    <row r="47" spans="1:10" ht="16.149999999999999" customHeight="1">
      <c r="A47" s="1"/>
      <c r="B47" s="26" t="str">
        <f>Texte!A203</f>
        <v>Bemerkungen</v>
      </c>
      <c r="C47" s="41"/>
      <c r="D47" s="41"/>
      <c r="E47" s="41"/>
      <c r="F47" s="41"/>
      <c r="G47" s="41"/>
      <c r="H47" s="1"/>
      <c r="I47" s="1"/>
    </row>
    <row r="48" spans="1:10" ht="16.149999999999999" customHeight="1">
      <c r="A48" s="1"/>
      <c r="B48" s="26"/>
      <c r="C48" s="41"/>
      <c r="D48" s="41"/>
      <c r="E48" s="41"/>
      <c r="F48" s="41"/>
      <c r="G48" s="41"/>
      <c r="H48" s="1"/>
      <c r="I48" s="1"/>
    </row>
    <row r="49" spans="1:9" ht="16.149999999999999" customHeight="1">
      <c r="A49" s="1"/>
      <c r="B49" s="26"/>
      <c r="C49" s="41"/>
      <c r="D49" s="41"/>
      <c r="E49" s="41"/>
      <c r="F49" s="41"/>
      <c r="G49" s="41"/>
      <c r="H49" s="1"/>
      <c r="I49" s="1"/>
    </row>
    <row r="50" spans="1:9" ht="16.149999999999999" customHeight="1">
      <c r="A50" s="1"/>
      <c r="B50" s="26"/>
      <c r="C50" s="41"/>
      <c r="D50" s="41"/>
      <c r="E50" s="41"/>
      <c r="F50" s="41"/>
      <c r="G50" s="41"/>
      <c r="H50" s="1"/>
      <c r="I50" s="1"/>
    </row>
    <row r="51" spans="1:9" ht="16.149999999999999" customHeight="1">
      <c r="A51" s="1"/>
      <c r="B51" s="26"/>
      <c r="C51" s="41"/>
      <c r="D51" s="41"/>
      <c r="E51" s="41"/>
      <c r="F51" s="41"/>
      <c r="G51" s="41"/>
      <c r="H51" s="1"/>
      <c r="I51" s="1"/>
    </row>
    <row r="52" spans="1:9" ht="16.149999999999999" customHeight="1">
      <c r="A52" s="1"/>
      <c r="B52" s="26"/>
      <c r="C52" s="41"/>
      <c r="D52" s="41"/>
      <c r="E52" s="41"/>
      <c r="F52" s="41"/>
      <c r="G52" s="41"/>
      <c r="H52" s="1"/>
      <c r="I52" s="1"/>
    </row>
    <row r="53" spans="1:9" ht="16.149999999999999" customHeight="1">
      <c r="A53" s="1"/>
      <c r="B53" s="26"/>
      <c r="C53" s="41"/>
      <c r="D53" s="41"/>
      <c r="E53" s="41"/>
      <c r="F53" s="41"/>
      <c r="G53" s="41"/>
      <c r="H53" s="1"/>
      <c r="I53" s="1"/>
    </row>
    <row r="54" spans="1:9" ht="16.149999999999999" customHeight="1">
      <c r="A54" s="1"/>
      <c r="B54" s="26"/>
      <c r="C54" s="41"/>
      <c r="D54" s="41"/>
      <c r="E54" s="41"/>
      <c r="F54" s="41"/>
      <c r="G54" s="41"/>
      <c r="H54" s="1"/>
      <c r="I54" s="1"/>
    </row>
    <row r="55" spans="1:9" ht="16.149999999999999" customHeight="1">
      <c r="A55" s="1"/>
      <c r="B55" s="26"/>
      <c r="C55" s="41"/>
      <c r="D55" s="41"/>
      <c r="E55" s="41"/>
      <c r="F55" s="41"/>
      <c r="G55" s="41"/>
      <c r="H55" s="1"/>
      <c r="I55" s="1"/>
    </row>
    <row r="56" spans="1:9" ht="16.149999999999999" customHeight="1">
      <c r="A56" s="1"/>
      <c r="B56" s="26"/>
      <c r="C56" s="41"/>
      <c r="D56" s="41"/>
      <c r="E56" s="41"/>
      <c r="F56" s="41"/>
      <c r="G56" s="41"/>
      <c r="H56" s="1"/>
      <c r="I56" s="1"/>
    </row>
    <row r="57" spans="1:9" ht="10.35" customHeight="1">
      <c r="A57" s="1"/>
      <c r="B57" s="1"/>
      <c r="C57" s="31"/>
      <c r="D57" s="31"/>
      <c r="E57" s="31"/>
      <c r="F57" s="31"/>
      <c r="G57" s="1"/>
      <c r="H57" s="1"/>
      <c r="I57" s="1"/>
    </row>
    <row r="58" spans="1:9" ht="18.95" customHeight="1">
      <c r="A58" s="1"/>
      <c r="B58" s="735" t="str">
        <f>Texte!A204</f>
        <v>Datum</v>
      </c>
      <c r="C58" s="1936"/>
      <c r="D58" s="42"/>
      <c r="E58" s="736" t="str">
        <f>Texte!A205</f>
        <v>Unterschrift</v>
      </c>
      <c r="F58" s="737"/>
      <c r="G58" s="738"/>
      <c r="H58" s="1"/>
      <c r="I58" s="1"/>
    </row>
  </sheetData>
  <sheetProtection algorithmName="SHA-512" hashValue="2RWJT7a98sytRLVZet6f0FIwsS6ot7H5Lcd7ru7Wf3CJtYq2JzZkVp+ko1z6PbcB2n7mTHj5pIJAEcqF6fDkeQ==" saltValue="bUGciUKMu42T3cS5QMxJlQ==" spinCount="100000" sheet="1" objects="1" scenarios="1"/>
  <phoneticPr fontId="65" type="noConversion"/>
  <printOptions horizontalCentered="1"/>
  <pageMargins left="0.78740157480314965" right="0.19685039370078741" top="0.59055118110236227" bottom="0.47244094488188981" header="0" footer="0.27559055118110237"/>
  <pageSetup paperSize="9" scale="95"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4160" r:id="rId4" name="lbl_ZvStand">
              <controlPr defaultSize="0" autoFill="0" autoPict="0">
                <anchor moveWithCells="1">
                  <from>
                    <xdr:col>6</xdr:col>
                    <xdr:colOff>1000125</xdr:colOff>
                    <xdr:row>8</xdr:row>
                    <xdr:rowOff>38100</xdr:rowOff>
                  </from>
                  <to>
                    <xdr:col>10</xdr:col>
                    <xdr:colOff>19050</xdr:colOff>
                    <xdr:row>9</xdr:row>
                    <xdr:rowOff>0</xdr:rowOff>
                  </to>
                </anchor>
              </controlPr>
            </control>
          </ns1:Choice>
        </ns1:AlternateContent>
        <ns1:AlternateContent>
          <ns1:Choice Requires="x14">
            <control shapeId="4097" r:id="rId5" name="Butt Datenübernahme">
              <controlPr defaultSize="0" print="0" autoFill="0" autoLine="0" autoPict="0" macro="[0]!DatenübernahmeFeldbuch">
                <anchor moveWithCells="1">
                  <from>
                    <xdr:col>1</xdr:col>
                    <xdr:colOff>9525</xdr:colOff>
                    <xdr:row>4</xdr:row>
                    <xdr:rowOff>104775</xdr:rowOff>
                  </from>
                  <to>
                    <xdr:col>2</xdr:col>
                    <xdr:colOff>847725</xdr:colOff>
                    <xdr:row>6</xdr:row>
                    <xdr:rowOff>85725</xdr:rowOff>
                  </to>
                </anchor>
              </controlPr>
            </control>
          </ns1:Choice>
        </ns1:AlternateContent>
        <ns1:AlternateContent>
          <ns1:Choice Requires="x14">
            <control shapeId="4098" r:id="rId6" name="Butt SucheFehler">
              <controlPr defaultSize="0" print="0" autoFill="0" autoLine="0" autoPict="0" macro="[0]!SucheFehler">
                <anchor>
                  <from>
                    <xdr:col>10</xdr:col>
                    <xdr:colOff>152400</xdr:colOff>
                    <xdr:row>0</xdr:row>
                    <xdr:rowOff>114300</xdr:rowOff>
                  </from>
                  <to>
                    <xdr:col>11</xdr:col>
                    <xdr:colOff>590550</xdr:colOff>
                    <xdr:row>0</xdr:row>
                    <xdr:rowOff>495300</xdr:rowOff>
                  </to>
                </anchor>
              </controlPr>
            </control>
          </ns1:Choice>
        </ns1:AlternateContent>
        <ns1:AlternateContent>
          <ns1:Choice Requires="x14">
            <control shapeId="4102" r:id="rId7" name="Butt Aktualisieren">
              <controlPr defaultSize="0" print="0" autoFill="0" autoLine="0" autoPict="0" macro="[0]!Alles_Aktualisieren">
                <anchor>
                  <from>
                    <xdr:col>10</xdr:col>
                    <xdr:colOff>152400</xdr:colOff>
                    <xdr:row>1</xdr:row>
                    <xdr:rowOff>47625</xdr:rowOff>
                  </from>
                  <to>
                    <xdr:col>11</xdr:col>
                    <xdr:colOff>590550</xdr:colOff>
                    <xdr:row>2</xdr:row>
                    <xdr:rowOff>142875</xdr:rowOff>
                  </to>
                </anchor>
              </controlPr>
            </control>
          </ns1:Choice>
        </ns1:AlternateContent>
        <ns1:AlternateContent>
          <ns1:Choice Requires="x14">
            <control shapeId="4159" r:id="rId8" name="chk_ZvStand">
              <controlPr defaultSize="0" autoFill="0" autoLine="0" autoPict="0">
                <anchor moveWithCells="1">
                  <from>
                    <xdr:col>6</xdr:col>
                    <xdr:colOff>1562100</xdr:colOff>
                    <xdr:row>8</xdr:row>
                    <xdr:rowOff>19050</xdr:rowOff>
                  </from>
                  <to>
                    <xdr:col>10</xdr:col>
                    <xdr:colOff>66675</xdr:colOff>
                    <xdr:row>9</xdr:row>
                    <xdr:rowOff>0</xdr:rowOff>
                  </to>
                </anchor>
              </controlPr>
            </control>
          </ns1:Choice>
        </ns1:AlternateContent>
        <ns1:AlternateContent>
          <ns1:Choice Requires="x14">
            <control shapeId="4225" r:id="rId9" name="cboSprache">
              <controlPr defaultSize="0" print="0" autoFill="0" autoLine="0" autoPict="0" macro="[0]!Sprachwechsel">
                <anchor moveWithCells="1">
                  <from>
                    <xdr:col>3</xdr:col>
                    <xdr:colOff>38100</xdr:colOff>
                    <xdr:row>1</xdr:row>
                    <xdr:rowOff>19050</xdr:rowOff>
                  </from>
                  <to>
                    <xdr:col>4</xdr:col>
                    <xdr:colOff>981075</xdr:colOff>
                    <xdr:row>1</xdr:row>
                    <xdr:rowOff>257175</xdr:rowOff>
                  </to>
                </anchor>
              </controlPr>
            </control>
          </ns1:Choice>
        </ns1:AlternateContent>
      </controls>
    </ns1:Choice>
  </ns1:AlternateContent>
</worksheet>
</file>

<file path=xl/worksheets/sheet4.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6">
    <tabColor indexed="26"/>
    <pageSetUpPr fitToPage="1"/>
  </sheetPr>
  <dimension ref="A1:T92"/>
  <sheetViews>
    <sheetView showGridLines="0" showRowColHeaders="0" showZeros="0" topLeftCell="A4" workbookViewId="0">
      <selection activeCell="E32" sqref="E32"/>
      <extLst>
        <ext uri="{77bfe23e-c014-4d31-8a63-9c772dbf06b6}">
          <ns2:showDataTypeIcons visible="0"/>
        </ext>
      </extLst>
    </sheetView>
  </sheetViews>
  <sheetFormatPr baseColWidth="10" defaultRowHeight="12"/>
  <cols>
    <col min="1" max="1" width="0.85546875" customWidth="1"/>
    <col min="2" max="2" width="28.42578125" customWidth="1"/>
    <col min="3" max="3" width="2.28515625" style="698" customWidth="1"/>
    <col min="4" max="4" width="7.85546875" customWidth="1"/>
    <col min="5" max="5" width="6.7109375" customWidth="1"/>
    <col min="6" max="6" width="5.7109375" customWidth="1"/>
    <col min="7" max="7" width="6.7109375" customWidth="1"/>
    <col min="8" max="8" width="5.7109375" customWidth="1"/>
    <col min="9" max="9" width="6.7109375" customWidth="1"/>
    <col min="10" max="10" width="0.85546875" customWidth="1"/>
    <col min="11" max="11" width="15.7109375" customWidth="1"/>
    <col min="12" max="12" width="19.42578125" customWidth="1"/>
    <col min="13" max="13" width="7.85546875" customWidth="1"/>
    <col min="14" max="14" width="6.7109375" customWidth="1"/>
    <col min="15" max="15" width="5.7109375" customWidth="1"/>
    <col min="16" max="16" width="6.7109375" customWidth="1"/>
    <col min="17" max="17" width="8.28515625" hidden="1" customWidth="1"/>
    <col min="18" max="18" width="8.5703125" hidden="1" customWidth="1"/>
    <col min="19" max="19" width="75.5703125" hidden="1" customWidth="1"/>
    <col min="20" max="20" width="11.42578125" style="998" hidden="1" customWidth="1"/>
  </cols>
  <sheetData>
    <row r="1" spans="1:20" ht="42" customHeight="1">
      <c r="A1" s="1"/>
      <c r="B1" s="19" t="str">
        <f>Q!NW_Tit</f>
        <v xml:space="preserve">                                   Nachweis</v>
      </c>
      <c r="C1" s="694"/>
      <c r="D1" s="1"/>
      <c r="E1" s="1"/>
      <c r="F1" s="1"/>
      <c r="G1" s="1"/>
      <c r="H1" s="1"/>
      <c r="I1" s="1"/>
      <c r="J1" s="1"/>
      <c r="K1" s="1"/>
      <c r="L1" s="1"/>
      <c r="M1" s="1"/>
      <c r="N1" s="1"/>
      <c r="O1" s="1"/>
      <c r="P1" s="20" t="str">
        <f>Q!F13</f>
        <v>Fläche</v>
      </c>
      <c r="Q1" s="1"/>
      <c r="R1" s="1"/>
      <c r="S1" s="1"/>
    </row>
    <row r="2" spans="1:20" ht="6.75" customHeight="1">
      <c r="A2" s="1"/>
      <c r="B2" s="40"/>
      <c r="C2" s="694"/>
      <c r="D2" s="1"/>
      <c r="E2" s="1"/>
      <c r="F2" s="1"/>
      <c r="G2" s="1"/>
      <c r="H2" s="1"/>
      <c r="I2" s="1"/>
      <c r="J2" s="1"/>
      <c r="K2" s="1"/>
      <c r="L2" s="1"/>
      <c r="M2" s="1"/>
      <c r="N2" s="1"/>
      <c r="O2" s="1"/>
      <c r="P2" s="20"/>
      <c r="Q2" s="1"/>
      <c r="R2" s="1"/>
      <c r="S2" s="1"/>
    </row>
    <row r="3" spans="1:20" ht="15" customHeight="1" thickBot="1">
      <c r="A3" s="1"/>
      <c r="B3" s="21"/>
      <c r="C3" s="580"/>
      <c r="D3" s="1942" t="str">
        <f>Texte!A208</f>
        <v>Nachgewiesene Durchschnittserträge über dem Standardertrag ¹</v>
      </c>
      <c r="E3" s="21"/>
      <c r="F3" s="21"/>
      <c r="G3" s="1015"/>
      <c r="H3" s="925"/>
      <c r="I3" s="21"/>
      <c r="J3" s="21"/>
      <c r="K3" s="21"/>
      <c r="L3" s="21"/>
      <c r="M3" s="21"/>
      <c r="N3" s="21"/>
      <c r="O3" s="21"/>
      <c r="P3" s="44"/>
      <c r="Q3" s="536"/>
      <c r="R3" s="1"/>
      <c r="S3" s="3053">
        <f>SUM(E52:E56, N26)</f>
        <v>2.1657999999999999</v>
      </c>
    </row>
    <row r="4" spans="1:20" ht="21.95" customHeight="1">
      <c r="A4" s="1"/>
      <c r="B4" s="1861" t="str">
        <f>Texte!A13</f>
        <v>Betrieb:</v>
      </c>
      <c r="C4" s="1861" t="str">
        <f>Allg!$C$9&amp;""</f>
        <v>Imhof &amp; Zaehner Betriebsgemeinschaft</v>
      </c>
      <c r="D4" s="572"/>
      <c r="E4" s="569"/>
      <c r="F4" s="569"/>
      <c r="G4" s="569"/>
      <c r="H4" s="569"/>
      <c r="I4" s="569"/>
      <c r="J4" s="569"/>
      <c r="K4" s="1863" t="str">
        <f>Texte!A14</f>
        <v>Variante:</v>
      </c>
      <c r="L4" s="1433" t="str">
        <f>Allg!$G$7&amp;""</f>
        <v/>
      </c>
      <c r="M4" s="569"/>
      <c r="N4" s="569"/>
      <c r="O4" s="1863" t="str">
        <f>Texte!A15</f>
        <v>Jahr:</v>
      </c>
      <c r="P4" s="47" t="str">
        <f>Allg!$G$6&amp;""</f>
        <v>2026</v>
      </c>
      <c r="Q4" s="536"/>
      <c r="R4" s="1"/>
      <c r="S4" s="1"/>
    </row>
    <row r="5" spans="1:20" ht="6" customHeight="1" thickBot="1">
      <c r="A5" s="1"/>
      <c r="B5" s="1"/>
      <c r="C5" s="2"/>
      <c r="D5" s="2"/>
      <c r="E5" s="1"/>
      <c r="F5" s="1"/>
      <c r="G5" s="1"/>
      <c r="H5" s="1"/>
      <c r="I5" s="1"/>
      <c r="J5" s="48"/>
      <c r="K5" s="43"/>
      <c r="L5" s="43"/>
      <c r="M5" s="49"/>
      <c r="N5" s="48"/>
      <c r="O5" s="48"/>
      <c r="P5" s="48"/>
      <c r="Q5" s="1"/>
      <c r="R5" s="1"/>
      <c r="S5" s="1"/>
    </row>
    <row r="6" spans="1:20" ht="15" customHeight="1">
      <c r="A6" s="1"/>
      <c r="B6" s="50"/>
      <c r="C6" s="51"/>
      <c r="D6" s="51"/>
      <c r="E6" s="52" t="str">
        <f>Texte!A210</f>
        <v>Hauptprodukt</v>
      </c>
      <c r="F6" s="53"/>
      <c r="G6" s="54" t="str">
        <f>Texte!A211</f>
        <v>Nebenprodukt</v>
      </c>
      <c r="H6" s="55"/>
      <c r="I6" s="56"/>
      <c r="J6" s="57"/>
      <c r="K6" s="58"/>
      <c r="L6" s="51"/>
      <c r="M6" s="51"/>
      <c r="N6" s="52"/>
      <c r="O6" s="53" t="str">
        <f>Texte!A212</f>
        <v>Feldertrag</v>
      </c>
      <c r="P6" s="2553"/>
      <c r="Q6" s="1"/>
      <c r="R6" s="1"/>
      <c r="S6" s="1"/>
    </row>
    <row r="7" spans="1:20" ht="15" customHeight="1">
      <c r="A7" s="1"/>
      <c r="B7" s="60" t="str">
        <f>Texte!A209</f>
        <v>Hauptkultur</v>
      </c>
      <c r="C7" s="695"/>
      <c r="D7" s="61" t="s">
        <v>4259</v>
      </c>
      <c r="E7" s="62" t="str">
        <f>Texte!A215</f>
        <v>Fläche</v>
      </c>
      <c r="F7" s="63" t="str">
        <f>Texte!A216</f>
        <v>Ertrag</v>
      </c>
      <c r="G7" s="64" t="str">
        <f>Texte!A215</f>
        <v>Fläche</v>
      </c>
      <c r="H7" s="65" t="str">
        <f>Texte!A216</f>
        <v>Ertrag</v>
      </c>
      <c r="I7" s="66"/>
      <c r="J7" s="57"/>
      <c r="K7" s="67" t="str">
        <f>Texte!A209</f>
        <v>Hauptkultur</v>
      </c>
      <c r="L7" s="61"/>
      <c r="M7" s="61" t="s">
        <v>4259</v>
      </c>
      <c r="N7" s="62" t="str">
        <f>Texte!A215</f>
        <v>Fläche</v>
      </c>
      <c r="O7" s="65" t="str">
        <f>Texte!A213</f>
        <v>TS</v>
      </c>
      <c r="P7" s="2907"/>
      <c r="Q7" s="1">
        <f>IF(AND(Fläche!N11="",Fläche!O11=""),0,IF(ISBLANK(Fläche!O11)=FALSE,Fläche!O11,IF(ISBLANK(Fläche!O16)=FALSE,Fläche!O16,IF(ISBLANK(Fläche!O13)=FALSE,Fläche!O13,0))))</f>
        <v>50</v>
      </c>
      <c r="R7" s="1"/>
      <c r="S7" s="1"/>
    </row>
    <row r="8" spans="1:20" ht="15" customHeight="1" thickBot="1">
      <c r="A8" s="1"/>
      <c r="B8" s="68"/>
      <c r="C8" s="69"/>
      <c r="D8" s="69" t="s">
        <v>4262</v>
      </c>
      <c r="E8" s="70" t="s">
        <v>5675</v>
      </c>
      <c r="F8" s="71" t="str">
        <f>Q!txtDtHa</f>
        <v>dt / ha</v>
      </c>
      <c r="G8" s="72" t="s">
        <v>5675</v>
      </c>
      <c r="H8" s="71" t="str">
        <f>Q!txtDtHa</f>
        <v>dt / ha</v>
      </c>
      <c r="I8" s="73" t="str">
        <f>Texte!A214</f>
        <v>dt total</v>
      </c>
      <c r="J8" s="57"/>
      <c r="K8" s="68"/>
      <c r="L8" s="74"/>
      <c r="M8" s="69" t="s">
        <v>4262</v>
      </c>
      <c r="N8" s="70" t="s">
        <v>5675</v>
      </c>
      <c r="O8" s="71" t="str">
        <f>Q!txtDtHa</f>
        <v>dt / ha</v>
      </c>
      <c r="P8" s="2908" t="str">
        <f>I8</f>
        <v>dt total</v>
      </c>
      <c r="Q8" s="1"/>
      <c r="R8" s="1"/>
      <c r="S8" s="1"/>
    </row>
    <row r="9" spans="1:20" ht="15" customHeight="1" thickBot="1">
      <c r="A9" s="1"/>
      <c r="B9" s="75" t="str">
        <f>Texte!A218</f>
        <v>Getreide</v>
      </c>
      <c r="C9" s="696"/>
      <c r="D9" s="76"/>
      <c r="E9" s="77">
        <f>SUM(E10:E24)</f>
        <v>13.457700000000001</v>
      </c>
      <c r="F9" s="2321"/>
      <c r="G9" s="79"/>
      <c r="H9" s="2927"/>
      <c r="I9" s="2914"/>
      <c r="J9" s="80"/>
      <c r="K9" s="81" t="str">
        <f>Texte!A291</f>
        <v>Grünland</v>
      </c>
      <c r="L9" s="82"/>
      <c r="M9" s="83"/>
      <c r="N9" s="77">
        <f>SUM(N10:N25)+N37</f>
        <v>54.972699999999989</v>
      </c>
      <c r="O9" s="2321"/>
      <c r="P9" s="2909"/>
      <c r="Q9" s="25" t="str">
        <f>B9</f>
        <v>Getreide</v>
      </c>
      <c r="R9" s="1"/>
      <c r="S9" s="1"/>
    </row>
    <row r="10" spans="1:20" ht="15" customHeight="1">
      <c r="A10" s="1"/>
      <c r="B10" s="84" t="str">
        <f>Texte!A219</f>
        <v>Winterweizen</v>
      </c>
      <c r="C10" s="76"/>
      <c r="D10" s="76">
        <v>513</v>
      </c>
      <c r="E10" s="3451">
        <v>8.1344</v>
      </c>
      <c r="F10" s="3451">
        <v>60</v>
      </c>
      <c r="G10" s="85"/>
      <c r="H10" s="2918"/>
      <c r="I10" s="2902">
        <f t="shared" ref="I10:I24" si="0">G10*H10</f>
        <v>0</v>
      </c>
      <c r="J10" s="80"/>
      <c r="K10" s="86" t="str">
        <f>Texte!A292</f>
        <v xml:space="preserve">Naturwiese </v>
      </c>
      <c r="L10" s="87" t="str">
        <f>Texte!A285</f>
        <v>extensiv</v>
      </c>
      <c r="M10" s="1943" t="s">
        <v>3296</v>
      </c>
      <c r="N10" s="3451">
        <v>14.0544</v>
      </c>
      <c r="O10" s="3451">
        <v>25</v>
      </c>
      <c r="P10" s="2902">
        <f t="shared" ref="P10:P25" si="1">N10*O10</f>
        <v>351.35999999999996</v>
      </c>
      <c r="Q10" s="25" t="b">
        <f>G10&gt;E10</f>
        <v>0</v>
      </c>
      <c r="R10" s="25" t="e">
        <f>E10,G10</f>
        <v>#VALUE!</v>
      </c>
      <c r="S10" s="88" t="str">
        <f>Texte!A217</f>
        <v>die Fläche des Nebenprodukts darf nicht grösser sein, als die Fläche des Hauptprodukts</v>
      </c>
      <c r="T10" s="157" t="b">
        <v>0</v>
      </c>
    </row>
    <row r="11" spans="1:20" ht="15" customHeight="1">
      <c r="A11" s="1"/>
      <c r="B11" s="84" t="str">
        <f>Texte!A220</f>
        <v>Futterweizen</v>
      </c>
      <c r="C11" s="76"/>
      <c r="D11" s="76">
        <v>507</v>
      </c>
      <c r="E11" s="85"/>
      <c r="F11" s="2918"/>
      <c r="G11" s="85"/>
      <c r="H11" s="2918"/>
      <c r="I11" s="2902">
        <f t="shared" si="0"/>
        <v>0</v>
      </c>
      <c r="J11" s="80"/>
      <c r="K11" s="90" t="str">
        <f>Texte!A293</f>
        <v xml:space="preserve">Naturwiese </v>
      </c>
      <c r="L11" s="87" t="str">
        <f>Texte!A288</f>
        <v>wenig intensiv</v>
      </c>
      <c r="M11" s="1943" t="s">
        <v>3297</v>
      </c>
      <c r="N11" s="3451">
        <v>19.4547</v>
      </c>
      <c r="O11" s="3451">
        <v>50</v>
      </c>
      <c r="P11" s="2902">
        <f t="shared" si="1"/>
        <v>972.7349999999999</v>
      </c>
      <c r="Q11" s="25" t="b">
        <f>G11&gt;E11</f>
        <v>0</v>
      </c>
      <c r="R11" s="25" t="e">
        <f>E11,G11</f>
        <v>#VALUE!</v>
      </c>
      <c r="S11" s="88" t="str">
        <f>Texte!A217</f>
        <v>die Fläche des Nebenprodukts darf nicht grösser sein, als die Fläche des Hauptprodukts</v>
      </c>
      <c r="T11" s="157" t="b">
        <v>0</v>
      </c>
    </row>
    <row r="12" spans="1:20" ht="15" customHeight="1">
      <c r="A12" s="1"/>
      <c r="B12" s="84" t="str">
        <f>Texte!A221</f>
        <v>Sommerweizen</v>
      </c>
      <c r="C12" s="76"/>
      <c r="D12" s="76">
        <v>512</v>
      </c>
      <c r="E12" s="85"/>
      <c r="F12" s="2918"/>
      <c r="G12" s="85"/>
      <c r="H12" s="2918"/>
      <c r="I12" s="2902">
        <f t="shared" si="0"/>
        <v>0</v>
      </c>
      <c r="J12" s="80"/>
      <c r="K12" s="91" t="str">
        <f>Texte!A294</f>
        <v>Übrige Wiesen mit Düngeverbot</v>
      </c>
      <c r="L12" s="92"/>
      <c r="M12" s="76"/>
      <c r="N12" s="85"/>
      <c r="O12" s="2918"/>
      <c r="P12" s="2902">
        <f t="shared" si="1"/>
        <v>0</v>
      </c>
      <c r="Q12" s="25" t="b">
        <f>G12&gt;E12</f>
        <v>0</v>
      </c>
      <c r="R12" s="25" t="e">
        <f>E12,G12</f>
        <v>#VALUE!</v>
      </c>
      <c r="S12" s="88" t="str">
        <f>Texte!A217</f>
        <v>die Fläche des Nebenprodukts darf nicht grösser sein, als die Fläche des Hauptprodukts</v>
      </c>
      <c r="T12" s="157"/>
    </row>
    <row r="13" spans="1:20" ht="15" customHeight="1">
      <c r="A13" s="1"/>
      <c r="B13" s="84" t="str">
        <f>Texte!A222</f>
        <v>Wintergerste</v>
      </c>
      <c r="C13" s="76"/>
      <c r="D13" s="76">
        <v>502</v>
      </c>
      <c r="E13" s="85"/>
      <c r="F13" s="2918"/>
      <c r="G13" s="85"/>
      <c r="H13" s="2918"/>
      <c r="I13" s="2902">
        <f t="shared" si="0"/>
        <v>0</v>
      </c>
      <c r="J13" s="80"/>
      <c r="K13" s="91" t="str">
        <f>Texte!A295</f>
        <v>Heuwiesen Sömmerungsgebiet, keine BFF</v>
      </c>
      <c r="L13" s="92"/>
      <c r="M13" s="76">
        <v>621</v>
      </c>
      <c r="N13" s="85"/>
      <c r="O13" s="2918"/>
      <c r="P13" s="2902">
        <f t="shared" si="1"/>
        <v>0</v>
      </c>
      <c r="Q13" s="25" t="b">
        <f>G13&gt;E13</f>
        <v>0</v>
      </c>
      <c r="R13" s="25" t="e">
        <f>E13,G13</f>
        <v>#VALUE!</v>
      </c>
      <c r="S13" s="88" t="str">
        <f>Texte!A217</f>
        <v>die Fläche des Nebenprodukts darf nicht grösser sein, als die Fläche des Hauptprodukts</v>
      </c>
      <c r="T13" s="157" t="b">
        <v>0</v>
      </c>
    </row>
    <row r="14" spans="1:20" ht="15" customHeight="1">
      <c r="A14" s="1"/>
      <c r="B14" s="91" t="str">
        <f>Texte!A223</f>
        <v>Sommergerste</v>
      </c>
      <c r="C14" s="76"/>
      <c r="D14" s="76">
        <v>501</v>
      </c>
      <c r="E14" s="85"/>
      <c r="F14" s="2918"/>
      <c r="G14" s="85"/>
      <c r="H14" s="2918"/>
      <c r="I14" s="2902">
        <f t="shared" si="0"/>
        <v>0</v>
      </c>
      <c r="J14" s="80"/>
      <c r="K14" s="91" t="str">
        <f>Texte!A296</f>
        <v>Waldweide; Wytweiden, Selven</v>
      </c>
      <c r="L14" s="92"/>
      <c r="M14" s="76">
        <v>618</v>
      </c>
      <c r="N14" s="85"/>
      <c r="O14" s="2918"/>
      <c r="P14" s="2902">
        <f t="shared" si="1"/>
        <v>0</v>
      </c>
      <c r="Q14" s="25" t="b">
        <f>G14&gt;E14</f>
        <v>0</v>
      </c>
      <c r="R14" s="25" t="e">
        <f>E14,G14</f>
        <v>#VALUE!</v>
      </c>
      <c r="S14" s="88" t="str">
        <f>Texte!A217</f>
        <v>die Fläche des Nebenprodukts darf nicht grösser sein, als die Fläche des Hauptprodukts</v>
      </c>
      <c r="T14" s="157"/>
    </row>
    <row r="15" spans="1:20" ht="15" customHeight="1">
      <c r="A15" s="1"/>
      <c r="B15" s="91" t="str">
        <f>Texte!A224</f>
        <v>Winterhafer</v>
      </c>
      <c r="C15" s="76"/>
      <c r="D15" s="76">
        <v>504</v>
      </c>
      <c r="E15" s="85"/>
      <c r="F15" s="2918"/>
      <c r="G15" s="85"/>
      <c r="H15" s="2918"/>
      <c r="I15" s="2902">
        <f t="shared" si="0"/>
        <v>0</v>
      </c>
      <c r="J15" s="80"/>
      <c r="K15" s="86" t="str">
        <f>Texte!A297</f>
        <v xml:space="preserve">Dauerweide </v>
      </c>
      <c r="L15" s="87" t="str">
        <f>Texte!A286</f>
        <v>extensiv</v>
      </c>
      <c r="M15" s="83">
        <v>617</v>
      </c>
      <c r="N15" s="3451">
        <v>2.2204</v>
      </c>
      <c r="O15" s="3451">
        <v>20</v>
      </c>
      <c r="P15" s="2902">
        <f t="shared" si="1"/>
        <v>44.408000000000001</v>
      </c>
      <c r="Q15" s="25" t="b">
        <f>G16&gt;E16</f>
        <v>0</v>
      </c>
      <c r="R15" s="25" t="e">
        <f>E16,G16</f>
        <v>#VALUE!</v>
      </c>
      <c r="S15" s="88" t="str">
        <f>Texte!A217</f>
        <v>die Fläche des Nebenprodukts darf nicht grösser sein, als die Fläche des Hauptprodukts</v>
      </c>
      <c r="T15" s="157"/>
    </row>
    <row r="16" spans="1:20" ht="15" customHeight="1">
      <c r="A16" s="1"/>
      <c r="B16" s="91" t="str">
        <f>Texte!A225</f>
        <v>Sommerhafer</v>
      </c>
      <c r="C16" s="76"/>
      <c r="D16" s="76">
        <v>504</v>
      </c>
      <c r="E16" s="85"/>
      <c r="F16" s="2918"/>
      <c r="G16" s="85"/>
      <c r="H16" s="2918"/>
      <c r="I16" s="2902">
        <f t="shared" si="0"/>
        <v>0</v>
      </c>
      <c r="J16" s="80"/>
      <c r="K16" s="93" t="str">
        <f>Texte!A298</f>
        <v xml:space="preserve">Dauerweide </v>
      </c>
      <c r="L16" s="87" t="str">
        <f>Texte!A287</f>
        <v>wenig intensiv</v>
      </c>
      <c r="M16" s="83">
        <v>616</v>
      </c>
      <c r="N16" s="85"/>
      <c r="O16" s="2918"/>
      <c r="P16" s="2902">
        <f t="shared" si="1"/>
        <v>0</v>
      </c>
      <c r="Q16" s="25" t="b">
        <f>G17&gt;E17</f>
        <v>0</v>
      </c>
      <c r="R16" s="25" t="e">
        <f>E17,G17</f>
        <v>#VALUE!</v>
      </c>
      <c r="S16" s="88" t="str">
        <f>Texte!A217</f>
        <v>die Fläche des Nebenprodukts darf nicht grösser sein, als die Fläche des Hauptprodukts</v>
      </c>
      <c r="T16" s="157"/>
    </row>
    <row r="17" spans="1:20" ht="15" customHeight="1">
      <c r="A17" s="1"/>
      <c r="B17" s="91" t="str">
        <f>Texte!A226</f>
        <v>Winterroggen</v>
      </c>
      <c r="C17" s="76"/>
      <c r="D17" s="76">
        <v>514</v>
      </c>
      <c r="E17" s="85"/>
      <c r="F17" s="2918"/>
      <c r="G17" s="85"/>
      <c r="H17" s="2918"/>
      <c r="I17" s="2902">
        <f t="shared" si="0"/>
        <v>0</v>
      </c>
      <c r="J17" s="80"/>
      <c r="K17" s="94" t="str">
        <f>Texte!A299</f>
        <v xml:space="preserve">Naturwiese, </v>
      </c>
      <c r="L17" s="87" t="str">
        <f>Texte!A289</f>
        <v>mittelintensiv</v>
      </c>
      <c r="M17" s="83">
        <v>613</v>
      </c>
      <c r="N17" s="85"/>
      <c r="O17" s="2918"/>
      <c r="P17" s="2902">
        <f t="shared" si="1"/>
        <v>0</v>
      </c>
      <c r="Q17" s="25" t="b">
        <f t="shared" ref="Q17:Q24" si="2">G17&gt;E17</f>
        <v>0</v>
      </c>
      <c r="R17" s="25" t="e">
        <f>E17,G17</f>
        <v>#VALUE!</v>
      </c>
      <c r="S17" s="88" t="str">
        <f>Texte!A217</f>
        <v>die Fläche des Nebenprodukts darf nicht grösser sein, als die Fläche des Hauptprodukts</v>
      </c>
      <c r="T17" s="157" t="b">
        <v>0</v>
      </c>
    </row>
    <row r="18" spans="1:20" ht="15" customHeight="1">
      <c r="A18" s="1"/>
      <c r="B18" s="91" t="str">
        <f>Texte!A227</f>
        <v>Winterroggen, Hybridsorten</v>
      </c>
      <c r="C18" s="76"/>
      <c r="D18" s="76">
        <v>514</v>
      </c>
      <c r="E18" s="85"/>
      <c r="F18" s="2918"/>
      <c r="G18" s="85"/>
      <c r="H18" s="2918"/>
      <c r="I18" s="2902">
        <f t="shared" si="0"/>
        <v>0</v>
      </c>
      <c r="J18" s="80"/>
      <c r="K18" s="89" t="str">
        <f>Texte!A300</f>
        <v xml:space="preserve">Weide, Mähw. </v>
      </c>
      <c r="L18" s="97" t="str">
        <f>Texte!A289</f>
        <v>mittelintensiv</v>
      </c>
      <c r="M18" s="1943" t="s">
        <v>3445</v>
      </c>
      <c r="N18" s="85"/>
      <c r="O18" s="2918"/>
      <c r="P18" s="2902">
        <f t="shared" si="1"/>
        <v>0</v>
      </c>
      <c r="Q18" s="25" t="b">
        <f t="shared" si="2"/>
        <v>0</v>
      </c>
      <c r="R18" s="25" t="e">
        <f>E18,G18</f>
        <v>#VALUE!</v>
      </c>
      <c r="S18" s="88" t="str">
        <f>Texte!A217</f>
        <v>die Fläche des Nebenprodukts darf nicht grösser sein, als die Fläche des Hauptprodukts</v>
      </c>
      <c r="T18" s="157" t="b">
        <v>0</v>
      </c>
    </row>
    <row r="19" spans="1:20" ht="15" customHeight="1">
      <c r="A19" s="1"/>
      <c r="B19" s="91" t="str">
        <f>Texte!A228</f>
        <v>Dinkel, Winterkorn</v>
      </c>
      <c r="C19" s="76"/>
      <c r="D19" s="76">
        <v>516</v>
      </c>
      <c r="E19" s="3451">
        <v>6.9566</v>
      </c>
      <c r="F19" s="3451">
        <v>45</v>
      </c>
      <c r="G19" s="85"/>
      <c r="H19" s="2918"/>
      <c r="I19" s="2902">
        <f t="shared" si="0"/>
        <v>0</v>
      </c>
      <c r="J19" s="80"/>
      <c r="K19" s="94" t="str">
        <f>Texte!A301</f>
        <v xml:space="preserve">Naturwiese, </v>
      </c>
      <c r="L19" s="87" t="str">
        <f>Texte!A290</f>
        <v>intensiv</v>
      </c>
      <c r="M19" s="83">
        <v>613</v>
      </c>
      <c r="N19" s="85"/>
      <c r="O19" s="2376">
        <f>IF(OR(N19="",'SB2'!TS_Ertrag="")=TRUE,0,'SB2'!TS_Ertrag)</f>
        <v>89.543968421052654</v>
      </c>
      <c r="P19" s="2902">
        <f t="shared" si="1"/>
        <v>1701.3354000000004</v>
      </c>
      <c r="Q19" s="25" t="b">
        <f t="shared" si="2"/>
        <v>0</v>
      </c>
      <c r="R19" s="25" t="e">
        <f>E19,G19</f>
        <v>#VALUE!</v>
      </c>
      <c r="S19" s="88" t="str">
        <f>Texte!A217</f>
        <v>die Fläche des Nebenprodukts darf nicht grösser sein, als die Fläche des Hauptprodukts</v>
      </c>
      <c r="T19" s="157"/>
    </row>
    <row r="20" spans="1:20" ht="15" customHeight="1">
      <c r="A20" s="1"/>
      <c r="B20" s="91" t="str">
        <f>Texte!A229</f>
        <v>Emmer, Einkorn</v>
      </c>
      <c r="C20" s="76"/>
      <c r="D20" s="76">
        <v>511</v>
      </c>
      <c r="E20" s="85"/>
      <c r="F20" s="2918"/>
      <c r="G20" s="85"/>
      <c r="H20" s="2918"/>
      <c r="I20" s="2902">
        <f t="shared" si="0"/>
        <v>0</v>
      </c>
      <c r="J20" s="80"/>
      <c r="K20" s="89" t="str">
        <f>Texte!A302</f>
        <v xml:space="preserve">Weide, Mähw. </v>
      </c>
      <c r="L20" s="87" t="str">
        <f>Texte!A290</f>
        <v>intensiv</v>
      </c>
      <c r="M20" s="1943" t="s">
        <v>3445</v>
      </c>
      <c r="N20" s="3452">
        <v>5.3361</v>
      </c>
      <c r="O20" s="2376">
        <f>IF(OR(N20="",'SB2'!TS_Ertrag="")=TRUE,0,'SB2'!TS_Ertrag)</f>
        <v>0</v>
      </c>
      <c r="P20" s="2902">
        <f t="shared" si="1"/>
        <v>0</v>
      </c>
      <c r="Q20" s="25" t="b">
        <f t="shared" si="2"/>
        <v>0</v>
      </c>
      <c r="R20" s="25" t="e">
        <f>E20,G20</f>
        <v>#VALUE!</v>
      </c>
      <c r="S20" s="88" t="str">
        <f>Texte!A217</f>
        <v>die Fläche des Nebenprodukts darf nicht grösser sein, als die Fläche des Hauptprodukts</v>
      </c>
      <c r="T20" s="157"/>
    </row>
    <row r="21" spans="1:20" ht="15" customHeight="1">
      <c r="A21" s="1"/>
      <c r="B21" s="91" t="str">
        <f>Texte!A230</f>
        <v>Wintertriticale</v>
      </c>
      <c r="C21" s="76"/>
      <c r="D21" s="76">
        <v>505</v>
      </c>
      <c r="E21" s="85"/>
      <c r="F21" s="2918"/>
      <c r="G21" s="85"/>
      <c r="H21" s="2918"/>
      <c r="I21" s="2902">
        <f t="shared" si="0"/>
        <v>0</v>
      </c>
      <c r="J21" s="80"/>
      <c r="K21" s="100" t="str">
        <f>Texte!A303</f>
        <v xml:space="preserve">Kunstwiese </v>
      </c>
      <c r="L21" s="87" t="str">
        <f>Texte!A289</f>
        <v>mittelintensiv</v>
      </c>
      <c r="M21" s="83">
        <v>601</v>
      </c>
      <c r="N21" s="85"/>
      <c r="O21" s="2918"/>
      <c r="P21" s="2902">
        <f t="shared" si="1"/>
        <v>0</v>
      </c>
      <c r="Q21" s="25" t="b">
        <f t="shared" si="2"/>
        <v>0</v>
      </c>
      <c r="R21" s="25" t="e">
        <f>E21,G21</f>
        <v>#VALUE!</v>
      </c>
      <c r="S21" s="88" t="str">
        <f>Texte!A217</f>
        <v>die Fläche des Nebenprodukts darf nicht grösser sein, als die Fläche des Hauptprodukts</v>
      </c>
      <c r="T21" s="157" t="b">
        <v>0</v>
      </c>
    </row>
    <row r="22" spans="1:20" ht="15" customHeight="1">
      <c r="A22" s="1"/>
      <c r="B22" s="91" t="str">
        <f>Texte!A231</f>
        <v>Sommertriticale</v>
      </c>
      <c r="C22" s="76"/>
      <c r="D22" s="76">
        <v>505</v>
      </c>
      <c r="E22" s="85"/>
      <c r="F22" s="2918"/>
      <c r="G22" s="85"/>
      <c r="H22" s="2918"/>
      <c r="I22" s="2902">
        <f t="shared" si="0"/>
        <v>0</v>
      </c>
      <c r="J22" s="80"/>
      <c r="K22" s="93" t="str">
        <f>Texte!A304</f>
        <v xml:space="preserve">Kunstwiese </v>
      </c>
      <c r="L22" s="87" t="str">
        <f>Texte!A290</f>
        <v>intensiv</v>
      </c>
      <c r="M22" s="83">
        <v>601</v>
      </c>
      <c r="N22" s="3451">
        <v>18.8762</v>
      </c>
      <c r="O22" s="2376">
        <f>IF(OR(N22="",'SB2'!TS_Ertrag="")=TRUE,0,'SB2'!TS_Ertrag)</f>
        <v>0</v>
      </c>
      <c r="P22" s="2902">
        <f t="shared" si="1"/>
        <v>0</v>
      </c>
      <c r="Q22" s="25" t="b">
        <f t="shared" si="2"/>
        <v>0</v>
      </c>
      <c r="R22" s="25" t="e">
        <f>E22,G22</f>
        <v>#VALUE!</v>
      </c>
      <c r="S22" s="88" t="str">
        <f>Texte!A217</f>
        <v>die Fläche des Nebenprodukts darf nicht grösser sein, als die Fläche des Hauptprodukts</v>
      </c>
      <c r="T22" s="157"/>
    </row>
    <row r="23" spans="1:20" ht="15" customHeight="1">
      <c r="A23" s="1"/>
      <c r="B23" s="91" t="str">
        <f>Texte!A232</f>
        <v>Getreide-Silage</v>
      </c>
      <c r="C23" s="76"/>
      <c r="D23" s="76">
        <v>543</v>
      </c>
      <c r="E23" s="85"/>
      <c r="F23" s="2918"/>
      <c r="G23" s="85"/>
      <c r="H23" s="2918"/>
      <c r="I23" s="2902">
        <f t="shared" si="0"/>
        <v>0</v>
      </c>
      <c r="J23" s="80"/>
      <c r="K23" s="100" t="str">
        <f>Texte!A305</f>
        <v xml:space="preserve">Saatgutproduktion </v>
      </c>
      <c r="L23" s="87" t="str">
        <f>Texte!A307</f>
        <v>Leguminosen</v>
      </c>
      <c r="M23" s="83">
        <v>631</v>
      </c>
      <c r="N23" s="85"/>
      <c r="O23" s="2918"/>
      <c r="P23" s="2902">
        <f t="shared" si="1"/>
        <v>0</v>
      </c>
      <c r="Q23" s="25" t="b">
        <f t="shared" si="2"/>
        <v>0</v>
      </c>
      <c r="R23" s="25" t="e">
        <f>E23,G23</f>
        <v>#VALUE!</v>
      </c>
      <c r="S23" s="88" t="str">
        <f>Texte!A217</f>
        <v>die Fläche des Nebenprodukts darf nicht grösser sein, als die Fläche des Hauptprodukts</v>
      </c>
      <c r="T23" s="157"/>
    </row>
    <row r="24" spans="1:20" ht="15" customHeight="1" thickBot="1">
      <c r="A24" s="1"/>
      <c r="B24" s="95" t="str">
        <f>Texte!A233</f>
        <v>Getreide-Silage mit Leguminosen</v>
      </c>
      <c r="C24" s="96"/>
      <c r="D24" s="96">
        <v>543</v>
      </c>
      <c r="E24" s="3451">
        <v>1.6211</v>
      </c>
      <c r="F24" s="3451">
        <v>106</v>
      </c>
      <c r="G24" s="85"/>
      <c r="H24" s="2918"/>
      <c r="I24" s="2902">
        <f t="shared" si="0"/>
        <v>0</v>
      </c>
      <c r="J24" s="80"/>
      <c r="K24" s="93" t="str">
        <f>Texte!A306</f>
        <v xml:space="preserve">Saatgutproduktion </v>
      </c>
      <c r="L24" s="87" t="str">
        <f>Texte!A308</f>
        <v>Gräser</v>
      </c>
      <c r="M24" s="83">
        <v>632</v>
      </c>
      <c r="N24" s="85"/>
      <c r="O24" s="2918"/>
      <c r="P24" s="2902">
        <f t="shared" si="1"/>
        <v>0</v>
      </c>
      <c r="Q24" s="25" t="b">
        <f t="shared" si="2"/>
        <v>0</v>
      </c>
      <c r="R24" s="25" t="e">
        <f>E24,G24</f>
        <v>#VALUE!</v>
      </c>
      <c r="S24" s="88" t="str">
        <f>Texte!A217</f>
        <v>die Fläche des Nebenprodukts darf nicht grösser sein, als die Fläche des Hauptprodukts</v>
      </c>
      <c r="T24" s="157"/>
    </row>
    <row r="25" spans="1:20" ht="15" customHeight="1" thickBot="1">
      <c r="A25" s="1"/>
      <c r="B25" s="75" t="str">
        <f>Texte!A234</f>
        <v>Markthackfrüchte</v>
      </c>
      <c r="C25" s="696"/>
      <c r="D25" s="76"/>
      <c r="E25" s="98">
        <f>SUM(E26:E37)</f>
        <v>14.948500000000001</v>
      </c>
      <c r="F25" s="2919"/>
      <c r="G25" s="99"/>
      <c r="H25" s="2548" t="str">
        <f>Texte!A235</f>
        <v>TS - Ertrag</v>
      </c>
      <c r="I25" s="2549"/>
      <c r="J25" s="80"/>
      <c r="K25" s="95" t="str">
        <f>Texte!A309</f>
        <v>Weiden für Schweine</v>
      </c>
      <c r="L25" s="101"/>
      <c r="M25" s="102">
        <v>619</v>
      </c>
      <c r="N25" s="85"/>
      <c r="O25" s="2376">
        <f>IF(OR(N25="",'SB2'!TS_Ertrag="")=TRUE,0,'SB2'!TS_Ertrag)</f>
        <v>0</v>
      </c>
      <c r="P25" s="2902">
        <f t="shared" si="1"/>
        <v>0</v>
      </c>
      <c r="Q25" s="25" t="str">
        <f>B25</f>
        <v>Markthackfrüchte</v>
      </c>
      <c r="R25" s="25"/>
      <c r="S25" s="88"/>
      <c r="T25" s="157"/>
    </row>
    <row r="26" spans="1:20" ht="15" customHeight="1" thickBot="1">
      <c r="A26" s="1"/>
      <c r="B26" s="91" t="str">
        <f>Texte!A236</f>
        <v>Winterraps für Speiseöl</v>
      </c>
      <c r="C26" s="76"/>
      <c r="D26" s="76">
        <v>527</v>
      </c>
      <c r="E26" s="85"/>
      <c r="F26" s="2918"/>
      <c r="G26" s="85"/>
      <c r="H26" s="2918"/>
      <c r="I26" s="2902">
        <f t="shared" ref="I26:I31" si="3">G26*H26</f>
        <v>0</v>
      </c>
      <c r="J26" s="80"/>
      <c r="K26" s="75" t="str">
        <f>Texte!A310</f>
        <v>Futterhackfrüchte</v>
      </c>
      <c r="L26" s="104"/>
      <c r="M26" s="76"/>
      <c r="N26" s="98">
        <f>SUM(N27:N31)</f>
        <v>2</v>
      </c>
      <c r="O26" s="2919"/>
      <c r="P26" s="2910"/>
      <c r="Q26" s="25" t="b">
        <f t="shared" ref="Q26:Q31" si="4">G26&gt;E26</f>
        <v>0</v>
      </c>
      <c r="R26" s="25" t="e">
        <f>E26,G26</f>
        <v>#VALUE!</v>
      </c>
      <c r="S26" s="88" t="str">
        <f>Texte!A217</f>
        <v>die Fläche des Nebenprodukts darf nicht grösser sein, als die Fläche des Hauptprodukts</v>
      </c>
      <c r="T26" s="157" t="b">
        <v>0</v>
      </c>
    </row>
    <row r="27" spans="1:20" ht="15" customHeight="1">
      <c r="A27" s="1"/>
      <c r="B27" s="91" t="str">
        <f>Texte!A237</f>
        <v>Sommerraps</v>
      </c>
      <c r="C27" s="76"/>
      <c r="D27" s="76">
        <v>526</v>
      </c>
      <c r="E27" s="85"/>
      <c r="F27" s="2918"/>
      <c r="G27" s="85"/>
      <c r="H27" s="2918"/>
      <c r="I27" s="2902">
        <f t="shared" si="3"/>
        <v>0</v>
      </c>
      <c r="J27" s="80"/>
      <c r="K27" s="91" t="str">
        <f>Texte!A311</f>
        <v>Silomais</v>
      </c>
      <c r="L27" s="92"/>
      <c r="M27" s="76">
        <v>521</v>
      </c>
      <c r="N27" s="3451">
        <v>1.2921</v>
      </c>
      <c r="O27" s="3451">
        <v>185</v>
      </c>
      <c r="P27" s="2902">
        <f>N27*O27</f>
        <v>370</v>
      </c>
      <c r="Q27" s="25" t="b">
        <f t="shared" si="4"/>
        <v>0</v>
      </c>
      <c r="R27" s="25" t="e">
        <f>E27,G27</f>
        <v>#VALUE!</v>
      </c>
      <c r="S27" s="88" t="str">
        <f>Texte!A217</f>
        <v>die Fläche des Nebenprodukts darf nicht grösser sein, als die Fläche des Hauptprodukts</v>
      </c>
      <c r="T27" s="157"/>
    </row>
    <row r="28" spans="1:20" ht="15" customHeight="1">
      <c r="A28" s="1"/>
      <c r="B28" s="91" t="str">
        <f>Texte!A238</f>
        <v>Kartoffeln, Speise- u. Industrie- ²</v>
      </c>
      <c r="C28" s="76"/>
      <c r="D28" s="76">
        <v>524</v>
      </c>
      <c r="E28" s="85"/>
      <c r="F28" s="2918"/>
      <c r="G28" s="85"/>
      <c r="H28" s="2918"/>
      <c r="I28" s="2902">
        <f t="shared" si="3"/>
        <v>0</v>
      </c>
      <c r="J28" s="80"/>
      <c r="K28" s="91" t="str">
        <f>Texte!A312</f>
        <v>Ganzpflanzen-Sorghum</v>
      </c>
      <c r="L28" s="92"/>
      <c r="M28" s="76">
        <v>581</v>
      </c>
      <c r="N28" s="85"/>
      <c r="O28" s="2918"/>
      <c r="P28" s="2902">
        <f>N28*O28</f>
        <v>0</v>
      </c>
      <c r="Q28" s="25" t="b">
        <f t="shared" si="4"/>
        <v>0</v>
      </c>
      <c r="R28" s="25" t="e">
        <f>E28,G28</f>
        <v>#VALUE!</v>
      </c>
      <c r="S28" s="88" t="str">
        <f>Texte!A217</f>
        <v>die Fläche des Nebenprodukts darf nicht grösser sein, als die Fläche des Hauptprodukts</v>
      </c>
      <c r="T28" s="157"/>
    </row>
    <row r="29" spans="1:20" ht="15" customHeight="1">
      <c r="A29" s="1"/>
      <c r="B29" s="91" t="str">
        <f>Texte!A239</f>
        <v>Kartoffeln, Früh- ²</v>
      </c>
      <c r="C29" s="76"/>
      <c r="D29" s="76">
        <v>524</v>
      </c>
      <c r="E29" s="85"/>
      <c r="F29" s="2918"/>
      <c r="G29" s="85"/>
      <c r="H29" s="2918"/>
      <c r="I29" s="2902">
        <f t="shared" si="3"/>
        <v>0</v>
      </c>
      <c r="J29" s="109"/>
      <c r="K29" s="91" t="str">
        <f>Texte!A313</f>
        <v>Futterrüben</v>
      </c>
      <c r="L29" s="92"/>
      <c r="M29" s="76">
        <v>523</v>
      </c>
      <c r="N29" s="85"/>
      <c r="O29" s="2918"/>
      <c r="P29" s="2902">
        <f>N29*O29</f>
        <v>0</v>
      </c>
      <c r="Q29" s="25" t="b">
        <f t="shared" si="4"/>
        <v>0</v>
      </c>
      <c r="R29" s="25" t="e">
        <f>E29,G29</f>
        <v>#VALUE!</v>
      </c>
      <c r="S29" s="88" t="str">
        <f>Texte!A217</f>
        <v>die Fläche des Nebenprodukts darf nicht grösser sein, als die Fläche des Hauptprodukts</v>
      </c>
      <c r="T29" s="157"/>
    </row>
    <row r="30" spans="1:20" ht="15" customHeight="1">
      <c r="A30" s="1"/>
      <c r="B30" s="91" t="str">
        <f>Texte!A240</f>
        <v>Kartoffeln, Pflanz- ²</v>
      </c>
      <c r="C30" s="76"/>
      <c r="D30" s="76">
        <v>525</v>
      </c>
      <c r="E30" s="3451">
        <v>6.1825</v>
      </c>
      <c r="F30" s="3451">
        <v>250</v>
      </c>
      <c r="G30" s="85"/>
      <c r="H30" s="2918"/>
      <c r="I30" s="2902">
        <f t="shared" si="3"/>
        <v>0</v>
      </c>
      <c r="J30" s="109"/>
      <c r="K30" s="91" t="str">
        <f>Texte!A314</f>
        <v xml:space="preserve">CCM, Feuchtkörnermais  </v>
      </c>
      <c r="L30" s="92"/>
      <c r="M30" s="76">
        <v>508</v>
      </c>
      <c r="N30" s="85"/>
      <c r="O30" s="2918"/>
      <c r="P30" s="2902">
        <f>N30*O30</f>
        <v>0</v>
      </c>
      <c r="Q30" s="25" t="b">
        <f t="shared" si="4"/>
        <v>0</v>
      </c>
      <c r="R30" s="25" t="e">
        <f>E30,G30</f>
        <v>#VALUE!</v>
      </c>
      <c r="S30" s="88" t="str">
        <f>Texte!A217</f>
        <v>die Fläche des Nebenprodukts darf nicht grösser sein, als die Fläche des Hauptprodukts</v>
      </c>
      <c r="T30" s="157"/>
    </row>
    <row r="31" spans="1:20" ht="15" customHeight="1" thickBot="1">
      <c r="A31" s="1"/>
      <c r="B31" s="91" t="str">
        <f>Texte!A243</f>
        <v>Zuckerrüben</v>
      </c>
      <c r="C31" s="76"/>
      <c r="D31" s="76">
        <v>522</v>
      </c>
      <c r="E31" s="85"/>
      <c r="F31" s="2931"/>
      <c r="G31" s="103"/>
      <c r="H31" s="2928"/>
      <c r="I31" s="2908">
        <f t="shared" si="3"/>
        <v>0</v>
      </c>
      <c r="J31" s="109"/>
      <c r="K31" s="91" t="str">
        <f>Texte!A315</f>
        <v>Lieschkolbenschrot</v>
      </c>
      <c r="L31" s="92"/>
      <c r="M31" s="76">
        <v>508</v>
      </c>
      <c r="N31" s="85"/>
      <c r="O31" s="2918"/>
      <c r="P31" s="2902">
        <f>N31*O31</f>
        <v>0</v>
      </c>
      <c r="Q31" s="25" t="b">
        <f t="shared" si="4"/>
        <v>0</v>
      </c>
      <c r="R31" s="25" t="e">
        <f>E31,G31</f>
        <v>#VALUE!</v>
      </c>
      <c r="S31" s="88" t="str">
        <f>Texte!A217</f>
        <v>die Fläche des Nebenprodukts darf nicht grösser sein, als die Fläche des Hauptprodukts</v>
      </c>
      <c r="T31" s="157"/>
    </row>
    <row r="32" spans="1:20" ht="15" customHeight="1">
      <c r="A32" s="1"/>
      <c r="B32" s="91" t="str">
        <f>Texte!A244</f>
        <v>Körnermais</v>
      </c>
      <c r="C32" s="76"/>
      <c r="D32" s="76">
        <v>508</v>
      </c>
      <c r="E32" s="3452">
        <v>0.7336</v>
      </c>
      <c r="F32" s="3452">
        <v>100</v>
      </c>
      <c r="G32" s="105"/>
      <c r="H32" s="2929"/>
      <c r="I32" s="2916"/>
      <c r="J32" s="109"/>
      <c r="K32" s="908" t="str">
        <f>Texte!A316</f>
        <v>Kulturen in geschütztem Anbau o. Fundam.  S</v>
      </c>
      <c r="L32" s="180"/>
      <c r="M32" s="181"/>
      <c r="N32" s="3451">
        <v>0.5879</v>
      </c>
      <c r="O32" s="2920" t="s">
        <v>1058</v>
      </c>
      <c r="P32" s="2911"/>
    </row>
    <row r="33" spans="1:20" ht="15" customHeight="1" thickBot="1">
      <c r="A33" s="1"/>
      <c r="B33" s="91" t="str">
        <f>Texte!A245</f>
        <v>Eiweisserbsen</v>
      </c>
      <c r="C33" s="76"/>
      <c r="D33" s="76">
        <v>537</v>
      </c>
      <c r="E33" s="85"/>
      <c r="F33" s="2918"/>
      <c r="G33" s="107"/>
      <c r="H33" s="2929"/>
      <c r="I33" s="2916"/>
      <c r="J33" s="109"/>
      <c r="K33" s="113" t="str">
        <f>Texte!A317</f>
        <v>Kulturen in geschütztem Anbau m. Fundam. S</v>
      </c>
      <c r="L33" s="114"/>
      <c r="M33" s="96"/>
      <c r="N33" s="3451">
        <v>1.2186</v>
      </c>
      <c r="O33" s="2921" t="s">
        <v>1058</v>
      </c>
      <c r="P33" s="2912"/>
    </row>
    <row r="34" spans="1:20" ht="15" customHeight="1" thickBot="1">
      <c r="A34" s="1"/>
      <c r="B34" s="91" t="str">
        <f>Texte!A246</f>
        <v>Ackerbohnen</v>
      </c>
      <c r="C34" s="76"/>
      <c r="D34" s="76">
        <v>536</v>
      </c>
      <c r="E34" s="85"/>
      <c r="F34" s="2918"/>
      <c r="G34" s="107"/>
      <c r="H34" s="2929"/>
      <c r="I34" s="2916"/>
      <c r="J34" s="109"/>
      <c r="K34" s="95" t="str">
        <f>Texte!A318</f>
        <v>Streue- und Torfland</v>
      </c>
      <c r="L34" s="111"/>
      <c r="M34" s="96">
        <v>851</v>
      </c>
      <c r="N34" s="3451">
        <v>0.502</v>
      </c>
      <c r="O34" s="2922"/>
      <c r="P34" s="2903">
        <f>N34*O34</f>
        <v>0</v>
      </c>
      <c r="Q34" s="25"/>
      <c r="R34" s="1"/>
      <c r="S34" s="1"/>
      <c r="T34" s="157"/>
    </row>
    <row r="35" spans="1:20" ht="15" customHeight="1">
      <c r="A35" s="1"/>
      <c r="B35" s="91" t="str">
        <f>Texte!A247</f>
        <v>Sojabohnen</v>
      </c>
      <c r="C35" s="76"/>
      <c r="D35" s="76">
        <v>528</v>
      </c>
      <c r="E35" s="85"/>
      <c r="F35" s="2918"/>
      <c r="G35" s="107"/>
      <c r="H35" s="2929"/>
      <c r="I35" s="2916"/>
      <c r="J35" s="109"/>
      <c r="K35" s="95" t="str">
        <f>Texte!A319</f>
        <v>Hecken u. Feldgehölze, mit Krautsaum</v>
      </c>
      <c r="L35" s="111"/>
      <c r="M35" s="96">
        <v>852</v>
      </c>
      <c r="N35" s="3451">
        <v>2.4764</v>
      </c>
      <c r="O35" s="2923"/>
      <c r="P35" s="2904"/>
      <c r="Q35" s="25"/>
      <c r="R35" s="1"/>
      <c r="S35" s="1"/>
      <c r="T35" s="157"/>
    </row>
    <row r="36" spans="1:20" ht="15" customHeight="1" thickBot="1">
      <c r="A36" s="1"/>
      <c r="B36" s="91" t="str">
        <f>Texte!A248</f>
        <v>Hirse</v>
      </c>
      <c r="C36" s="76"/>
      <c r="D36" s="76"/>
      <c r="E36" s="85"/>
      <c r="F36" s="2918"/>
      <c r="G36" s="107"/>
      <c r="H36" s="2929"/>
      <c r="I36" s="2916"/>
      <c r="J36" s="109"/>
      <c r="K36" s="95" t="str">
        <f>Texte!A320</f>
        <v>Hecken u. Feldgehölze, mit Pufferstreifen</v>
      </c>
      <c r="L36" s="111"/>
      <c r="M36" s="96">
        <v>857</v>
      </c>
      <c r="N36" s="3451">
        <v>0.031</v>
      </c>
      <c r="O36" s="2921"/>
      <c r="P36" s="2912"/>
      <c r="Q36" s="25"/>
      <c r="R36" s="1"/>
      <c r="S36" s="1"/>
      <c r="T36" s="157"/>
    </row>
    <row r="37" spans="1:20" ht="15" customHeight="1" thickBot="1">
      <c r="A37" s="1"/>
      <c r="B37" s="3450" t="s">
        <v>12233</v>
      </c>
      <c r="C37" s="108"/>
      <c r="D37" s="108"/>
      <c r="E37" s="3451">
        <v>0.766</v>
      </c>
      <c r="F37" s="2918"/>
      <c r="G37" s="107"/>
      <c r="H37" s="2929"/>
      <c r="I37" s="2916"/>
      <c r="J37" s="109"/>
      <c r="K37" s="1935" t="str">
        <f>Texte!A323</f>
        <v>Uferwiese, ohne Weiden</v>
      </c>
      <c r="L37" s="1934"/>
      <c r="M37" s="1933">
        <v>635</v>
      </c>
      <c r="N37" s="3452">
        <v>0.1232</v>
      </c>
      <c r="O37" s="3452">
        <v>25</v>
      </c>
      <c r="P37" s="2902">
        <f>N37*O37</f>
        <v>3.08</v>
      </c>
      <c r="Q37" s="25" t="str">
        <f>B38</f>
        <v>Gemüsebau, Diverses</v>
      </c>
      <c r="R37" s="1"/>
      <c r="S37" s="1"/>
      <c r="T37" s="157"/>
    </row>
    <row r="38" spans="1:20" ht="15" customHeight="1" thickBot="1">
      <c r="A38" s="1"/>
      <c r="B38" s="75" t="str">
        <f>Texte!A249</f>
        <v>Gemüsebau, Diverses</v>
      </c>
      <c r="C38" s="3119"/>
      <c r="D38" s="76"/>
      <c r="E38" s="98">
        <f>SUM(E39:E56)</f>
        <v>44.391299999999994</v>
      </c>
      <c r="F38" s="2923"/>
      <c r="G38" s="106"/>
      <c r="H38" s="2929"/>
      <c r="I38" s="2916"/>
      <c r="J38" s="109"/>
      <c r="K38" s="118" t="str">
        <f>Texte!A322</f>
        <v>LN plus Bauland ohne Beitragsberechtigung</v>
      </c>
      <c r="L38" s="119"/>
      <c r="M38" s="120"/>
      <c r="N38" s="98">
        <f>SUM(E9,E25,E38,E57,N9-N37,N26,N32:N36,N37)</f>
        <v>137.40760000000003</v>
      </c>
      <c r="O38" s="2923"/>
      <c r="P38" s="2904"/>
      <c r="Q38" s="162">
        <f>SUM(N32:N33)</f>
        <v>1.1499999999999999</v>
      </c>
      <c r="R38" s="1"/>
      <c r="S38" s="1"/>
      <c r="T38" s="157"/>
    </row>
    <row r="39" spans="1:20" ht="15" customHeight="1">
      <c r="A39" s="1"/>
      <c r="B39" s="91" t="str">
        <f>Texte!A250</f>
        <v>Freilandgemüse</v>
      </c>
      <c r="C39" s="76" t="s">
        <v>1060</v>
      </c>
      <c r="D39" s="76">
        <v>545</v>
      </c>
      <c r="E39" s="3451">
        <v>41.6553</v>
      </c>
      <c r="F39" s="2932" t="s">
        <v>1058</v>
      </c>
      <c r="G39" s="106"/>
      <c r="H39" s="2929"/>
      <c r="I39" s="2916"/>
      <c r="J39" s="109"/>
      <c r="K39" s="91" t="str">
        <f>Texte!A324</f>
        <v>Wald</v>
      </c>
      <c r="L39" s="92"/>
      <c r="M39" s="76">
        <v>901</v>
      </c>
      <c r="N39" s="85"/>
      <c r="O39" s="2924"/>
      <c r="P39" s="2913"/>
      <c r="Q39" s="25"/>
      <c r="R39" s="25">
        <f>IF(Allg!G45=0,0,Allg!G45)</f>
        <v>0</v>
      </c>
      <c r="S39" s="25"/>
      <c r="T39" s="157"/>
    </row>
    <row r="40" spans="1:20" ht="15" customHeight="1" thickBot="1">
      <c r="A40" s="1"/>
      <c r="B40" s="91" t="str">
        <f>Texte!A251</f>
        <v>Freiland-Konservengemüse</v>
      </c>
      <c r="C40" s="76"/>
      <c r="D40" s="76">
        <v>546</v>
      </c>
      <c r="E40" s="85"/>
      <c r="F40" s="2932" t="s">
        <v>1058</v>
      </c>
      <c r="G40" s="106"/>
      <c r="H40" s="2929"/>
      <c r="I40" s="2916"/>
      <c r="J40" s="109"/>
      <c r="K40" s="115" t="str">
        <f>Texte!A325</f>
        <v>Unproduktive Flächen</v>
      </c>
      <c r="L40" s="116"/>
      <c r="M40" s="117">
        <v>902</v>
      </c>
      <c r="N40" s="85"/>
      <c r="O40" s="2924"/>
      <c r="P40" s="2913"/>
      <c r="Q40" s="1"/>
      <c r="R40" s="1"/>
      <c r="S40" s="1"/>
      <c r="T40" s="157"/>
    </row>
    <row r="41" spans="1:20" ht="15" customHeight="1" thickBot="1">
      <c r="A41" s="1"/>
      <c r="B41" s="91" t="str">
        <f>Texte!A252</f>
        <v>Erdbeeren, 1-jährig</v>
      </c>
      <c r="C41" s="76" t="s">
        <v>1060</v>
      </c>
      <c r="D41" s="76">
        <v>551</v>
      </c>
      <c r="E41" s="3451">
        <v>0.23</v>
      </c>
      <c r="F41" s="2932" t="s">
        <v>3628</v>
      </c>
      <c r="G41" s="106"/>
      <c r="H41" s="2929"/>
      <c r="I41" s="2916"/>
      <c r="J41" s="109"/>
      <c r="K41" s="118" t="str">
        <f>Texte!A326</f>
        <v>Betriebsfläche</v>
      </c>
      <c r="L41" s="119"/>
      <c r="M41" s="120"/>
      <c r="N41" s="98" t="str">
        <f>IF(SUM(N39:N40)&gt;0,SUM(N38:N40),"")</f>
        <v/>
      </c>
      <c r="O41" s="2321"/>
      <c r="P41" s="2914"/>
      <c r="Q41" s="1"/>
      <c r="R41" s="1"/>
      <c r="S41" s="1"/>
      <c r="T41" s="157"/>
    </row>
    <row r="42" spans="1:20" ht="15" customHeight="1" thickBot="1">
      <c r="A42" s="1"/>
      <c r="B42" s="91" t="str">
        <f>Texte!A253</f>
        <v>Heil-, Gewürzpflanzen, 1-jährig</v>
      </c>
      <c r="C42" s="76" t="s">
        <v>1060</v>
      </c>
      <c r="D42" s="76">
        <v>553</v>
      </c>
      <c r="E42" s="85"/>
      <c r="F42" s="2932" t="s">
        <v>6814</v>
      </c>
      <c r="G42" s="106"/>
      <c r="H42" s="2929"/>
      <c r="I42" s="2916"/>
      <c r="J42" s="109"/>
      <c r="K42" s="1"/>
      <c r="L42" s="1"/>
      <c r="M42" s="1"/>
      <c r="N42" s="121" t="str">
        <f>IF(ROUND(Allg!LandwTotal+Bauzone,2)&lt;&gt;ROUND(LNmitBauland,2),Texte!A327,"")</f>
        <v>LN kontrollieren!</v>
      </c>
      <c r="O42" s="2546"/>
      <c r="P42" s="2546"/>
      <c r="Q42" s="162">
        <f>SUM(N34:N36)</f>
        <v>5.9783999999999997</v>
      </c>
      <c r="R42" s="1"/>
      <c r="S42" s="1"/>
      <c r="T42" s="157"/>
    </row>
    <row r="43" spans="1:20" ht="15" customHeight="1" thickBot="1">
      <c r="A43" s="1"/>
      <c r="B43" s="91" t="str">
        <f>Texte!A254</f>
        <v>Schnittblumen, 1-jährig</v>
      </c>
      <c r="C43" s="76"/>
      <c r="D43" s="76">
        <v>554</v>
      </c>
      <c r="E43" s="85"/>
      <c r="F43" s="2933" t="s">
        <v>1058</v>
      </c>
      <c r="G43" s="106"/>
      <c r="H43" s="2929"/>
      <c r="I43" s="2916"/>
      <c r="J43" s="109"/>
      <c r="K43" s="122" t="str">
        <f>Texte!A328</f>
        <v>Zweit-, Dritt- oder Zwischenkulturen</v>
      </c>
      <c r="L43" s="123"/>
      <c r="M43" s="124"/>
      <c r="N43" s="123"/>
      <c r="O43" s="2925"/>
      <c r="P43" s="2915"/>
      <c r="Q43" s="1"/>
      <c r="R43" s="1"/>
      <c r="S43" s="1"/>
      <c r="T43" s="157"/>
    </row>
    <row r="44" spans="1:20" ht="15" customHeight="1">
      <c r="A44" s="1"/>
      <c r="B44" s="91" t="str">
        <f>Texte!A255</f>
        <v>Öllein</v>
      </c>
      <c r="C44" s="76"/>
      <c r="D44" s="76">
        <v>534</v>
      </c>
      <c r="E44" s="85"/>
      <c r="F44" s="2918"/>
      <c r="G44" s="107"/>
      <c r="H44" s="2929"/>
      <c r="I44" s="2916"/>
      <c r="J44" s="80"/>
      <c r="K44" s="91" t="str">
        <f>Texte!A329</f>
        <v>Grünmais</v>
      </c>
      <c r="L44" s="92"/>
      <c r="M44" s="76"/>
      <c r="N44" s="85"/>
      <c r="O44" s="2918"/>
      <c r="P44" s="2902">
        <f t="shared" ref="P44:P50" si="5">N44*O44</f>
        <v>0</v>
      </c>
      <c r="Q44" s="1"/>
      <c r="R44" s="1"/>
      <c r="S44" s="1"/>
      <c r="T44" s="157"/>
    </row>
    <row r="45" spans="1:20" ht="15" customHeight="1">
      <c r="A45" s="1"/>
      <c r="B45" s="91" t="str">
        <f>Texte!A256</f>
        <v>Faserlein</v>
      </c>
      <c r="C45" s="76"/>
      <c r="D45" s="76">
        <v>534</v>
      </c>
      <c r="E45" s="85"/>
      <c r="F45" s="2918"/>
      <c r="G45" s="107"/>
      <c r="H45" s="2929"/>
      <c r="I45" s="2916"/>
      <c r="J45" s="80"/>
      <c r="K45" s="91" t="str">
        <f>Texte!A330</f>
        <v>Ganzpflanzen-Sorghum, Zweitkultur</v>
      </c>
      <c r="L45" s="92"/>
      <c r="M45" s="76"/>
      <c r="N45" s="85"/>
      <c r="O45" s="2918"/>
      <c r="P45" s="2902">
        <f t="shared" si="5"/>
        <v>0</v>
      </c>
      <c r="Q45" s="1"/>
      <c r="R45" s="1"/>
      <c r="S45" s="1"/>
      <c r="T45" s="157"/>
    </row>
    <row r="46" spans="1:20" ht="15" customHeight="1">
      <c r="A46" s="1"/>
      <c r="B46" s="91" t="str">
        <f>Texte!A257</f>
        <v>Ölhanf</v>
      </c>
      <c r="C46" s="76"/>
      <c r="D46" s="76">
        <v>575</v>
      </c>
      <c r="E46" s="85"/>
      <c r="F46" s="2918"/>
      <c r="G46" s="107"/>
      <c r="H46" s="2929"/>
      <c r="I46" s="2916"/>
      <c r="J46" s="57"/>
      <c r="K46" s="91" t="str">
        <f>Texte!A331</f>
        <v>Zwischenfutter, ohne Kunstwiesen</v>
      </c>
      <c r="L46" s="92"/>
      <c r="M46" s="76"/>
      <c r="N46" s="85"/>
      <c r="O46" s="2918"/>
      <c r="P46" s="2902">
        <f t="shared" si="5"/>
        <v>0</v>
      </c>
      <c r="Q46" s="1"/>
      <c r="R46" s="1"/>
      <c r="S46" s="1"/>
      <c r="T46" s="157"/>
    </row>
    <row r="47" spans="1:20" ht="15" customHeight="1" thickBot="1">
      <c r="A47" s="1"/>
      <c r="B47" s="91" t="str">
        <f>Texte!A258</f>
        <v>Faserhanf</v>
      </c>
      <c r="C47" s="76"/>
      <c r="D47" s="76">
        <v>576</v>
      </c>
      <c r="E47" s="85"/>
      <c r="F47" s="2918"/>
      <c r="G47" s="78"/>
      <c r="H47" s="2927"/>
      <c r="I47" s="2914"/>
      <c r="J47" s="80"/>
      <c r="K47" s="91" t="str">
        <f>Texte!A332</f>
        <v>Zwischenfutter, herbstgesäte Kunstwiesen</v>
      </c>
      <c r="L47" s="92"/>
      <c r="M47" s="76"/>
      <c r="N47" s="85"/>
      <c r="O47" s="2918"/>
      <c r="P47" s="2902">
        <f t="shared" si="5"/>
        <v>0</v>
      </c>
    </row>
    <row r="48" spans="1:20" ht="15" customHeight="1" thickBot="1">
      <c r="A48" s="1"/>
      <c r="B48" s="91" t="str">
        <f>Texte!A259</f>
        <v>Winterraps für RME</v>
      </c>
      <c r="C48" s="76"/>
      <c r="D48" s="76">
        <v>591</v>
      </c>
      <c r="E48" s="85"/>
      <c r="F48" s="2918"/>
      <c r="G48" s="103"/>
      <c r="H48" s="2922"/>
      <c r="I48" s="2903">
        <f>G48*H48</f>
        <v>0</v>
      </c>
      <c r="J48" s="80"/>
      <c r="K48" s="91" t="str">
        <f>Texte!A333</f>
        <v>Äugstlen</v>
      </c>
      <c r="L48" s="92"/>
      <c r="M48" s="76"/>
      <c r="N48" s="85"/>
      <c r="O48" s="2918"/>
      <c r="P48" s="2902">
        <f t="shared" si="5"/>
        <v>0</v>
      </c>
      <c r="Q48" s="25" t="b">
        <f>G48&gt;E48</f>
        <v>0</v>
      </c>
      <c r="R48" s="25" t="e">
        <f>E48,G48</f>
        <v>#VALUE!</v>
      </c>
      <c r="S48" s="88" t="str">
        <f>Texte!A217</f>
        <v>die Fläche des Nebenprodukts darf nicht grösser sein, als die Fläche des Hauptprodukts</v>
      </c>
      <c r="T48" s="157" t="b">
        <v>0</v>
      </c>
    </row>
    <row r="49" spans="1:20" ht="15" customHeight="1">
      <c r="A49" s="1"/>
      <c r="B49" s="91" t="str">
        <f>Texte!A260</f>
        <v>Sonnenblumen</v>
      </c>
      <c r="C49" s="76"/>
      <c r="D49" s="76">
        <v>531</v>
      </c>
      <c r="E49" s="85"/>
      <c r="F49" s="2918"/>
      <c r="G49" s="105"/>
      <c r="H49" s="2930"/>
      <c r="I49" s="2917"/>
      <c r="J49" s="80"/>
      <c r="K49" s="91" t="str">
        <f>Texte!A334</f>
        <v>Frühjahrsschnitt vor Wiesenumbruch</v>
      </c>
      <c r="L49" s="92"/>
      <c r="M49" s="76"/>
      <c r="N49" s="85"/>
      <c r="O49" s="2918"/>
      <c r="P49" s="2902">
        <f t="shared" si="5"/>
        <v>0</v>
      </c>
      <c r="R49" s="987"/>
    </row>
    <row r="50" spans="1:20" ht="15" customHeight="1" thickBot="1">
      <c r="A50" s="1"/>
      <c r="B50" s="91" t="str">
        <f>Texte!A261</f>
        <v>Tabak Burley</v>
      </c>
      <c r="C50" s="76" t="s">
        <v>1060</v>
      </c>
      <c r="D50" s="76">
        <v>541</v>
      </c>
      <c r="E50" s="85"/>
      <c r="F50" s="2918"/>
      <c r="G50" s="107"/>
      <c r="H50" s="2929"/>
      <c r="I50" s="2916"/>
      <c r="J50" s="1"/>
      <c r="K50" s="91" t="str">
        <f>Texte!A335</f>
        <v>Geerntetes Futterrübenlaub</v>
      </c>
      <c r="L50" s="92"/>
      <c r="M50" s="76"/>
      <c r="N50" s="85"/>
      <c r="O50" s="2918"/>
      <c r="P50" s="2903">
        <f t="shared" si="5"/>
        <v>0</v>
      </c>
      <c r="Q50" s="1"/>
      <c r="R50" s="1"/>
      <c r="S50" s="1"/>
    </row>
    <row r="51" spans="1:20" ht="15" customHeight="1" thickBot="1">
      <c r="A51" s="1"/>
      <c r="B51" s="91" t="str">
        <f>Texte!A262</f>
        <v>Tabak Virgine</v>
      </c>
      <c r="C51" s="76" t="s">
        <v>1060</v>
      </c>
      <c r="D51" s="76">
        <v>541</v>
      </c>
      <c r="E51" s="85"/>
      <c r="F51" s="2922"/>
      <c r="G51" s="107"/>
      <c r="H51" s="2929"/>
      <c r="I51" s="2916"/>
      <c r="J51" s="1"/>
      <c r="K51" s="91" t="str">
        <f>Texte!A336</f>
        <v>Gründüngung, Nichtleguminosen</v>
      </c>
      <c r="L51" s="92"/>
      <c r="M51" s="76"/>
      <c r="N51" s="85"/>
      <c r="O51" s="2923"/>
      <c r="P51" s="2904"/>
      <c r="Q51" s="1"/>
      <c r="R51" s="1"/>
      <c r="S51" s="1"/>
    </row>
    <row r="52" spans="1:20" ht="15" customHeight="1">
      <c r="A52" s="1"/>
      <c r="B52" s="91" t="str">
        <f>Texte!A263</f>
        <v>Rotationsbrache</v>
      </c>
      <c r="C52" s="76"/>
      <c r="D52" s="76">
        <v>557</v>
      </c>
      <c r="E52" s="85"/>
      <c r="F52" s="2923"/>
      <c r="G52" s="106"/>
      <c r="H52" s="2929"/>
      <c r="I52" s="2916"/>
      <c r="J52" s="1"/>
      <c r="K52" s="91" t="str">
        <f>Texte!A337</f>
        <v>Gründüngung, Leguminosen</v>
      </c>
      <c r="L52" s="92"/>
      <c r="M52" s="76"/>
      <c r="N52" s="85"/>
      <c r="O52" s="2926"/>
      <c r="P52" s="2905"/>
      <c r="Q52" s="1"/>
      <c r="R52" s="1"/>
      <c r="S52" s="1"/>
    </row>
    <row r="53" spans="1:20" ht="15" customHeight="1">
      <c r="A53" s="1"/>
      <c r="B53" s="91" t="str">
        <f>Texte!A264</f>
        <v>Buntbrache</v>
      </c>
      <c r="C53" s="76"/>
      <c r="D53" s="76">
        <v>556</v>
      </c>
      <c r="E53" s="85"/>
      <c r="F53" s="2926"/>
      <c r="G53" s="106"/>
      <c r="H53" s="2929"/>
      <c r="I53" s="2916"/>
      <c r="J53" s="1"/>
      <c r="K53" s="91" t="str">
        <f>Texte!A338</f>
        <v>Freilandgemüse</v>
      </c>
      <c r="L53" s="92"/>
      <c r="M53" s="76"/>
      <c r="N53" s="85"/>
      <c r="O53" s="2926"/>
      <c r="P53" s="2905"/>
      <c r="Q53" s="1"/>
      <c r="R53" s="1"/>
      <c r="S53" s="1"/>
    </row>
    <row r="54" spans="1:20" ht="15" customHeight="1">
      <c r="A54" s="1"/>
      <c r="B54" s="91" t="str">
        <f>Texte!A265</f>
        <v>Saum auf Ackerfläche</v>
      </c>
      <c r="C54" s="76"/>
      <c r="D54" s="76">
        <v>559</v>
      </c>
      <c r="E54" s="3451">
        <v>0.1658</v>
      </c>
      <c r="F54" s="2926"/>
      <c r="G54" s="106"/>
      <c r="H54" s="2929"/>
      <c r="I54" s="2916"/>
      <c r="J54" s="1"/>
      <c r="K54" s="91" t="str">
        <f>Texte!A340</f>
        <v>Hochstamm-Feldobst-, Nussbäume, … ³</v>
      </c>
      <c r="L54" s="92"/>
      <c r="M54" s="76" t="str">
        <f>Texte!A342</f>
        <v xml:space="preserve"> (Stück)</v>
      </c>
      <c r="N54" s="3451">
        <v>255</v>
      </c>
      <c r="O54" s="2926"/>
      <c r="P54" s="2905"/>
      <c r="Q54" s="1"/>
      <c r="R54" s="1"/>
      <c r="S54" s="1"/>
    </row>
    <row r="55" spans="1:20" ht="15" customHeight="1" thickBot="1">
      <c r="A55" s="1"/>
      <c r="B55" s="3125"/>
      <c r="C55" s="3126"/>
      <c r="D55" s="3130"/>
      <c r="E55" s="3129"/>
      <c r="F55" s="2926"/>
      <c r="G55" s="106"/>
      <c r="H55" s="2929"/>
      <c r="I55" s="2916"/>
      <c r="J55" s="1"/>
      <c r="K55" s="127" t="str">
        <f>Texte!A341</f>
        <v>Einheimische Einzelbäume</v>
      </c>
      <c r="L55" s="128"/>
      <c r="M55" s="3394" t="str">
        <f>Texte!A342</f>
        <v xml:space="preserve"> (Stück)</v>
      </c>
      <c r="N55" s="3451"/>
      <c r="O55" s="2321"/>
      <c r="P55" s="2906"/>
      <c r="Q55" s="1"/>
      <c r="R55" s="1"/>
      <c r="S55" s="536"/>
    </row>
    <row r="56" spans="1:20" ht="15" customHeight="1" thickBot="1">
      <c r="A56" s="1"/>
      <c r="B56" s="731" t="str">
        <f>Texte!A267</f>
        <v>Nützlingsstreifen (oAF)</v>
      </c>
      <c r="C56" s="3127"/>
      <c r="D56" s="3127">
        <v>572</v>
      </c>
      <c r="E56" s="3128"/>
      <c r="F56" s="2926"/>
      <c r="G56" s="106"/>
      <c r="H56" s="2929"/>
      <c r="I56" s="2916"/>
      <c r="J56" s="1"/>
      <c r="K56" s="1"/>
      <c r="L56" s="1"/>
      <c r="M56" s="1"/>
      <c r="N56" s="1"/>
      <c r="O56" s="1"/>
      <c r="P56" s="1"/>
      <c r="S56" s="987"/>
      <c r="T56"/>
    </row>
    <row r="57" spans="1:20" ht="15" customHeight="1" thickBot="1">
      <c r="A57" s="1"/>
      <c r="B57" s="75" t="str">
        <f>Texte!A270</f>
        <v>Dauerkulturen</v>
      </c>
      <c r="C57" s="696"/>
      <c r="D57" s="76"/>
      <c r="E57" s="98">
        <f>SUM(E58:E69)</f>
        <v>0.50900000000000001</v>
      </c>
      <c r="F57" s="2926"/>
      <c r="G57" s="106"/>
      <c r="H57" s="2929"/>
      <c r="I57" s="2916"/>
      <c r="K57" s="1"/>
      <c r="L57" s="1"/>
      <c r="M57" s="1"/>
      <c r="N57" s="1"/>
      <c r="O57" s="1"/>
      <c r="P57" s="1"/>
      <c r="Q57" s="1"/>
      <c r="R57" s="1"/>
      <c r="S57" s="1"/>
    </row>
    <row r="58" spans="1:20" ht="15" customHeight="1">
      <c r="A58" s="1"/>
      <c r="B58" s="91" t="str">
        <f>Texte!A271</f>
        <v>Reben</v>
      </c>
      <c r="C58" s="76" t="s">
        <v>1060</v>
      </c>
      <c r="D58" s="76">
        <v>701</v>
      </c>
      <c r="E58" s="85"/>
      <c r="F58" s="2926"/>
      <c r="G58" s="106"/>
      <c r="H58" s="2929"/>
      <c r="I58" s="2916"/>
      <c r="K58" s="1"/>
      <c r="L58" s="1"/>
      <c r="M58" s="1"/>
      <c r="N58" s="1"/>
      <c r="O58" s="1"/>
      <c r="P58" s="1"/>
      <c r="Q58" s="1"/>
      <c r="R58" s="1"/>
      <c r="S58" s="1"/>
    </row>
    <row r="59" spans="1:20" ht="15" customHeight="1">
      <c r="A59" s="1"/>
      <c r="B59" s="91" t="str">
        <f>Texte!A272</f>
        <v>Hopfen</v>
      </c>
      <c r="C59" s="76" t="s">
        <v>1060</v>
      </c>
      <c r="D59" s="76">
        <v>708</v>
      </c>
      <c r="E59" s="85"/>
      <c r="F59" s="2926"/>
      <c r="G59" s="106"/>
      <c r="H59" s="2929"/>
      <c r="I59" s="2916"/>
      <c r="Q59" s="1"/>
      <c r="R59" s="1"/>
      <c r="S59" s="536"/>
    </row>
    <row r="60" spans="1:20" ht="15" customHeight="1">
      <c r="B60" s="91" t="str">
        <f>Texte!A273</f>
        <v>Obstanlagen</v>
      </c>
      <c r="C60" s="76" t="s">
        <v>1060</v>
      </c>
      <c r="D60" s="1943" t="s">
        <v>3298</v>
      </c>
      <c r="E60" s="85"/>
      <c r="F60" s="2932" t="s">
        <v>3628</v>
      </c>
      <c r="G60" s="106"/>
      <c r="H60" s="2929"/>
      <c r="I60" s="2916"/>
      <c r="Q60" s="1"/>
      <c r="R60" s="1"/>
      <c r="S60" s="1836">
        <f>SUM(Fläche!$E$9,Fläche!$E$25,Fläche!$E$39:$E$42,Fläche!$E$44:$E$45,Fläche!$E$48:$E$56,Fläche!$E$58:$E$65,Fläche!$E$67:$E$68,Fläche!$N$9,Fläche!$N$26,Fläche!$N$32,Fläche!$N$34:$N$35,Fläche!$N$37,-Fläche!$R$39,0.01*Fläche!Hochstamm)</f>
        <v>134.53080000000003</v>
      </c>
    </row>
    <row r="61" spans="1:20" ht="15" customHeight="1">
      <c r="B61" s="91" t="str">
        <f>Texte!A274</f>
        <v>Rhabarber, Spargel</v>
      </c>
      <c r="C61" s="76" t="s">
        <v>1060</v>
      </c>
      <c r="D61" s="1943" t="s">
        <v>3299</v>
      </c>
      <c r="E61" s="85"/>
      <c r="F61" s="2932"/>
      <c r="G61" s="106"/>
      <c r="H61" s="2929"/>
      <c r="I61" s="2916"/>
      <c r="Q61" s="1"/>
      <c r="R61" s="1"/>
      <c r="S61" s="1"/>
    </row>
    <row r="62" spans="1:20" ht="15" customHeight="1">
      <c r="B62" s="91" t="str">
        <f>Texte!A275</f>
        <v>Erdbeeren, mehrjährig</v>
      </c>
      <c r="C62" s="76" t="s">
        <v>1060</v>
      </c>
      <c r="D62" s="76">
        <v>705</v>
      </c>
      <c r="E62" s="85"/>
      <c r="F62" s="2932" t="s">
        <v>3628</v>
      </c>
      <c r="G62" s="106"/>
      <c r="H62" s="2929"/>
      <c r="I62" s="2916"/>
      <c r="Q62" s="1"/>
      <c r="R62" s="1"/>
      <c r="S62" s="1"/>
    </row>
    <row r="63" spans="1:20" ht="15" customHeight="1">
      <c r="B63" s="91" t="str">
        <f>Texte!A276</f>
        <v>Strauchbeeren</v>
      </c>
      <c r="C63" s="76" t="s">
        <v>1060</v>
      </c>
      <c r="D63" s="76">
        <v>705</v>
      </c>
      <c r="E63" s="85"/>
      <c r="F63" s="2932" t="s">
        <v>3628</v>
      </c>
      <c r="G63" s="106"/>
      <c r="H63" s="2929"/>
      <c r="I63" s="2916"/>
      <c r="K63" s="1006" t="str">
        <f>Q!txt¹</f>
        <v>¹</v>
      </c>
      <c r="Q63" s="1"/>
      <c r="R63" s="1"/>
      <c r="S63" s="1"/>
    </row>
    <row r="64" spans="1:20" ht="15" customHeight="1">
      <c r="B64" s="91" t="str">
        <f>Texte!A278</f>
        <v>Heil-, Gewürzpflanzen, mehrj.</v>
      </c>
      <c r="C64" s="76" t="s">
        <v>1060</v>
      </c>
      <c r="D64" s="76">
        <v>706</v>
      </c>
      <c r="E64" s="3451">
        <v>0.509</v>
      </c>
      <c r="F64" s="2932" t="s">
        <v>6814</v>
      </c>
      <c r="G64" s="106"/>
      <c r="H64" s="2929"/>
      <c r="I64" s="2916"/>
      <c r="Q64" s="1"/>
      <c r="R64" s="1"/>
      <c r="S64" s="1"/>
    </row>
    <row r="65" spans="2:19" ht="15" customHeight="1">
      <c r="B65" s="91" t="str">
        <f>Texte!A279</f>
        <v>Chinaschilf</v>
      </c>
      <c r="C65" s="76"/>
      <c r="D65" s="76">
        <v>707</v>
      </c>
      <c r="E65" s="85"/>
      <c r="F65" s="2926"/>
      <c r="G65" s="106"/>
      <c r="H65" s="2929"/>
      <c r="I65" s="2916"/>
      <c r="Q65" s="1"/>
      <c r="R65" s="1"/>
      <c r="S65" s="1"/>
    </row>
    <row r="66" spans="2:19" ht="12.75">
      <c r="B66" s="91" t="str">
        <f>Texte!A280</f>
        <v>Christbäume</v>
      </c>
      <c r="C66" s="76"/>
      <c r="D66" s="76">
        <v>712</v>
      </c>
      <c r="E66" s="85"/>
      <c r="F66" s="2932"/>
      <c r="G66" s="106"/>
      <c r="H66" s="2929"/>
      <c r="I66" s="2916"/>
      <c r="K66" s="2167"/>
      <c r="Q66" s="1"/>
      <c r="R66" s="1"/>
      <c r="S66" s="1"/>
    </row>
    <row r="67" spans="2:19" ht="12.75">
      <c r="B67" s="91" t="str">
        <f>Texte!A281</f>
        <v xml:space="preserve">Selven gepflegt &lt; 100 Bäume / ha </v>
      </c>
      <c r="C67" s="748"/>
      <c r="D67" s="76">
        <v>618</v>
      </c>
      <c r="E67" s="85"/>
      <c r="F67" s="2926"/>
      <c r="G67" s="106"/>
      <c r="H67" s="2929"/>
      <c r="I67" s="2916"/>
      <c r="K67" s="3099" t="str">
        <f>Q!txt²</f>
        <v>²</v>
      </c>
      <c r="Q67" s="1"/>
      <c r="R67" s="1"/>
      <c r="S67" s="1"/>
    </row>
    <row r="68" spans="2:19" ht="12.75">
      <c r="B68" s="2408" t="str">
        <f>Texte!A282</f>
        <v>Permakultur</v>
      </c>
      <c r="C68" s="2409" t="s">
        <v>1060</v>
      </c>
      <c r="D68" s="76">
        <v>725</v>
      </c>
      <c r="E68" s="85"/>
      <c r="F68" s="2926"/>
      <c r="G68" s="106"/>
      <c r="H68" s="2929"/>
      <c r="I68" s="2916"/>
      <c r="K68" s="3100"/>
      <c r="Q68" s="1"/>
      <c r="R68" s="1"/>
      <c r="S68" s="1"/>
    </row>
    <row r="69" spans="2:19" ht="13.5" thickBot="1">
      <c r="B69" s="115" t="str">
        <f>Texte!A284</f>
        <v>Andere Dauerkulturen</v>
      </c>
      <c r="C69" s="117"/>
      <c r="D69" s="1944" t="s">
        <v>3300</v>
      </c>
      <c r="E69" s="129"/>
      <c r="F69" s="2933" t="s">
        <v>2594</v>
      </c>
      <c r="G69" s="79"/>
      <c r="H69" s="2927"/>
      <c r="I69" s="2914"/>
      <c r="K69" s="1006" t="str">
        <f>Q!txt³</f>
        <v>³</v>
      </c>
      <c r="S69" s="536"/>
    </row>
    <row r="70" spans="2:19" ht="13.5">
      <c r="B70" s="3122"/>
    </row>
    <row r="71" spans="2:19" ht="12.75">
      <c r="B71" s="721" t="str">
        <f>K23&amp;" "&amp;L23</f>
        <v>Saatgutproduktion  Leguminosen</v>
      </c>
      <c r="C71" s="697"/>
      <c r="D71" s="656"/>
      <c r="E71" s="722">
        <f>N23</f>
        <v>0</v>
      </c>
    </row>
    <row r="72" spans="2:19" ht="12.75">
      <c r="B72" s="721" t="str">
        <f>K23&amp;" "&amp;L24</f>
        <v>Saatgutproduktion  Gräser</v>
      </c>
      <c r="C72" s="697"/>
      <c r="D72" s="656"/>
      <c r="E72" s="722">
        <f>N24</f>
        <v>0</v>
      </c>
    </row>
    <row r="73" spans="2:19" ht="12.75">
      <c r="B73" s="721" t="str">
        <f>K32</f>
        <v>Kulturen in geschütztem Anbau o. Fundam.  S</v>
      </c>
      <c r="C73" s="697"/>
      <c r="D73" s="1941"/>
      <c r="E73" s="722">
        <f>N32</f>
        <v>1.1499999999999999</v>
      </c>
    </row>
    <row r="74" spans="2:19">
      <c r="B74" s="721" t="str">
        <f>K33</f>
        <v>Kulturen in geschütztem Anbau m. Fundam. S</v>
      </c>
      <c r="E74" s="722">
        <f>N33</f>
        <v>0</v>
      </c>
    </row>
    <row r="75" spans="2:19">
      <c r="B75" s="721" t="str">
        <f>K54</f>
        <v>Hochstamm-Feldobst-, Nussbäume, … ³</v>
      </c>
      <c r="E75" s="722">
        <f>N54</f>
        <v>0</v>
      </c>
      <c r="S75" s="987"/>
    </row>
    <row r="76" spans="2:19">
      <c r="B76" s="987"/>
    </row>
    <row r="92" spans="2:2">
      <c r="B92" s="998"/>
    </row>
  </sheetData>
  <sheetProtection algorithmName="SHA-512" hashValue="9LYZXo8VNNXZXEbFv3BMfXhqIQx6+2beL97EWToQWaQBH6Suo4IpI33Zm15BbBPlkEFpKD6y59tRJ+QlJ8BGCw==" saltValue="w8UseqgzB5NecU7GHGVQcw==" spinCount="100000" sheet="1" objects="1" scenarios="1"/>
  <phoneticPr fontId="65" type="noConversion"/>
  <pageMargins left="0.49212598425196852" right="0.19685039370078741" top="0.59055118110236227" bottom="0.62992125984251968" header="0" footer="0.43307086614173229"/>
  <pageSetup paperSize="9" scale="78"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5126" r:id="rId4" name="chk_WW">
              <controlPr defaultSize="0" autoFill="0" autoLine="0" autoPict="0">
                <anchor moveWithCells="1">
                  <from>
                    <xdr:col>1</xdr:col>
                    <xdr:colOff>1866900</xdr:colOff>
                    <xdr:row>9</xdr:row>
                    <xdr:rowOff>0</xdr:rowOff>
                  </from>
                  <to>
                    <xdr:col>3</xdr:col>
                    <xdr:colOff>123825</xdr:colOff>
                    <xdr:row>10</xdr:row>
                    <xdr:rowOff>38100</xdr:rowOff>
                  </to>
                </anchor>
              </controlPr>
            </control>
          </ns1:Choice>
        </ns1:AlternateContent>
        <ns1:AlternateContent>
          <ns1:Choice Requires="x14">
            <control shapeId="5127" r:id="rId5" name="chk_FW">
              <controlPr defaultSize="0" autoFill="0" autoLine="0" autoPict="0">
                <anchor moveWithCells="1">
                  <from>
                    <xdr:col>1</xdr:col>
                    <xdr:colOff>1866900</xdr:colOff>
                    <xdr:row>10</xdr:row>
                    <xdr:rowOff>0</xdr:rowOff>
                  </from>
                  <to>
                    <xdr:col>3</xdr:col>
                    <xdr:colOff>123825</xdr:colOff>
                    <xdr:row>11</xdr:row>
                    <xdr:rowOff>38100</xdr:rowOff>
                  </to>
                </anchor>
              </controlPr>
            </control>
          </ns1:Choice>
        </ns1:AlternateContent>
        <ns1:AlternateContent>
          <ns1:Choice Requires="x14">
            <control shapeId="5128" r:id="rId6" name="chk_WG">
              <controlPr defaultSize="0" autoFill="0" autoLine="0" autoPict="0">
                <anchor moveWithCells="1">
                  <from>
                    <xdr:col>1</xdr:col>
                    <xdr:colOff>1866900</xdr:colOff>
                    <xdr:row>12</xdr:row>
                    <xdr:rowOff>0</xdr:rowOff>
                  </from>
                  <to>
                    <xdr:col>3</xdr:col>
                    <xdr:colOff>123825</xdr:colOff>
                    <xdr:row>13</xdr:row>
                    <xdr:rowOff>38100</xdr:rowOff>
                  </to>
                </anchor>
              </controlPr>
            </control>
          </ns1:Choice>
        </ns1:AlternateContent>
        <ns1:AlternateContent>
          <ns1:Choice Requires="x14">
            <control shapeId="5129" r:id="rId7" name="chk_WRP">
              <controlPr defaultSize="0" autoFill="0" autoLine="0" autoPict="0">
                <anchor moveWithCells="1">
                  <from>
                    <xdr:col>1</xdr:col>
                    <xdr:colOff>1866900</xdr:colOff>
                    <xdr:row>16</xdr:row>
                    <xdr:rowOff>0</xdr:rowOff>
                  </from>
                  <to>
                    <xdr:col>3</xdr:col>
                    <xdr:colOff>123825</xdr:colOff>
                    <xdr:row>17</xdr:row>
                    <xdr:rowOff>38100</xdr:rowOff>
                  </to>
                </anchor>
              </controlPr>
            </control>
          </ns1:Choice>
        </ns1:AlternateContent>
        <ns1:AlternateContent>
          <ns1:Choice Requires="x14">
            <control shapeId="5130" r:id="rId8" name="chk_WRH">
              <controlPr defaultSize="0" autoFill="0" autoLine="0" autoPict="0">
                <anchor moveWithCells="1">
                  <from>
                    <xdr:col>1</xdr:col>
                    <xdr:colOff>1866900</xdr:colOff>
                    <xdr:row>17</xdr:row>
                    <xdr:rowOff>0</xdr:rowOff>
                  </from>
                  <to>
                    <xdr:col>3</xdr:col>
                    <xdr:colOff>123825</xdr:colOff>
                    <xdr:row>18</xdr:row>
                    <xdr:rowOff>38100</xdr:rowOff>
                  </to>
                </anchor>
              </controlPr>
            </control>
          </ns1:Choice>
        </ns1:AlternateContent>
        <ns1:AlternateContent>
          <ns1:Choice Requires="x14">
            <control shapeId="5131" r:id="rId9" name="chk_WT">
              <controlPr defaultSize="0" autoFill="0" autoLine="0" autoPict="0">
                <anchor moveWithCells="1">
                  <from>
                    <xdr:col>1</xdr:col>
                    <xdr:colOff>1866900</xdr:colOff>
                    <xdr:row>20</xdr:row>
                    <xdr:rowOff>0</xdr:rowOff>
                  </from>
                  <to>
                    <xdr:col>3</xdr:col>
                    <xdr:colOff>123825</xdr:colOff>
                    <xdr:row>21</xdr:row>
                    <xdr:rowOff>38100</xdr:rowOff>
                  </to>
                </anchor>
              </controlPr>
            </control>
          </ns1:Choice>
        </ns1:AlternateContent>
        <ns1:AlternateContent>
          <ns1:Choice Requires="x14">
            <control shapeId="5132" r:id="rId10" name="chk_Ra_Oel">
              <controlPr defaultSize="0" autoFill="0" autoLine="0" autoPict="0">
                <anchor moveWithCells="1">
                  <from>
                    <xdr:col>1</xdr:col>
                    <xdr:colOff>1866900</xdr:colOff>
                    <xdr:row>25</xdr:row>
                    <xdr:rowOff>0</xdr:rowOff>
                  </from>
                  <to>
                    <xdr:col>3</xdr:col>
                    <xdr:colOff>123825</xdr:colOff>
                    <xdr:row>26</xdr:row>
                    <xdr:rowOff>38100</xdr:rowOff>
                  </to>
                </anchor>
              </controlPr>
            </control>
          </ns1:Choice>
        </ns1:AlternateContent>
        <ns1:AlternateContent>
          <ns1:Choice Requires="x14">
            <control shapeId="5133" r:id="rId11" name="chk_Ra_RME">
              <controlPr defaultSize="0" autoFill="0" autoLine="0" autoPict="0">
                <anchor moveWithCells="1">
                  <from>
                    <xdr:col>1</xdr:col>
                    <xdr:colOff>1866900</xdr:colOff>
                    <xdr:row>47</xdr:row>
                    <xdr:rowOff>0</xdr:rowOff>
                  </from>
                  <to>
                    <xdr:col>3</xdr:col>
                    <xdr:colOff>123825</xdr:colOff>
                    <xdr:row>48</xdr:row>
                    <xdr:rowOff>38100</xdr:rowOff>
                  </to>
                </anchor>
              </controlPr>
            </control>
          </ns1:Choice>
        </ns1:AlternateContent>
      </controls>
    </ns1:Choice>
  </ns1:AlternateContent>
</worksheet>
</file>

<file path=xl/worksheets/sheet5.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7">
    <tabColor indexed="26"/>
    <pageSetUpPr fitToPage="1"/>
  </sheetPr>
  <dimension ref="A1:CL90"/>
  <sheetViews>
    <sheetView showGridLines="0" showRowColHeaders="0" showZeros="0" topLeftCell="B21" zoomScaleNormal="100" workbookViewId="0">
      <selection activeCell="G64" sqref="G64"/>
      <extLst>
        <ext uri="{77bfe23e-c014-4d31-8a63-9c772dbf06b6}">
          <ns2:showDataTypeIcons visible="0"/>
        </ext>
      </extLst>
    </sheetView>
  </sheetViews>
  <sheetFormatPr baseColWidth="10" defaultColWidth="11.42578125" defaultRowHeight="12.75"/>
  <cols>
    <col min="1" max="1" width="4.28515625" style="2072" hidden="1" customWidth="1"/>
    <col min="2" max="2" width="13.7109375" customWidth="1"/>
    <col min="3" max="3" width="13.85546875" customWidth="1"/>
    <col min="4" max="4" width="14" customWidth="1"/>
    <col min="5" max="5" width="2" hidden="1" customWidth="1"/>
    <col min="6" max="6" width="6.28515625" customWidth="1"/>
    <col min="7" max="7" width="5.7109375" customWidth="1"/>
    <col min="8" max="9" width="6.28515625" customWidth="1"/>
    <col min="10" max="11" width="5.7109375" customWidth="1"/>
    <col min="12" max="13" width="6.28515625" customWidth="1"/>
    <col min="14" max="14" width="5.7109375" customWidth="1"/>
    <col min="15" max="15" width="4.7109375" customWidth="1"/>
    <col min="16" max="17" width="5.7109375" customWidth="1"/>
    <col min="18" max="18" width="4.7109375" customWidth="1"/>
    <col min="19" max="19" width="6.140625" customWidth="1"/>
    <col min="20" max="20" width="6.140625" style="674" customWidth="1"/>
    <col min="21" max="21" width="6.5703125" style="2074" hidden="1" customWidth="1"/>
    <col min="22" max="22" width="3.140625" style="2074" hidden="1" customWidth="1"/>
    <col min="23" max="48" width="8.7109375" style="2075" hidden="1" customWidth="1"/>
    <col min="49" max="58" width="10.28515625" style="2075" hidden="1" customWidth="1"/>
    <col min="59" max="59" width="4.28515625" hidden="1" customWidth="1"/>
    <col min="60" max="60" width="10.7109375" hidden="1" customWidth="1"/>
    <col min="61" max="61" width="12.28515625" hidden="1" customWidth="1"/>
    <col min="62" max="62" width="14" hidden="1" customWidth="1"/>
    <col min="63" max="63" width="3.140625" hidden="1" customWidth="1"/>
    <col min="64" max="80" width="6.28515625" hidden="1" customWidth="1"/>
    <col min="81" max="81" width="11.42578125" hidden="1" customWidth="1"/>
    <col min="82" max="90" width="11.42578125" style="2074" hidden="1" customWidth="1"/>
    <col min="91" max="16384" width="11.42578125" style="2074"/>
  </cols>
  <sheetData>
    <row r="1" spans="1:88" ht="42" customHeight="1">
      <c r="B1" s="19" t="str">
        <f>Q!NW_Tit</f>
        <v xml:space="preserve">                                   Nachweis</v>
      </c>
      <c r="C1" s="1"/>
      <c r="D1" s="1"/>
      <c r="E1" s="1"/>
      <c r="F1" s="1"/>
      <c r="G1" s="1"/>
      <c r="H1" s="1"/>
      <c r="I1" s="1"/>
      <c r="J1" s="1"/>
      <c r="K1" s="1"/>
      <c r="L1" s="1"/>
      <c r="M1" s="1"/>
      <c r="N1" s="1"/>
      <c r="O1" s="1"/>
      <c r="P1" s="1"/>
      <c r="Q1" s="1"/>
      <c r="R1" s="1"/>
      <c r="S1" s="80"/>
      <c r="T1" s="20" t="str">
        <f>Q!F14</f>
        <v>Tierbestand</v>
      </c>
      <c r="U1" s="2073"/>
      <c r="W1" s="2074"/>
      <c r="X1" s="2074"/>
      <c r="Y1" s="2074"/>
      <c r="Z1" s="2074"/>
      <c r="AA1" s="2074"/>
      <c r="AB1" s="2074"/>
      <c r="AC1" s="2074"/>
      <c r="AD1" s="2074"/>
      <c r="AE1" s="2074"/>
      <c r="AF1" s="2074"/>
      <c r="AG1" s="2074"/>
      <c r="AH1" s="2074"/>
    </row>
    <row r="2" spans="1:88" ht="11.1" customHeight="1" thickBot="1">
      <c r="A2" s="2082"/>
      <c r="B2" s="21"/>
      <c r="C2" s="21"/>
      <c r="D2" s="21"/>
      <c r="E2" s="21"/>
      <c r="F2" s="21"/>
      <c r="G2" s="21"/>
      <c r="H2" s="21"/>
      <c r="I2" s="21"/>
      <c r="J2" s="21"/>
      <c r="K2" s="21"/>
      <c r="L2" s="21"/>
      <c r="M2" s="21"/>
      <c r="N2" s="21"/>
      <c r="O2" s="21"/>
      <c r="P2" s="21"/>
      <c r="Q2" s="21"/>
      <c r="R2" s="44"/>
      <c r="S2" s="44"/>
      <c r="T2" s="44"/>
      <c r="U2" s="2073"/>
      <c r="W2" s="2074"/>
      <c r="X2" s="2074"/>
      <c r="Y2" s="2074"/>
      <c r="Z2" s="2074"/>
      <c r="AA2" s="2074"/>
      <c r="AB2" s="2074"/>
      <c r="AC2" s="2074"/>
      <c r="AD2" s="2074"/>
      <c r="AE2" s="2074"/>
      <c r="AF2" s="2074"/>
      <c r="AG2" s="2074"/>
      <c r="AH2" s="2074"/>
    </row>
    <row r="3" spans="1:88" ht="21.95" customHeight="1">
      <c r="A3" s="2082"/>
      <c r="B3" s="1861" t="str">
        <f>Texte!A13</f>
        <v>Betrieb:</v>
      </c>
      <c r="C3" s="572" t="str">
        <f>Allg!$C$9&amp;""</f>
        <v>Imhof &amp; Zaehner Betriebsgemeinschaft</v>
      </c>
      <c r="D3" s="569"/>
      <c r="E3" s="569"/>
      <c r="F3" s="569"/>
      <c r="G3" s="569"/>
      <c r="H3" s="569"/>
      <c r="I3" s="569"/>
      <c r="J3" s="569"/>
      <c r="K3" s="1863" t="s">
        <v>5349</v>
      </c>
      <c r="L3" s="1433" t="str">
        <f>Allg!$G$7&amp;""</f>
        <v/>
      </c>
      <c r="M3" s="569"/>
      <c r="N3" s="569"/>
      <c r="O3" s="569"/>
      <c r="P3" s="569"/>
      <c r="Q3" s="569"/>
      <c r="R3" s="569"/>
      <c r="S3" s="1863" t="str">
        <f>Texte!A15</f>
        <v>Jahr:</v>
      </c>
      <c r="T3" s="571" t="str">
        <f>Allg!$G$6&amp;""</f>
        <v>2026</v>
      </c>
      <c r="U3" s="2073"/>
      <c r="W3" s="2074"/>
      <c r="X3" s="2076" t="b">
        <v>0</v>
      </c>
      <c r="Y3" s="2074"/>
      <c r="Z3" s="2074" t="str">
        <f>IF(-SUM(Z9:Z49,Z56:Z61)/100=0,"",-SUM(Z9:Z49,Z56:Z61)/100)</f>
        <v/>
      </c>
      <c r="AA3" s="2074"/>
      <c r="AB3" s="2074"/>
      <c r="AC3" s="2074"/>
      <c r="AD3" s="2074"/>
      <c r="AE3" s="2074"/>
      <c r="AF3" s="2074"/>
      <c r="AG3" s="2074"/>
      <c r="AH3" s="2074"/>
      <c r="AS3" s="2075" t="s">
        <v>6981</v>
      </c>
      <c r="AT3" s="2075" t="s">
        <v>6981</v>
      </c>
      <c r="AU3" s="2075" t="s">
        <v>6981</v>
      </c>
      <c r="AV3" s="2075" t="s">
        <v>6981</v>
      </c>
      <c r="AW3" s="2075" t="s">
        <v>6981</v>
      </c>
      <c r="AX3" s="2075" t="s">
        <v>6981</v>
      </c>
      <c r="AY3" s="2075" t="s">
        <v>6981</v>
      </c>
      <c r="AZ3" s="2075" t="s">
        <v>6982</v>
      </c>
      <c r="BA3" s="2075" t="s">
        <v>6982</v>
      </c>
      <c r="BB3" s="2075" t="s">
        <v>6982</v>
      </c>
      <c r="BC3" s="2075" t="s">
        <v>6982</v>
      </c>
      <c r="BD3" s="2075" t="s">
        <v>6982</v>
      </c>
      <c r="BE3" s="2075" t="s">
        <v>6982</v>
      </c>
      <c r="BF3" s="2075" t="s">
        <v>6982</v>
      </c>
    </row>
    <row r="4" spans="1:88" ht="9.9499999999999993" customHeight="1" thickBot="1">
      <c r="A4" s="2082"/>
      <c r="B4" s="80"/>
      <c r="C4" s="80"/>
      <c r="D4" s="80"/>
      <c r="E4" s="80"/>
      <c r="F4" s="80"/>
      <c r="G4" s="80"/>
      <c r="H4" s="80"/>
      <c r="I4" s="80"/>
      <c r="J4" s="80"/>
      <c r="K4" s="80"/>
      <c r="L4" s="80"/>
      <c r="M4" s="80"/>
      <c r="N4" s="80"/>
      <c r="O4" s="80"/>
      <c r="P4" s="80"/>
      <c r="Q4" s="80"/>
      <c r="R4" s="80"/>
      <c r="S4" s="80"/>
      <c r="T4" s="80"/>
      <c r="U4" s="2073"/>
      <c r="W4" s="2074"/>
      <c r="X4" s="2074"/>
      <c r="Y4" s="2074"/>
      <c r="Z4" s="2074"/>
      <c r="AA4" s="2074"/>
      <c r="AB4" s="2074"/>
      <c r="AC4" s="2074"/>
      <c r="AD4" s="2074"/>
      <c r="AE4" s="2074"/>
      <c r="AF4" s="2074"/>
      <c r="AG4" s="2074"/>
      <c r="AH4" s="2074"/>
    </row>
    <row r="5" spans="1:88" ht="15" customHeight="1">
      <c r="A5" s="2083"/>
      <c r="B5" s="2597"/>
      <c r="C5" s="2596"/>
      <c r="D5" s="2596"/>
      <c r="E5" s="2596"/>
      <c r="F5" s="2598" t="str">
        <f>Texte!A353</f>
        <v>Ein-</v>
      </c>
      <c r="G5" s="2599" t="str">
        <f>Texte!A355</f>
        <v xml:space="preserve">Anzahl </v>
      </c>
      <c r="H5" s="2600" t="str">
        <f>Texte!A358</f>
        <v>GVE-</v>
      </c>
      <c r="I5" s="2600" t="str">
        <f>Texte!A361</f>
        <v>Bei-</v>
      </c>
      <c r="J5" s="2601" t="str">
        <f>Texte!A364</f>
        <v>Abzug /</v>
      </c>
      <c r="K5" s="2602"/>
      <c r="L5" s="2600" t="str">
        <f>Texte!A368</f>
        <v>Anzahl</v>
      </c>
      <c r="M5" s="2598" t="str">
        <f>Texte!A371</f>
        <v>GVE</v>
      </c>
      <c r="N5" s="2595">
        <f>Texte!A374</f>
        <v>0</v>
      </c>
      <c r="O5" s="2596"/>
      <c r="P5" s="2595"/>
      <c r="Q5" s="2596"/>
      <c r="R5" s="2596"/>
      <c r="S5" s="2600" t="str">
        <f>Texte!A379</f>
        <v>RAUS</v>
      </c>
      <c r="T5" s="2603" t="str">
        <f>Texte!A381</f>
        <v>BTS</v>
      </c>
      <c r="U5" s="2073"/>
      <c r="W5" s="2074"/>
      <c r="X5" s="2074"/>
      <c r="Y5" s="2074" t="s">
        <v>6104</v>
      </c>
      <c r="Z5" s="2074" t="s">
        <v>6104</v>
      </c>
      <c r="AA5" s="2074" t="s">
        <v>6105</v>
      </c>
      <c r="AB5" s="2074" t="s">
        <v>6104</v>
      </c>
      <c r="AC5" s="2074" t="s">
        <v>6106</v>
      </c>
      <c r="AD5" s="2074" t="s">
        <v>6106</v>
      </c>
      <c r="AE5" s="2074" t="s">
        <v>6107</v>
      </c>
      <c r="AF5" s="2074" t="s">
        <v>5081</v>
      </c>
      <c r="AG5" s="2074" t="s">
        <v>6105</v>
      </c>
      <c r="AH5" s="2074" t="s">
        <v>6104</v>
      </c>
      <c r="AI5" s="2074" t="s">
        <v>6104</v>
      </c>
      <c r="AJ5" s="2074" t="s">
        <v>6104</v>
      </c>
      <c r="AK5" s="2074" t="s">
        <v>7044</v>
      </c>
      <c r="AL5" s="2074" t="s">
        <v>7044</v>
      </c>
      <c r="AM5" s="2074" t="s">
        <v>7044</v>
      </c>
      <c r="AN5" s="2074" t="s">
        <v>7044</v>
      </c>
      <c r="AO5" s="2074" t="s">
        <v>7044</v>
      </c>
      <c r="AP5" s="2074" t="s">
        <v>7044</v>
      </c>
      <c r="AQ5" s="2074" t="s">
        <v>7044</v>
      </c>
      <c r="AR5" s="2074" t="s">
        <v>7044</v>
      </c>
      <c r="AS5" s="2074" t="s">
        <v>7044</v>
      </c>
      <c r="AT5" s="2074" t="s">
        <v>7044</v>
      </c>
      <c r="AU5" s="2074" t="s">
        <v>7044</v>
      </c>
      <c r="AV5" s="2074" t="s">
        <v>7044</v>
      </c>
      <c r="AW5" s="2074" t="s">
        <v>7044</v>
      </c>
      <c r="AX5" s="2074" t="s">
        <v>7044</v>
      </c>
      <c r="AY5" s="2074" t="s">
        <v>7044</v>
      </c>
      <c r="AZ5" s="2074" t="s">
        <v>7044</v>
      </c>
      <c r="BA5" s="2074" t="s">
        <v>7044</v>
      </c>
      <c r="BB5" s="2074" t="s">
        <v>7044</v>
      </c>
      <c r="BC5" s="2074" t="s">
        <v>7044</v>
      </c>
      <c r="BD5" s="2074" t="s">
        <v>7044</v>
      </c>
      <c r="BE5" s="2074" t="s">
        <v>7044</v>
      </c>
      <c r="BF5" s="2074" t="s">
        <v>7044</v>
      </c>
      <c r="BG5" s="693"/>
      <c r="BH5" s="130"/>
      <c r="BI5" s="131"/>
      <c r="BJ5" s="131"/>
      <c r="BK5" s="131"/>
      <c r="BL5" s="132" t="str">
        <f>F5</f>
        <v>Ein-</v>
      </c>
      <c r="BM5" s="2400" t="str">
        <f>F26</f>
        <v>Anzahl</v>
      </c>
      <c r="BN5" s="2401" t="str">
        <f>H5</f>
        <v>GVE-</v>
      </c>
      <c r="BO5" s="2401" t="str">
        <f>I5</f>
        <v>Bei-</v>
      </c>
      <c r="BP5" s="2404" t="str">
        <f>$BM$5</f>
        <v>Anzahl</v>
      </c>
      <c r="BQ5" s="2404" t="str">
        <f>$BM$5</f>
        <v>Anzahl</v>
      </c>
      <c r="BR5" s="2404" t="str">
        <f>$BM$5</f>
        <v>Anzahl</v>
      </c>
      <c r="BS5" s="134" t="str">
        <f>$M$5</f>
        <v>GVE</v>
      </c>
      <c r="BT5" s="2404" t="str">
        <f>$BM$5</f>
        <v>Anzahl</v>
      </c>
      <c r="BU5" s="134" t="str">
        <f>$M$5</f>
        <v>GVE</v>
      </c>
      <c r="BV5" s="2404" t="str">
        <f>$BM$5</f>
        <v>Anzahl</v>
      </c>
      <c r="BW5" s="134" t="str">
        <f>$M$5</f>
        <v>GVE</v>
      </c>
      <c r="BX5" s="134" t="str">
        <f>$M$5</f>
        <v>GVE</v>
      </c>
      <c r="BY5" s="134" t="str">
        <f>$M$5</f>
        <v>GVE</v>
      </c>
      <c r="BZ5" s="134" t="s">
        <v>6685</v>
      </c>
      <c r="CA5" s="134" t="s">
        <v>6685</v>
      </c>
      <c r="CB5" s="993" t="s">
        <v>6685</v>
      </c>
    </row>
    <row r="6" spans="1:88" ht="15" customHeight="1">
      <c r="A6" s="2084" t="s">
        <v>5082</v>
      </c>
      <c r="B6" s="2604" t="str">
        <f>Texte!A352</f>
        <v>Tierart bzw.Tierkategorie</v>
      </c>
      <c r="C6" s="2605"/>
      <c r="D6" s="2606"/>
      <c r="E6" s="2606"/>
      <c r="F6" s="2607" t="str">
        <f>Texte!A354</f>
        <v>heit</v>
      </c>
      <c r="G6" s="2607" t="str">
        <f>Texte!A356</f>
        <v>Ein-</v>
      </c>
      <c r="H6" s="2608" t="str">
        <f>Texte!A359</f>
        <v>Faktor</v>
      </c>
      <c r="I6" s="2608" t="str">
        <f>Texte!A362</f>
        <v>trags-</v>
      </c>
      <c r="J6" s="2609" t="str">
        <f>Texte!A365</f>
        <v>Zuschlag</v>
      </c>
      <c r="K6" s="2610"/>
      <c r="L6" s="2608" t="str">
        <f>Texte!A369</f>
        <v>korri-</v>
      </c>
      <c r="M6" s="2607" t="str">
        <f>Texte!A372</f>
        <v>korri-</v>
      </c>
      <c r="N6" s="2609" t="str">
        <f>Texte!A375</f>
        <v>Laufhof</v>
      </c>
      <c r="O6" s="2611"/>
      <c r="P6" s="2609" t="str">
        <f>Texte!A377</f>
        <v>Weide</v>
      </c>
      <c r="Q6" s="2611"/>
      <c r="R6" s="2611"/>
      <c r="S6" s="2608"/>
      <c r="T6" s="2612"/>
      <c r="U6" s="2073"/>
      <c r="W6" s="2074"/>
      <c r="X6" s="2074"/>
      <c r="Y6" s="2074" t="s">
        <v>62</v>
      </c>
      <c r="Z6" s="2074" t="s">
        <v>62</v>
      </c>
      <c r="AA6" s="2074" t="s">
        <v>63</v>
      </c>
      <c r="AB6" s="2074" t="s">
        <v>62</v>
      </c>
      <c r="AC6" s="2074" t="s">
        <v>6685</v>
      </c>
      <c r="AD6" s="2074" t="s">
        <v>6685</v>
      </c>
      <c r="AE6" s="2074" t="s">
        <v>6685</v>
      </c>
      <c r="AF6" s="2074" t="s">
        <v>6685</v>
      </c>
      <c r="AG6" s="2074" t="s">
        <v>64</v>
      </c>
      <c r="AH6" s="2074" t="s">
        <v>62</v>
      </c>
      <c r="AI6" s="2074" t="s">
        <v>62</v>
      </c>
      <c r="AJ6" s="2074" t="s">
        <v>62</v>
      </c>
      <c r="AK6" s="2074" t="s">
        <v>65</v>
      </c>
      <c r="AL6" s="2074" t="s">
        <v>1341</v>
      </c>
      <c r="AM6" s="2074" t="s">
        <v>66</v>
      </c>
      <c r="AN6" s="2074" t="s">
        <v>6092</v>
      </c>
      <c r="AO6" s="2074" t="s">
        <v>66</v>
      </c>
      <c r="AP6" s="2074" t="s">
        <v>6092</v>
      </c>
      <c r="AQ6" s="2074" t="s">
        <v>2846</v>
      </c>
      <c r="AR6" s="2074" t="s">
        <v>6103</v>
      </c>
      <c r="AS6" s="2074" t="s">
        <v>65</v>
      </c>
      <c r="AT6" s="2074" t="s">
        <v>1341</v>
      </c>
      <c r="AU6" s="2074" t="s">
        <v>66</v>
      </c>
      <c r="AV6" s="2074" t="s">
        <v>66</v>
      </c>
      <c r="AW6" s="2074" t="s">
        <v>6092</v>
      </c>
      <c r="AX6" s="2074" t="s">
        <v>2846</v>
      </c>
      <c r="AY6" s="2074" t="s">
        <v>6103</v>
      </c>
      <c r="AZ6" s="2074" t="s">
        <v>65</v>
      </c>
      <c r="BA6" s="2074" t="s">
        <v>1341</v>
      </c>
      <c r="BB6" s="2074" t="s">
        <v>66</v>
      </c>
      <c r="BC6" s="2074" t="s">
        <v>66</v>
      </c>
      <c r="BD6" s="2074" t="s">
        <v>6092</v>
      </c>
      <c r="BE6" s="2074" t="s">
        <v>2846</v>
      </c>
      <c r="BF6" s="2074" t="s">
        <v>6103</v>
      </c>
      <c r="BG6" s="693" t="s">
        <v>5082</v>
      </c>
      <c r="BH6" s="2399" t="s">
        <v>11094</v>
      </c>
      <c r="BI6" s="137"/>
      <c r="BJ6" s="138"/>
      <c r="BK6" s="138"/>
      <c r="BL6" s="64" t="str">
        <f>F6</f>
        <v>heit</v>
      </c>
      <c r="BM6" s="64" t="str">
        <f>G6</f>
        <v>Ein-</v>
      </c>
      <c r="BN6" s="2402" t="str">
        <f>H6</f>
        <v>Faktor</v>
      </c>
      <c r="BO6" s="2402" t="str">
        <f>I6</f>
        <v>trags-</v>
      </c>
      <c r="BP6" s="139" t="str">
        <f>J5</f>
        <v>Abzug /</v>
      </c>
      <c r="BQ6" s="2405" t="str">
        <f>J6</f>
        <v>Zuschlag</v>
      </c>
      <c r="BR6" s="2402" t="s">
        <v>11096</v>
      </c>
      <c r="BS6" s="2402" t="s">
        <v>11096</v>
      </c>
      <c r="BT6" s="139" t="str">
        <f>BP6</f>
        <v>Abzug /</v>
      </c>
      <c r="BU6" s="139" t="s">
        <v>67</v>
      </c>
      <c r="BV6" s="139" t="str">
        <f>BR6</f>
        <v>Explot.</v>
      </c>
      <c r="BW6" s="300" t="str">
        <f>BR6</f>
        <v>Explot.</v>
      </c>
      <c r="BX6" s="139" t="str">
        <f>S5</f>
        <v>RAUS</v>
      </c>
      <c r="BY6" s="300" t="s">
        <v>6103</v>
      </c>
      <c r="BZ6" s="139" t="s">
        <v>4333</v>
      </c>
      <c r="CA6" s="139" t="str">
        <f>BX6</f>
        <v>RAUS</v>
      </c>
      <c r="CB6" s="300" t="str">
        <f>BY6</f>
        <v>BTS</v>
      </c>
    </row>
    <row r="7" spans="1:88" ht="15" customHeight="1" thickBot="1">
      <c r="A7" s="2084"/>
      <c r="B7" s="3081"/>
      <c r="C7" s="2606"/>
      <c r="D7" s="2606"/>
      <c r="E7" s="2606"/>
      <c r="F7" s="3082"/>
      <c r="G7" s="3083" t="str">
        <f>Texte!A357</f>
        <v>heit.</v>
      </c>
      <c r="H7" s="2608">
        <f>Texte!A360</f>
        <v>0</v>
      </c>
      <c r="I7" s="2608" t="str">
        <f>Texte!A363</f>
        <v>GVE</v>
      </c>
      <c r="J7" s="2608" t="str">
        <f>Texte!A366</f>
        <v>± Tiere</v>
      </c>
      <c r="K7" s="2608" t="str">
        <f>Texte!A367</f>
        <v>Tage</v>
      </c>
      <c r="L7" s="2607" t="str">
        <f>Texte!A370</f>
        <v>giert</v>
      </c>
      <c r="M7" s="2607" t="str">
        <f>Texte!A373</f>
        <v>giert</v>
      </c>
      <c r="N7" s="2607" t="str">
        <f>Texte!A376</f>
        <v>Tiere</v>
      </c>
      <c r="O7" s="2608" t="str">
        <f>Texte!A367</f>
        <v>Tage</v>
      </c>
      <c r="P7" s="2607" t="str">
        <f>Texte!A378</f>
        <v>Tiere</v>
      </c>
      <c r="Q7" s="2608" t="s">
        <v>6499</v>
      </c>
      <c r="R7" s="3084" t="str">
        <f>Texte!A367</f>
        <v>Tage</v>
      </c>
      <c r="S7" s="2608"/>
      <c r="T7" s="2612"/>
      <c r="U7" s="2073"/>
      <c r="W7" s="2074"/>
      <c r="X7" s="2074"/>
      <c r="Y7" s="2074"/>
      <c r="Z7" s="2074" t="s">
        <v>6500</v>
      </c>
      <c r="AA7" s="2074"/>
      <c r="AB7" s="2074" t="s">
        <v>6501</v>
      </c>
      <c r="AC7" s="2074"/>
      <c r="AD7" s="2074" t="s">
        <v>6502</v>
      </c>
      <c r="AE7" s="2074" t="s">
        <v>6502</v>
      </c>
      <c r="AF7" s="2074" t="s">
        <v>6502</v>
      </c>
      <c r="AG7" s="2074"/>
      <c r="AH7" s="2074" t="s">
        <v>6503</v>
      </c>
      <c r="AI7" s="2074" t="s">
        <v>4294</v>
      </c>
      <c r="AJ7" s="2074" t="s">
        <v>4295</v>
      </c>
      <c r="AK7" s="2074"/>
      <c r="AL7" s="2074"/>
      <c r="AM7" s="2074"/>
      <c r="AN7" s="2074"/>
      <c r="AO7" s="2074" t="s">
        <v>4296</v>
      </c>
      <c r="AP7" s="2074" t="s">
        <v>4297</v>
      </c>
      <c r="AQ7" s="2074"/>
      <c r="AR7" s="2074"/>
      <c r="AS7" s="2074"/>
      <c r="AT7" s="2074"/>
      <c r="AU7" s="2074"/>
      <c r="AV7" s="2074" t="s">
        <v>4296</v>
      </c>
      <c r="AW7" s="2074" t="s">
        <v>4297</v>
      </c>
      <c r="AX7" s="2074"/>
      <c r="AY7" s="2074"/>
      <c r="AZ7" s="2074"/>
      <c r="BA7" s="2074"/>
      <c r="BB7" s="2074"/>
      <c r="BC7" s="2074" t="s">
        <v>4296</v>
      </c>
      <c r="BD7" s="2074" t="s">
        <v>4297</v>
      </c>
      <c r="BE7" s="2074"/>
      <c r="BF7" s="2074"/>
      <c r="BG7" s="693"/>
      <c r="BH7" s="141"/>
      <c r="BI7" s="142"/>
      <c r="BJ7" s="142"/>
      <c r="BK7" s="142"/>
      <c r="BL7" s="143"/>
      <c r="BM7" s="72" t="str">
        <f>G7</f>
        <v>heit.</v>
      </c>
      <c r="BN7" s="144"/>
      <c r="BO7" s="2403" t="str">
        <f>M5</f>
        <v>GVE</v>
      </c>
      <c r="BP7" s="2406" t="s">
        <v>11097</v>
      </c>
      <c r="BQ7" s="144"/>
      <c r="BR7" s="144"/>
      <c r="BS7" s="144"/>
      <c r="BT7" s="2403" t="s">
        <v>6912</v>
      </c>
      <c r="BU7" s="144"/>
      <c r="BV7" s="144" t="s">
        <v>4297</v>
      </c>
      <c r="BW7" s="994" t="s">
        <v>4297</v>
      </c>
      <c r="BX7" s="144" t="s">
        <v>4299</v>
      </c>
      <c r="BY7" s="994" t="s">
        <v>4299</v>
      </c>
      <c r="BZ7" s="144" t="s">
        <v>4299</v>
      </c>
      <c r="CA7" s="144" t="s">
        <v>4300</v>
      </c>
      <c r="CB7" s="994" t="s">
        <v>4300</v>
      </c>
    </row>
    <row r="8" spans="1:88" ht="16.149999999999999" customHeight="1">
      <c r="A8" s="2084"/>
      <c r="B8" s="3085" t="str">
        <f>Texte!A389</f>
        <v>Tiere der Rindergattung und Wasserbüffel</v>
      </c>
      <c r="C8" s="3085"/>
      <c r="D8" s="3085"/>
      <c r="E8" s="3085"/>
      <c r="F8" s="3086"/>
      <c r="G8" s="181"/>
      <c r="H8" s="3079"/>
      <c r="I8" s="3079"/>
      <c r="J8" s="181"/>
      <c r="K8" s="181"/>
      <c r="L8" s="3079"/>
      <c r="M8" s="937">
        <f>SUM(M9:M31)</f>
        <v>0</v>
      </c>
      <c r="N8" s="181"/>
      <c r="O8" s="181"/>
      <c r="P8" s="3079"/>
      <c r="Q8" s="181"/>
      <c r="R8" s="181"/>
      <c r="S8" s="181"/>
      <c r="T8" s="3087"/>
      <c r="U8" s="2073"/>
      <c r="V8" s="2962">
        <f>PRODUCT(V9:V31)</f>
        <v>1</v>
      </c>
      <c r="W8" s="2074"/>
      <c r="X8" s="2074"/>
      <c r="Y8" s="2074"/>
      <c r="Z8" s="2074"/>
      <c r="AA8" s="2074"/>
      <c r="AB8" s="2074"/>
      <c r="AC8" s="2074"/>
      <c r="AD8" s="2074"/>
      <c r="AE8" s="2074"/>
      <c r="AF8" s="2074"/>
      <c r="AG8" s="2074"/>
      <c r="AH8" s="2074"/>
      <c r="AI8" s="2074"/>
      <c r="AJ8" s="2074"/>
      <c r="AK8" s="2074"/>
      <c r="AL8" s="2074"/>
      <c r="AM8" s="2074"/>
      <c r="AN8" s="2074"/>
      <c r="AO8" s="2074"/>
      <c r="AP8" s="2074"/>
      <c r="AQ8" s="2074"/>
      <c r="AR8" s="2074"/>
      <c r="AS8" s="2074"/>
      <c r="AT8" s="2074"/>
      <c r="AU8" s="2074"/>
      <c r="AV8" s="2074"/>
      <c r="AW8" s="2074"/>
      <c r="AX8" s="2074"/>
      <c r="AY8" s="2074"/>
      <c r="AZ8" s="2074"/>
      <c r="BA8" s="2074"/>
      <c r="BB8" s="2074"/>
      <c r="BC8" s="2074"/>
      <c r="BD8" s="2074"/>
      <c r="BE8" s="2074"/>
      <c r="BF8" s="2074"/>
      <c r="BG8" s="693"/>
      <c r="BH8" s="145" t="str">
        <f>Texte!A5122</f>
        <v>Tiere der Rindergattung und Wasserbüffel</v>
      </c>
      <c r="BI8" s="145"/>
      <c r="BJ8" s="145"/>
      <c r="BK8" s="145"/>
      <c r="BL8" s="146"/>
      <c r="BM8" s="96"/>
      <c r="BN8" s="147"/>
      <c r="BO8" s="147"/>
      <c r="BP8" s="147"/>
      <c r="BQ8" s="96"/>
      <c r="BR8" s="96"/>
      <c r="BS8" s="96"/>
      <c r="BT8" s="96"/>
      <c r="BU8" s="96"/>
      <c r="BV8" s="147"/>
      <c r="BW8" s="936">
        <f>SUM(BW9:BW18)</f>
        <v>0</v>
      </c>
      <c r="BX8" s="147"/>
      <c r="BY8" s="936"/>
      <c r="BZ8" s="936"/>
      <c r="CA8" s="147"/>
      <c r="CB8" s="936"/>
    </row>
    <row r="9" spans="1:88" ht="16.149999999999999" customHeight="1">
      <c r="A9" s="2084">
        <v>100</v>
      </c>
      <c r="B9" s="148" t="str">
        <f>Texte!A390</f>
        <v>Milchkühe</v>
      </c>
      <c r="C9" s="568" t="str">
        <f>Texte!$A$392</f>
        <v>Ø Milchmenge:</v>
      </c>
      <c r="D9" s="150"/>
      <c r="E9" s="833"/>
      <c r="F9" s="153" t="str">
        <f>Texte!A383</f>
        <v>Stück</v>
      </c>
      <c r="G9" s="154"/>
      <c r="H9" s="153">
        <f>D_Klick!N44</f>
        <v>1</v>
      </c>
      <c r="I9" s="153">
        <f>G9*H9</f>
        <v>0</v>
      </c>
      <c r="J9" s="164"/>
      <c r="K9" s="166"/>
      <c r="L9" s="153">
        <f>IF(OR(AND(J9&lt;0,G9&lt;ABS(J9)),K9&gt;365),"!",G9+(J9*K9/365))</f>
        <v>0</v>
      </c>
      <c r="M9" s="153">
        <f>ROUND(IF(L9="!",0,L9*H9),2)</f>
        <v>0</v>
      </c>
      <c r="N9" s="154"/>
      <c r="O9" s="155"/>
      <c r="P9" s="154"/>
      <c r="Q9" s="154"/>
      <c r="R9" s="155"/>
      <c r="S9" s="153"/>
      <c r="T9" s="2018"/>
      <c r="U9" s="2073"/>
      <c r="V9" s="2962">
        <f>IF(G9&gt;0,IF(W9,1,0),1)</f>
        <v>1</v>
      </c>
      <c r="W9" s="2076" t="b">
        <v>0</v>
      </c>
      <c r="X9" s="2076" t="b">
        <v>0</v>
      </c>
      <c r="Y9" s="2076">
        <f t="shared" ref="Y9:Y31" si="0">IF(J9&lt;0,J9*H9,0)</f>
        <v>0</v>
      </c>
      <c r="Z9" s="2074">
        <f t="shared" ref="Z9:Z31" si="1">IF(AND(Y9&lt;&gt;0,K9&lt;&gt;0),Y9*K9,0)</f>
        <v>0</v>
      </c>
      <c r="AA9" s="2074">
        <f>I9</f>
        <v>0</v>
      </c>
      <c r="AB9" s="2074">
        <f t="shared" ref="AB9:AB31" si="2">IF(AND(Y9&lt;&gt;0,K9&lt;&gt;0),-Y9*MIN(K9,180)/365,0)</f>
        <v>0</v>
      </c>
      <c r="AC9" s="2074">
        <f t="shared" ref="AC9:AC31" si="3">IF(J9&gt;0,J9*H9,0)</f>
        <v>0</v>
      </c>
      <c r="AD9" s="2074">
        <f t="shared" ref="AD9:AD31" si="4">IF(AND(AC9&lt;&gt;0,K9&lt;&gt;0),AC9*K9/365,0)</f>
        <v>0</v>
      </c>
      <c r="AE9" s="2074">
        <f t="shared" ref="AE9:AE31" si="5">IF(AB9&lt;&gt;0,I9+Z9/365,I9)</f>
        <v>0</v>
      </c>
      <c r="AF9" s="2074">
        <f>AD9+AE9</f>
        <v>0</v>
      </c>
      <c r="AG9" s="2074">
        <f>AB9+AD9+AE9</f>
        <v>0</v>
      </c>
      <c r="AH9" s="2074">
        <f t="shared" ref="AH9:AH31" si="6">IF(J9&lt;0,IF(AND(K9&gt;60,K9&lt;91),-J9*H9,0),0)</f>
        <v>0</v>
      </c>
      <c r="AI9" s="2074">
        <f t="shared" ref="AI9:AI31" si="7">IF(J9&lt;0,IF(AND(K9&gt;90,K9&lt;121),-J9*H9,0),0)</f>
        <v>0</v>
      </c>
      <c r="AJ9" s="2074">
        <f t="shared" ref="AJ9:AJ31" si="8">IF(J9&lt;0,IF(K9&gt;120,-J9*H9,0),0)</f>
        <v>0</v>
      </c>
      <c r="AK9" s="2074">
        <f t="shared" ref="AK9:AK31" si="9">G9</f>
        <v>0</v>
      </c>
      <c r="AL9" s="2074">
        <f t="shared" ref="AL9:AL31" si="10">IF(J9&gt;0,J9*K9/365,0)</f>
        <v>0</v>
      </c>
      <c r="AM9" s="2074">
        <f t="shared" ref="AM9:AM31" si="11">IF(J9&lt;0,J9*K9/365,0)</f>
        <v>0</v>
      </c>
      <c r="AN9" s="2074">
        <f>AK9+AL9+AM9</f>
        <v>0</v>
      </c>
      <c r="AO9" s="2074">
        <f t="shared" ref="AO9:AO31" si="12">IF(J9&lt;0,J9*MIN(K9,180)/365,0)</f>
        <v>0</v>
      </c>
      <c r="AP9" s="2074">
        <f>AN9-AO9</f>
        <v>0</v>
      </c>
      <c r="AQ9" s="2074">
        <f t="shared" ref="AQ9:AQ31" si="13">IF(W9,AP9,0)</f>
        <v>0</v>
      </c>
      <c r="AR9" s="2074">
        <f t="shared" ref="AR9:AR31" si="14">IF(X9,AP9,0)</f>
        <v>0</v>
      </c>
      <c r="AS9" s="2074"/>
      <c r="AT9" s="2074"/>
      <c r="AU9" s="2074"/>
      <c r="AV9" s="2074"/>
      <c r="AW9" s="2074"/>
      <c r="AX9" s="2074"/>
      <c r="AY9" s="2074"/>
      <c r="AZ9" s="2074"/>
      <c r="BA9" s="2074"/>
      <c r="BB9" s="2074"/>
      <c r="BC9" s="2074"/>
      <c r="BD9" s="2074"/>
      <c r="BE9" s="2074"/>
      <c r="BF9" s="2074"/>
      <c r="BG9" s="693"/>
      <c r="BH9" s="963" t="s">
        <v>11095</v>
      </c>
      <c r="BI9" s="149"/>
      <c r="BJ9" s="964"/>
      <c r="BK9" s="965"/>
      <c r="BL9" s="966"/>
      <c r="BM9" s="967"/>
      <c r="BN9" s="966"/>
      <c r="BO9" s="966"/>
      <c r="BP9" s="966"/>
      <c r="BQ9" s="968"/>
      <c r="BR9" s="968"/>
      <c r="BS9" s="968"/>
      <c r="BT9" s="968"/>
      <c r="BU9" s="968"/>
      <c r="BV9" s="966"/>
      <c r="BW9" s="966"/>
      <c r="BX9" s="966"/>
      <c r="BY9" s="966"/>
      <c r="BZ9" s="966"/>
      <c r="CA9" s="966"/>
      <c r="CB9" s="976"/>
    </row>
    <row r="10" spans="1:88" ht="16.149999999999999" customHeight="1">
      <c r="A10" s="2084">
        <f>A9 + 4</f>
        <v>104</v>
      </c>
      <c r="B10" s="733" t="str">
        <f>Texte!A391</f>
        <v>Galt- oder Ausmastkühe</v>
      </c>
      <c r="C10" s="568"/>
      <c r="D10" s="2250"/>
      <c r="E10" s="2005">
        <v>1</v>
      </c>
      <c r="F10" s="160" t="str">
        <f>Texte!A384</f>
        <v>Platz</v>
      </c>
      <c r="G10" s="154"/>
      <c r="H10" s="160">
        <f>D_Klick!N45</f>
        <v>1</v>
      </c>
      <c r="I10" s="160">
        <f t="shared" ref="I10:I24" si="15">G10*H10</f>
        <v>0</v>
      </c>
      <c r="J10" s="85"/>
      <c r="K10" s="152"/>
      <c r="L10" s="160">
        <f t="shared" ref="L10:L29" si="16">IF(OR(AND(J10&lt;0,G10&lt;ABS(J10)),K10&gt;365),"!",G10+(J10*K10/365))</f>
        <v>0</v>
      </c>
      <c r="M10" s="160">
        <f t="shared" ref="M10:M29" si="17">ROUND(IF(L10="!",0,L10*H10),2)</f>
        <v>0</v>
      </c>
      <c r="N10" s="154"/>
      <c r="O10" s="155"/>
      <c r="P10" s="154"/>
      <c r="Q10" s="154"/>
      <c r="R10" s="155"/>
      <c r="S10" s="160"/>
      <c r="T10" s="216"/>
      <c r="U10" s="2073"/>
      <c r="V10" s="2962">
        <f t="shared" ref="V10:V31" si="18">IF(G10&gt;0,IF(W10,1,0),1)</f>
        <v>1</v>
      </c>
      <c r="W10" s="2076" t="b">
        <v>0</v>
      </c>
      <c r="X10" s="2076" t="b">
        <v>0</v>
      </c>
      <c r="Y10" s="2076">
        <f t="shared" si="0"/>
        <v>0</v>
      </c>
      <c r="Z10" s="2074">
        <f t="shared" si="1"/>
        <v>0</v>
      </c>
      <c r="AA10" s="2074"/>
      <c r="AB10" s="2074">
        <f t="shared" si="2"/>
        <v>0</v>
      </c>
      <c r="AC10" s="2074">
        <f t="shared" si="3"/>
        <v>0</v>
      </c>
      <c r="AD10" s="2074">
        <f t="shared" si="4"/>
        <v>0</v>
      </c>
      <c r="AE10" s="2074">
        <f t="shared" si="5"/>
        <v>0</v>
      </c>
      <c r="AF10" s="2074">
        <f t="shared" ref="AF10:AF31" si="19">AD10+AE10</f>
        <v>0</v>
      </c>
      <c r="AG10" s="2074">
        <f t="shared" ref="AG10:AG31" si="20">AB10+AD10+AE10</f>
        <v>0</v>
      </c>
      <c r="AH10" s="2074">
        <f t="shared" si="6"/>
        <v>0</v>
      </c>
      <c r="AI10" s="2074">
        <f t="shared" si="7"/>
        <v>0</v>
      </c>
      <c r="AJ10" s="2074">
        <f t="shared" si="8"/>
        <v>0</v>
      </c>
      <c r="AK10" s="2074">
        <f t="shared" si="9"/>
        <v>0</v>
      </c>
      <c r="AL10" s="2074">
        <f t="shared" si="10"/>
        <v>0</v>
      </c>
      <c r="AM10" s="2074">
        <f t="shared" si="11"/>
        <v>0</v>
      </c>
      <c r="AN10" s="2074">
        <f t="shared" ref="AN10:AN31" si="21">AK10+AL10+AM10</f>
        <v>0</v>
      </c>
      <c r="AO10" s="2074">
        <f t="shared" si="12"/>
        <v>0</v>
      </c>
      <c r="AP10" s="2074">
        <f t="shared" ref="AP10:AP31" si="22">AN10-AO10</f>
        <v>0</v>
      </c>
      <c r="AQ10" s="2074">
        <f t="shared" si="13"/>
        <v>0</v>
      </c>
      <c r="AR10" s="2074">
        <f t="shared" si="14"/>
        <v>0</v>
      </c>
      <c r="AS10" s="2074"/>
      <c r="AT10" s="2074"/>
      <c r="AU10" s="2074"/>
      <c r="AV10" s="2074"/>
      <c r="AW10" s="2074"/>
      <c r="AX10" s="2074"/>
      <c r="AY10" s="2074"/>
      <c r="AZ10" s="2074"/>
      <c r="BA10" s="2074"/>
      <c r="BB10" s="2074"/>
      <c r="BC10" s="2074"/>
      <c r="BD10" s="2074"/>
      <c r="BE10" s="2074"/>
      <c r="BF10" s="2074"/>
      <c r="BG10" s="693"/>
      <c r="BH10" s="2049"/>
      <c r="BI10" s="568"/>
      <c r="BJ10" s="594"/>
      <c r="BK10" s="833"/>
      <c r="BL10" s="566"/>
      <c r="BM10" s="2050"/>
      <c r="BN10" s="566"/>
      <c r="BO10" s="566"/>
      <c r="BP10" s="566"/>
      <c r="BQ10" s="2051"/>
      <c r="BR10" s="2051"/>
      <c r="BS10" s="2051"/>
      <c r="BT10" s="2051"/>
      <c r="BU10" s="2051"/>
      <c r="BV10" s="566"/>
      <c r="BW10" s="566"/>
      <c r="BX10" s="566"/>
      <c r="BY10" s="566"/>
      <c r="BZ10" s="566"/>
      <c r="CA10" s="566"/>
      <c r="CB10" s="2052"/>
    </row>
    <row r="11" spans="1:88" ht="16.149999999999999" customHeight="1">
      <c r="A11" s="2084">
        <f t="shared" ref="A11:A29" si="23">A10 + 4</f>
        <v>108</v>
      </c>
      <c r="B11" s="158" t="str">
        <f>D_Klick!C224</f>
        <v>Jungvieh, bis 160-tägig</v>
      </c>
      <c r="C11" s="159"/>
      <c r="D11" s="159"/>
      <c r="E11" s="159"/>
      <c r="F11" s="160" t="str">
        <f>Texte!A384</f>
        <v>Platz</v>
      </c>
      <c r="G11" s="154"/>
      <c r="H11" s="160">
        <f>D_Klick!N59</f>
        <v>0.13</v>
      </c>
      <c r="I11" s="160">
        <f t="shared" si="15"/>
        <v>0</v>
      </c>
      <c r="J11" s="85"/>
      <c r="K11" s="152"/>
      <c r="L11" s="160">
        <f t="shared" si="16"/>
        <v>0</v>
      </c>
      <c r="M11" s="160">
        <f t="shared" si="17"/>
        <v>0</v>
      </c>
      <c r="N11" s="154"/>
      <c r="O11" s="155"/>
      <c r="P11" s="154"/>
      <c r="Q11" s="154"/>
      <c r="R11" s="155"/>
      <c r="S11" s="160"/>
      <c r="T11" s="2017"/>
      <c r="U11" s="2073"/>
      <c r="V11" s="2962">
        <f t="shared" si="18"/>
        <v>1</v>
      </c>
      <c r="W11" s="2076" t="b">
        <v>0</v>
      </c>
      <c r="X11" s="2076" t="b">
        <v>0</v>
      </c>
      <c r="Y11" s="2076">
        <f t="shared" si="0"/>
        <v>0</v>
      </c>
      <c r="Z11" s="2074">
        <f t="shared" si="1"/>
        <v>0</v>
      </c>
      <c r="AA11" s="2074"/>
      <c r="AB11" s="2074">
        <f t="shared" si="2"/>
        <v>0</v>
      </c>
      <c r="AC11" s="2074">
        <f t="shared" si="3"/>
        <v>0</v>
      </c>
      <c r="AD11" s="2074">
        <f t="shared" si="4"/>
        <v>0</v>
      </c>
      <c r="AE11" s="2074">
        <f t="shared" si="5"/>
        <v>0</v>
      </c>
      <c r="AF11" s="2074">
        <f t="shared" si="19"/>
        <v>0</v>
      </c>
      <c r="AG11" s="2074">
        <f t="shared" si="20"/>
        <v>0</v>
      </c>
      <c r="AH11" s="2074">
        <f t="shared" si="6"/>
        <v>0</v>
      </c>
      <c r="AI11" s="2074">
        <f t="shared" si="7"/>
        <v>0</v>
      </c>
      <c r="AJ11" s="2074">
        <f t="shared" si="8"/>
        <v>0</v>
      </c>
      <c r="AK11" s="2074">
        <f t="shared" si="9"/>
        <v>0</v>
      </c>
      <c r="AL11" s="2074">
        <f t="shared" si="10"/>
        <v>0</v>
      </c>
      <c r="AM11" s="2074">
        <f t="shared" si="11"/>
        <v>0</v>
      </c>
      <c r="AN11" s="2074">
        <f t="shared" si="21"/>
        <v>0</v>
      </c>
      <c r="AO11" s="2074">
        <f t="shared" si="12"/>
        <v>0</v>
      </c>
      <c r="AP11" s="2074">
        <f t="shared" si="22"/>
        <v>0</v>
      </c>
      <c r="AQ11" s="2074">
        <f t="shared" si="13"/>
        <v>0</v>
      </c>
      <c r="AR11" s="2074">
        <f t="shared" si="14"/>
        <v>0</v>
      </c>
      <c r="AS11" s="2074">
        <f>IF(H30&gt;1,AK30,0)</f>
        <v>0</v>
      </c>
      <c r="AT11" s="2074">
        <f>IF(H30&gt;1,AL30,0)</f>
        <v>0</v>
      </c>
      <c r="AU11" s="2074">
        <f>IF(H30&gt;1,AM30,0)</f>
        <v>0</v>
      </c>
      <c r="AV11" s="2074">
        <f>IF(H30&gt;1,AO30,0)</f>
        <v>0</v>
      </c>
      <c r="AW11" s="2074">
        <f>IF(AP30&lt;&gt;0,IF(H30&gt;1,AP30,0),0)</f>
        <v>0</v>
      </c>
      <c r="AX11" s="2074">
        <f>IF(AQ30&lt;&gt;0,IF(H30&gt;1,AQ30,0),0)</f>
        <v>0</v>
      </c>
      <c r="AY11" s="2074">
        <f>IF(AR30&lt;&gt;0,IF(H30&gt;1,AR30,0),0)</f>
        <v>0</v>
      </c>
      <c r="AZ11" s="2074">
        <f>IF(H31&gt;1,AK31,0)</f>
        <v>0</v>
      </c>
      <c r="BA11" s="2074">
        <f>IF(H31&gt;1,AL31,0)</f>
        <v>0</v>
      </c>
      <c r="BB11" s="2074">
        <f>IF(H31&gt;1,AM31,0)</f>
        <v>0</v>
      </c>
      <c r="BC11" s="2074">
        <f>IF(H31&gt;1,AO31,0)</f>
        <v>0</v>
      </c>
      <c r="BD11" s="2074">
        <f>IF(AP31&lt;&gt;0,IF(H31&gt;1,AP31,0),0)</f>
        <v>0</v>
      </c>
      <c r="BE11" s="2074">
        <f>IF(AQ31&lt;&gt;0,IF(H31&gt;1,AQ31,0),0)</f>
        <v>0</v>
      </c>
      <c r="BF11" s="2074">
        <f>IF(AR31&lt;&gt;0,IF(H31&gt;1,AR31,0),0)</f>
        <v>0</v>
      </c>
      <c r="BG11" s="693">
        <v>201</v>
      </c>
      <c r="BH11" s="2395" t="s">
        <v>11087</v>
      </c>
      <c r="BI11" s="159"/>
      <c r="BJ11" s="159"/>
      <c r="BK11" s="159"/>
      <c r="BL11" s="160" t="str">
        <f>F9</f>
        <v>Stück</v>
      </c>
      <c r="BM11" s="983">
        <f>AK9+AS11+AZ11</f>
        <v>0</v>
      </c>
      <c r="BN11" s="160">
        <v>1</v>
      </c>
      <c r="BO11" s="160">
        <f>ROUND(BM11*BN11,2)</f>
        <v>0</v>
      </c>
      <c r="BP11" s="160">
        <f>AM9+AU11+BB11</f>
        <v>0</v>
      </c>
      <c r="BQ11" s="983">
        <f>AL9+AT11+BA11</f>
        <v>0</v>
      </c>
      <c r="BR11" s="983">
        <f>BM11+BP11+BQ11</f>
        <v>0</v>
      </c>
      <c r="BS11" s="983">
        <f>$BN$11*$BR$11</f>
        <v>0</v>
      </c>
      <c r="BT11" s="983">
        <f>AO9+AV11+BC11</f>
        <v>0</v>
      </c>
      <c r="BU11" s="983">
        <f>-$BN$11*$BT$11</f>
        <v>0</v>
      </c>
      <c r="BV11" s="160">
        <f>MAX(BR11-BT11,BR11-BQ11)</f>
        <v>0</v>
      </c>
      <c r="BW11" s="977">
        <f>BS11+BU11</f>
        <v>0</v>
      </c>
      <c r="BX11" s="160">
        <f>(AQ9+AX11+BE11)*BN11</f>
        <v>0</v>
      </c>
      <c r="BY11" s="977">
        <f>(AR9+AY11+BF11)*BN11</f>
        <v>0</v>
      </c>
      <c r="BZ11" s="160">
        <f>BN11*BR11-BN11*BT11</f>
        <v>0</v>
      </c>
      <c r="CA11" s="160">
        <f>IF(OR(BW11=0,BZ11=0),0,BW11/BZ11*BX11)</f>
        <v>0</v>
      </c>
      <c r="CB11" s="977">
        <f>IF(OR(BW11=0,BZ11=0),0,BW11/BZ11*BY11)</f>
        <v>0</v>
      </c>
    </row>
    <row r="12" spans="1:88" ht="16.149999999999999" customHeight="1">
      <c r="A12" s="2084">
        <f t="shared" si="23"/>
        <v>112</v>
      </c>
      <c r="B12" s="158" t="str">
        <f>D_Klick!C225</f>
        <v>Jungvieh, 160 bis 365-tägig</v>
      </c>
      <c r="C12" s="159"/>
      <c r="D12" s="159"/>
      <c r="E12" s="159"/>
      <c r="F12" s="160" t="str">
        <f>Texte!A384</f>
        <v>Platz</v>
      </c>
      <c r="G12" s="154"/>
      <c r="H12" s="160">
        <f>D_Klick!N47</f>
        <v>0.33</v>
      </c>
      <c r="I12" s="160">
        <f t="shared" si="15"/>
        <v>0</v>
      </c>
      <c r="J12" s="85"/>
      <c r="K12" s="152"/>
      <c r="L12" s="160">
        <f t="shared" si="16"/>
        <v>0</v>
      </c>
      <c r="M12" s="160">
        <f t="shared" si="17"/>
        <v>0</v>
      </c>
      <c r="N12" s="154"/>
      <c r="O12" s="155"/>
      <c r="P12" s="154"/>
      <c r="Q12" s="154"/>
      <c r="R12" s="155"/>
      <c r="S12" s="160"/>
      <c r="T12" s="2017"/>
      <c r="U12" s="2073"/>
      <c r="V12" s="2962">
        <f t="shared" si="18"/>
        <v>1</v>
      </c>
      <c r="W12" s="2076" t="b">
        <v>0</v>
      </c>
      <c r="X12" s="2076" t="b">
        <v>0</v>
      </c>
      <c r="Y12" s="2076">
        <f t="shared" si="0"/>
        <v>0</v>
      </c>
      <c r="Z12" s="2074">
        <f t="shared" si="1"/>
        <v>0</v>
      </c>
      <c r="AA12" s="2074"/>
      <c r="AB12" s="2074">
        <f t="shared" si="2"/>
        <v>0</v>
      </c>
      <c r="AC12" s="2074">
        <f t="shared" si="3"/>
        <v>0</v>
      </c>
      <c r="AD12" s="2074">
        <f t="shared" si="4"/>
        <v>0</v>
      </c>
      <c r="AE12" s="2074">
        <f t="shared" si="5"/>
        <v>0</v>
      </c>
      <c r="AF12" s="2074">
        <f t="shared" si="19"/>
        <v>0</v>
      </c>
      <c r="AG12" s="2074">
        <f t="shared" si="20"/>
        <v>0</v>
      </c>
      <c r="AH12" s="2074">
        <f t="shared" si="6"/>
        <v>0</v>
      </c>
      <c r="AI12" s="2074">
        <f t="shared" si="7"/>
        <v>0</v>
      </c>
      <c r="AJ12" s="2074">
        <f t="shared" si="8"/>
        <v>0</v>
      </c>
      <c r="AK12" s="2074">
        <f t="shared" si="9"/>
        <v>0</v>
      </c>
      <c r="AL12" s="2074">
        <f t="shared" si="10"/>
        <v>0</v>
      </c>
      <c r="AM12" s="2074">
        <f t="shared" si="11"/>
        <v>0</v>
      </c>
      <c r="AN12" s="2074">
        <f t="shared" si="21"/>
        <v>0</v>
      </c>
      <c r="AO12" s="2074">
        <f t="shared" si="12"/>
        <v>0</v>
      </c>
      <c r="AP12" s="2074">
        <f t="shared" si="22"/>
        <v>0</v>
      </c>
      <c r="AQ12" s="2074">
        <f t="shared" si="13"/>
        <v>0</v>
      </c>
      <c r="AR12" s="2074">
        <f t="shared" si="14"/>
        <v>0</v>
      </c>
      <c r="AS12" s="2074"/>
      <c r="AT12" s="2074"/>
      <c r="AU12" s="2074"/>
      <c r="AV12" s="2074"/>
      <c r="AW12" s="2074"/>
      <c r="AX12" s="2074"/>
      <c r="AY12" s="2074"/>
      <c r="AZ12" s="2074"/>
      <c r="BA12" s="2074"/>
      <c r="BB12" s="2074"/>
      <c r="BC12" s="2074"/>
      <c r="BD12" s="2074"/>
      <c r="BE12" s="2074"/>
      <c r="BF12" s="2074"/>
      <c r="BG12" s="693"/>
      <c r="BH12" s="969"/>
      <c r="BI12" s="197"/>
      <c r="BJ12" s="197"/>
      <c r="BK12" s="197"/>
      <c r="BL12" s="970"/>
      <c r="BM12" s="984"/>
      <c r="BN12" s="970"/>
      <c r="BO12" s="970"/>
      <c r="BP12" s="970"/>
      <c r="BQ12" s="984"/>
      <c r="BR12" s="984"/>
      <c r="BS12" s="984"/>
      <c r="BT12" s="984"/>
      <c r="BU12" s="984"/>
      <c r="BV12" s="970"/>
      <c r="BW12" s="216"/>
      <c r="BX12" s="970"/>
      <c r="BY12" s="216"/>
      <c r="BZ12" s="970"/>
      <c r="CA12" s="970"/>
      <c r="CB12" s="216"/>
      <c r="CE12" s="2084"/>
      <c r="CF12" s="2084"/>
      <c r="CG12" s="2084"/>
      <c r="CH12" s="2084"/>
      <c r="CI12" s="2084"/>
    </row>
    <row r="13" spans="1:88" ht="16.149999999999999" customHeight="1">
      <c r="A13" s="2084">
        <f t="shared" si="23"/>
        <v>116</v>
      </c>
      <c r="B13" s="158" t="str">
        <f>D_Klick!C226</f>
        <v>Jungvieh, 1 bis 2-jährig</v>
      </c>
      <c r="C13" s="159"/>
      <c r="D13" s="159"/>
      <c r="E13" s="159"/>
      <c r="F13" s="160" t="str">
        <f>Texte!A384</f>
        <v>Platz</v>
      </c>
      <c r="G13" s="154"/>
      <c r="H13" s="160">
        <f>D_Klick!N48</f>
        <v>0.4</v>
      </c>
      <c r="I13" s="160">
        <f t="shared" si="15"/>
        <v>0</v>
      </c>
      <c r="J13" s="85"/>
      <c r="K13" s="152"/>
      <c r="L13" s="160">
        <f t="shared" si="16"/>
        <v>0</v>
      </c>
      <c r="M13" s="160">
        <f t="shared" si="17"/>
        <v>0</v>
      </c>
      <c r="N13" s="154"/>
      <c r="O13" s="155"/>
      <c r="P13" s="154"/>
      <c r="Q13" s="154"/>
      <c r="R13" s="155"/>
      <c r="S13" s="160"/>
      <c r="T13" s="2017"/>
      <c r="U13" s="2073"/>
      <c r="V13" s="2962">
        <f t="shared" si="18"/>
        <v>1</v>
      </c>
      <c r="W13" s="2076" t="b">
        <v>0</v>
      </c>
      <c r="X13" s="2076" t="b">
        <v>0</v>
      </c>
      <c r="Y13" s="2076">
        <f t="shared" si="0"/>
        <v>0</v>
      </c>
      <c r="Z13" s="2074">
        <f t="shared" si="1"/>
        <v>0</v>
      </c>
      <c r="AA13" s="2074"/>
      <c r="AB13" s="2074">
        <f t="shared" si="2"/>
        <v>0</v>
      </c>
      <c r="AC13" s="2074">
        <f t="shared" si="3"/>
        <v>0</v>
      </c>
      <c r="AD13" s="2074">
        <f t="shared" si="4"/>
        <v>0</v>
      </c>
      <c r="AE13" s="2074">
        <f t="shared" si="5"/>
        <v>0</v>
      </c>
      <c r="AF13" s="2074">
        <f t="shared" si="19"/>
        <v>0</v>
      </c>
      <c r="AG13" s="2074">
        <f t="shared" si="20"/>
        <v>0</v>
      </c>
      <c r="AH13" s="2074">
        <f t="shared" si="6"/>
        <v>0</v>
      </c>
      <c r="AI13" s="2074">
        <f t="shared" si="7"/>
        <v>0</v>
      </c>
      <c r="AJ13" s="2074">
        <f t="shared" si="8"/>
        <v>0</v>
      </c>
      <c r="AK13" s="2074">
        <f t="shared" si="9"/>
        <v>0</v>
      </c>
      <c r="AL13" s="2074">
        <f t="shared" si="10"/>
        <v>0</v>
      </c>
      <c r="AM13" s="2074">
        <f t="shared" si="11"/>
        <v>0</v>
      </c>
      <c r="AN13" s="2074">
        <f t="shared" si="21"/>
        <v>0</v>
      </c>
      <c r="AO13" s="2074">
        <f t="shared" si="12"/>
        <v>0</v>
      </c>
      <c r="AP13" s="2074">
        <f t="shared" si="22"/>
        <v>0</v>
      </c>
      <c r="AQ13" s="2074">
        <f t="shared" si="13"/>
        <v>0</v>
      </c>
      <c r="AR13" s="2074">
        <f t="shared" si="14"/>
        <v>0</v>
      </c>
      <c r="AS13" s="2074">
        <f>IF(AND(H30&lt;=1,H30&gt;=0.8),AK30,0)</f>
        <v>0</v>
      </c>
      <c r="AT13" s="2074">
        <f>IF(AND(H30&lt;=1,H30&gt;=0.8),AL30,0)</f>
        <v>0</v>
      </c>
      <c r="AU13" s="2074">
        <f>IF(AND(H30&lt;=1,H30&gt;=0.8),AM30,0)</f>
        <v>0</v>
      </c>
      <c r="AV13" s="2074">
        <f>IF(AND(H30&lt;=1,H30&gt;=0.8),AO30,0)</f>
        <v>0</v>
      </c>
      <c r="AW13" s="2074">
        <f>IF(AP30&lt;&gt;0,IF(AND(H30&lt;=1,H30&gt;=0.8),AP30,0),0)</f>
        <v>0</v>
      </c>
      <c r="AX13" s="2074">
        <f>IF(AQ30&lt;&gt;0,IF(AND(H30&lt;=1,H30&gt;=0.8),AQ30,0),0)</f>
        <v>0</v>
      </c>
      <c r="AY13" s="2074">
        <f>IF(AR30&lt;&gt;0,IF(AND(H30&lt;=1,H30&gt;=0.8),AR30,0),0)</f>
        <v>0</v>
      </c>
      <c r="AZ13" s="2074">
        <f>IF(AND(H31&lt;=1,H31&gt;=0.8),AK31,0)</f>
        <v>0</v>
      </c>
      <c r="BA13" s="2074">
        <f>IF(AND(H31&lt;=1,H31&gt;0.6),AL31,0)</f>
        <v>0</v>
      </c>
      <c r="BB13" s="2074">
        <f>IF(AND(H31&lt;=1,H31&gt;0.6),AM31,0)</f>
        <v>0</v>
      </c>
      <c r="BC13" s="2074">
        <f>IF(AND(H31&lt;=1,H31&gt;=0.8),AO31,0)</f>
        <v>0</v>
      </c>
      <c r="BD13" s="2074">
        <f>IF(AP31&lt;&gt;0,IF(AND(H31&lt;=1,H31&gt;=0.8),AP31,0),0)</f>
        <v>0</v>
      </c>
      <c r="BE13" s="2074">
        <f>IF(AQ31&lt;&gt;0,IF(AND(H31&lt;=1,H31&gt;=0.8),AQ31,0),0)</f>
        <v>0</v>
      </c>
      <c r="BF13" s="2074">
        <f>IF(AR31&lt;&gt;0,IF(AND(H31&lt;=1,H31&gt;=0.8),AR31,0),0)</f>
        <v>0</v>
      </c>
      <c r="BG13" s="693">
        <v>202</v>
      </c>
      <c r="BH13" s="2396" t="s">
        <v>11088</v>
      </c>
      <c r="BI13" s="197"/>
      <c r="BJ13" s="741"/>
      <c r="BK13" s="125"/>
      <c r="BL13" s="970" t="str">
        <f>F10</f>
        <v>Platz</v>
      </c>
      <c r="BM13" s="984">
        <f>AK10+AK17+AS13+AZ13</f>
        <v>0</v>
      </c>
      <c r="BN13" s="970">
        <v>1</v>
      </c>
      <c r="BO13" s="970">
        <f>ROUND(BM13*BN13,2)</f>
        <v>0</v>
      </c>
      <c r="BP13" s="970">
        <f>AM10+AM17+AU13+BB13</f>
        <v>0</v>
      </c>
      <c r="BQ13" s="984">
        <f>AL10+AL17+AT13+BA13</f>
        <v>0</v>
      </c>
      <c r="BR13" s="984">
        <f t="shared" ref="BR13:BR18" si="24">BM13+BP13+BQ13</f>
        <v>0</v>
      </c>
      <c r="BS13" s="984">
        <f>$BN$13*$BR$13</f>
        <v>0</v>
      </c>
      <c r="BT13" s="984">
        <f>AO10+AO17+AV13+BC13</f>
        <v>0</v>
      </c>
      <c r="BU13" s="984">
        <f>-$BN$13*$BT$13</f>
        <v>0</v>
      </c>
      <c r="BV13" s="970">
        <f t="shared" ref="BV13:BV18" si="25">BR13-BT13</f>
        <v>0</v>
      </c>
      <c r="BW13" s="216">
        <f t="shared" ref="BW13:BW18" si="26">BS13+BU13</f>
        <v>0</v>
      </c>
      <c r="BX13" s="970">
        <f>(AQ10+AQ17+AX13+BE13)*BN13</f>
        <v>0</v>
      </c>
      <c r="BY13" s="216">
        <f>(AR10+AR17+AY13+BF13)*BN13</f>
        <v>0</v>
      </c>
      <c r="BZ13" s="970">
        <f>BN13*BR13-BN13*BT13</f>
        <v>0</v>
      </c>
      <c r="CA13" s="970">
        <f>IF(OR(BW13=0,BZ13=0),0,BW13/BZ13*BX13)</f>
        <v>0</v>
      </c>
      <c r="CB13" s="216">
        <f t="shared" ref="CB13:CB18" si="27">IF(OR(BW13=0,BZ13=0),0,BW13/BZ13*BY13)</f>
        <v>0</v>
      </c>
      <c r="CD13" s="2218"/>
      <c r="CE13" s="2084">
        <f>ROW($A$26)</f>
        <v>26</v>
      </c>
      <c r="CF13" s="2218"/>
      <c r="CG13" s="2084">
        <f>ROW($A$29)</f>
        <v>29</v>
      </c>
      <c r="CH13" s="2084"/>
      <c r="CI13" s="2084"/>
      <c r="CJ13" s="2074" t="s">
        <v>7090</v>
      </c>
    </row>
    <row r="14" spans="1:88" ht="16.149999999999999" customHeight="1">
      <c r="A14" s="2084">
        <f t="shared" si="23"/>
        <v>120</v>
      </c>
      <c r="B14" s="158" t="str">
        <f>D_Klick!C227</f>
        <v>Jungvieh, über 2-jährig</v>
      </c>
      <c r="C14" s="159"/>
      <c r="D14" s="159"/>
      <c r="E14" s="159"/>
      <c r="F14" s="160" t="str">
        <f>Texte!A384</f>
        <v>Platz</v>
      </c>
      <c r="G14" s="154"/>
      <c r="H14" s="160">
        <f>D_Klick!N49</f>
        <v>0.6</v>
      </c>
      <c r="I14" s="160">
        <f t="shared" si="15"/>
        <v>0</v>
      </c>
      <c r="J14" s="85"/>
      <c r="K14" s="152"/>
      <c r="L14" s="160">
        <f t="shared" si="16"/>
        <v>0</v>
      </c>
      <c r="M14" s="160">
        <f t="shared" si="17"/>
        <v>0</v>
      </c>
      <c r="N14" s="154"/>
      <c r="O14" s="155"/>
      <c r="P14" s="154"/>
      <c r="Q14" s="154"/>
      <c r="R14" s="155"/>
      <c r="S14" s="160"/>
      <c r="T14" s="2017"/>
      <c r="U14" s="2073"/>
      <c r="V14" s="2962">
        <f t="shared" si="18"/>
        <v>1</v>
      </c>
      <c r="W14" s="2076" t="b">
        <v>0</v>
      </c>
      <c r="X14" s="2076" t="b">
        <v>0</v>
      </c>
      <c r="Y14" s="2076">
        <f t="shared" si="0"/>
        <v>0</v>
      </c>
      <c r="Z14" s="2074">
        <f t="shared" si="1"/>
        <v>0</v>
      </c>
      <c r="AA14" s="2074"/>
      <c r="AB14" s="2074">
        <f t="shared" si="2"/>
        <v>0</v>
      </c>
      <c r="AC14" s="2074">
        <f t="shared" si="3"/>
        <v>0</v>
      </c>
      <c r="AD14" s="2074">
        <f t="shared" si="4"/>
        <v>0</v>
      </c>
      <c r="AE14" s="2074">
        <f t="shared" si="5"/>
        <v>0</v>
      </c>
      <c r="AF14" s="2074">
        <f t="shared" si="19"/>
        <v>0</v>
      </c>
      <c r="AG14" s="2074">
        <f t="shared" si="20"/>
        <v>0</v>
      </c>
      <c r="AH14" s="2074">
        <f t="shared" si="6"/>
        <v>0</v>
      </c>
      <c r="AI14" s="2074">
        <f t="shared" si="7"/>
        <v>0</v>
      </c>
      <c r="AJ14" s="2074">
        <f t="shared" si="8"/>
        <v>0</v>
      </c>
      <c r="AK14" s="2074">
        <f t="shared" si="9"/>
        <v>0</v>
      </c>
      <c r="AL14" s="2074">
        <f t="shared" si="10"/>
        <v>0</v>
      </c>
      <c r="AM14" s="2074">
        <f t="shared" si="11"/>
        <v>0</v>
      </c>
      <c r="AN14" s="2074">
        <f t="shared" si="21"/>
        <v>0</v>
      </c>
      <c r="AO14" s="2074">
        <f t="shared" si="12"/>
        <v>0</v>
      </c>
      <c r="AP14" s="2074">
        <f t="shared" si="22"/>
        <v>0</v>
      </c>
      <c r="AQ14" s="2074">
        <f t="shared" si="13"/>
        <v>0</v>
      </c>
      <c r="AR14" s="2074">
        <f t="shared" si="14"/>
        <v>0</v>
      </c>
      <c r="AS14" s="2074"/>
      <c r="AT14" s="2074"/>
      <c r="AU14" s="2074"/>
      <c r="AV14" s="2074"/>
      <c r="AW14" s="2074"/>
      <c r="AX14" s="2074"/>
      <c r="AY14" s="2074"/>
      <c r="AZ14" s="2074"/>
      <c r="BA14" s="2074"/>
      <c r="BB14" s="2074"/>
      <c r="BC14" s="2074"/>
      <c r="BD14" s="2074"/>
      <c r="BE14" s="2074"/>
      <c r="BF14" s="2074"/>
      <c r="BG14" s="693"/>
      <c r="BH14" s="971" t="s">
        <v>11089</v>
      </c>
      <c r="BI14" s="972"/>
      <c r="BJ14" s="973"/>
      <c r="BK14" s="974"/>
      <c r="BL14" s="975"/>
      <c r="BM14" s="985"/>
      <c r="BN14" s="975"/>
      <c r="BO14" s="975"/>
      <c r="BP14" s="975"/>
      <c r="BQ14" s="985"/>
      <c r="BR14" s="985"/>
      <c r="BS14" s="985"/>
      <c r="BT14" s="985"/>
      <c r="BU14" s="985"/>
      <c r="BV14" s="975"/>
      <c r="BW14" s="975"/>
      <c r="BX14" s="975"/>
      <c r="BY14" s="975"/>
      <c r="BZ14" s="975"/>
      <c r="CA14" s="975"/>
      <c r="CB14" s="978"/>
      <c r="CD14" s="2218"/>
      <c r="CE14" s="2084">
        <f>$A$26</f>
        <v>156</v>
      </c>
      <c r="CF14" s="2218"/>
      <c r="CG14" s="2084">
        <f>$A$29</f>
        <v>172</v>
      </c>
      <c r="CH14" s="2084"/>
      <c r="CI14" s="2084"/>
      <c r="CJ14" s="2074" t="s">
        <v>7091</v>
      </c>
    </row>
    <row r="15" spans="1:88" ht="16.149999999999999" customHeight="1">
      <c r="A15" s="2084">
        <f t="shared" si="23"/>
        <v>124</v>
      </c>
      <c r="B15" s="158" t="str">
        <f>D_Klick!C228</f>
        <v>Stiere, 1 bis 2-jährig</v>
      </c>
      <c r="C15" s="159"/>
      <c r="D15" s="159"/>
      <c r="E15" s="159"/>
      <c r="F15" s="160" t="str">
        <f>Texte!A384</f>
        <v>Platz</v>
      </c>
      <c r="G15" s="154"/>
      <c r="H15" s="160">
        <f>D_Klick!N50</f>
        <v>0.4</v>
      </c>
      <c r="I15" s="160">
        <f t="shared" si="15"/>
        <v>0</v>
      </c>
      <c r="J15" s="85"/>
      <c r="K15" s="152"/>
      <c r="L15" s="160">
        <f t="shared" si="16"/>
        <v>0</v>
      </c>
      <c r="M15" s="160">
        <f t="shared" si="17"/>
        <v>0</v>
      </c>
      <c r="N15" s="154"/>
      <c r="O15" s="155"/>
      <c r="P15" s="154"/>
      <c r="Q15" s="154"/>
      <c r="R15" s="155"/>
      <c r="S15" s="160"/>
      <c r="T15" s="2017"/>
      <c r="U15" s="2073"/>
      <c r="V15" s="2962">
        <f t="shared" si="18"/>
        <v>1</v>
      </c>
      <c r="W15" s="2076" t="b">
        <v>0</v>
      </c>
      <c r="X15" s="2076" t="b">
        <v>0</v>
      </c>
      <c r="Y15" s="2076">
        <f t="shared" si="0"/>
        <v>0</v>
      </c>
      <c r="Z15" s="2074">
        <f t="shared" si="1"/>
        <v>0</v>
      </c>
      <c r="AA15" s="2074"/>
      <c r="AB15" s="2074">
        <f t="shared" si="2"/>
        <v>0</v>
      </c>
      <c r="AC15" s="2074">
        <f t="shared" si="3"/>
        <v>0</v>
      </c>
      <c r="AD15" s="2074">
        <f t="shared" si="4"/>
        <v>0</v>
      </c>
      <c r="AE15" s="2074">
        <f t="shared" si="5"/>
        <v>0</v>
      </c>
      <c r="AF15" s="2074">
        <f t="shared" si="19"/>
        <v>0</v>
      </c>
      <c r="AG15" s="2074">
        <f t="shared" si="20"/>
        <v>0</v>
      </c>
      <c r="AH15" s="2074">
        <f t="shared" si="6"/>
        <v>0</v>
      </c>
      <c r="AI15" s="2074">
        <f t="shared" si="7"/>
        <v>0</v>
      </c>
      <c r="AJ15" s="2074">
        <f t="shared" si="8"/>
        <v>0</v>
      </c>
      <c r="AK15" s="2074">
        <f t="shared" si="9"/>
        <v>0</v>
      </c>
      <c r="AL15" s="2074">
        <f t="shared" si="10"/>
        <v>0</v>
      </c>
      <c r="AM15" s="2074">
        <f t="shared" si="11"/>
        <v>0</v>
      </c>
      <c r="AN15" s="2074">
        <f t="shared" si="21"/>
        <v>0</v>
      </c>
      <c r="AO15" s="2074">
        <f t="shared" si="12"/>
        <v>0</v>
      </c>
      <c r="AP15" s="2074">
        <f t="shared" si="22"/>
        <v>0</v>
      </c>
      <c r="AQ15" s="2074">
        <f t="shared" si="13"/>
        <v>0</v>
      </c>
      <c r="AR15" s="2074">
        <f t="shared" si="14"/>
        <v>0</v>
      </c>
      <c r="AS15" s="2074">
        <f>IF(AND(H30&lt;0.8,H30&gt;=0.6),AK30,0)</f>
        <v>0</v>
      </c>
      <c r="AT15" s="2074">
        <f>IF(AND(H30&lt;0.8,H30&gt;=0.6),AL30,0)</f>
        <v>0</v>
      </c>
      <c r="AU15" s="2074">
        <f>IF(AND(H30&lt;0.8,H30&gt;=0.6),AM30,0)</f>
        <v>0</v>
      </c>
      <c r="AV15" s="2074">
        <f>IF(AND(H30&lt;0.8,H30&gt;=0.6),AO30,0)</f>
        <v>0</v>
      </c>
      <c r="AW15" s="2074">
        <f>IF(AP30&lt;&gt;0,IF(AND(H30&lt;0.8,H30&gt;=0.6),AP30,0),0)</f>
        <v>0</v>
      </c>
      <c r="AX15" s="2074">
        <f>IF(AQ30&lt;&gt;0,IF(AND(H30&lt;0.8,H30&gt;=0.6),AQ30,0),0)</f>
        <v>0</v>
      </c>
      <c r="AY15" s="2074">
        <f>IF(AR30&lt;&gt;0,IF(AND(H30&lt;0.8,H30&gt;=0.6),AR30,0),0)</f>
        <v>0</v>
      </c>
      <c r="AZ15" s="2074">
        <f>IF(AND(H31&lt;1,H31&gt;=0.6),AK31,0)</f>
        <v>0</v>
      </c>
      <c r="BA15" s="2074">
        <f>IF(AND(H31&lt;0.8,H31&gt;=0.6),AL31,0)</f>
        <v>0</v>
      </c>
      <c r="BB15" s="2074">
        <f>IF(AND(H31&lt;0.8,H31&gt;=0.6),AM31,0)</f>
        <v>0</v>
      </c>
      <c r="BC15" s="2074">
        <f>IF(AND(H31&lt;0.8,H31&gt;=0.6),AO31,0)</f>
        <v>0</v>
      </c>
      <c r="BD15" s="2074">
        <f>IF(AP31&lt;&gt;0,IF(AND(H31&lt;0.8,H31&gt;=0.6),AP31,0),0)</f>
        <v>0</v>
      </c>
      <c r="BE15" s="2074">
        <f>IF(AQ31&lt;&gt;0,IF(AND(H31&lt;0.8,H31&gt;=0.6),AQ31,0),0)</f>
        <v>0</v>
      </c>
      <c r="BF15" s="2074">
        <f>IF(AR31&lt;&gt;0,IF(AND(H31&lt;0.8,H31&gt;=0.6),AR31,0),0)</f>
        <v>0</v>
      </c>
      <c r="BG15" s="693">
        <v>203</v>
      </c>
      <c r="BH15" s="2395" t="s">
        <v>11090</v>
      </c>
      <c r="BI15" s="159"/>
      <c r="BJ15" s="159"/>
      <c r="BK15" s="159"/>
      <c r="BL15" s="160" t="str">
        <f>F14</f>
        <v>Platz</v>
      </c>
      <c r="BM15" s="983">
        <f>AK14+AK16+AK23+AK24+AS15+AZ15</f>
        <v>0</v>
      </c>
      <c r="BN15" s="160">
        <v>0.6</v>
      </c>
      <c r="BO15" s="160">
        <f>ROUND(BM15*BN15,2)</f>
        <v>0</v>
      </c>
      <c r="BP15" s="160">
        <f>AM14+AM16+AM23+AM24+AU15+BB15</f>
        <v>0</v>
      </c>
      <c r="BQ15" s="983">
        <f>AL14+AL16+AL23+AL24+AT15+BA15</f>
        <v>0</v>
      </c>
      <c r="BR15" s="983">
        <f t="shared" si="24"/>
        <v>0</v>
      </c>
      <c r="BS15" s="983">
        <f>$BN$15*$BR$15</f>
        <v>0</v>
      </c>
      <c r="BT15" s="983">
        <f>AO14+AO16+AO23+AO24+AV15+BC15</f>
        <v>0</v>
      </c>
      <c r="BU15" s="983">
        <f>-$BN$15*$BT$15</f>
        <v>0</v>
      </c>
      <c r="BV15" s="160">
        <f t="shared" si="25"/>
        <v>0</v>
      </c>
      <c r="BW15" s="977">
        <f t="shared" si="26"/>
        <v>0</v>
      </c>
      <c r="BX15" s="160">
        <f>(AQ14+AQ16+AQ23+AQ24+AX15+BE15)*BN15</f>
        <v>0</v>
      </c>
      <c r="BY15" s="977">
        <f>(AR14+AR16+AR23+AR24+AY15+BF15)*BN15</f>
        <v>0</v>
      </c>
      <c r="BZ15" s="160">
        <f>BN15*BR15-BN15*BT15</f>
        <v>0</v>
      </c>
      <c r="CA15" s="160">
        <f>IF(OR(BW15=0,BZ15=0),0,BW15/BZ15*BX15)</f>
        <v>0</v>
      </c>
      <c r="CB15" s="977">
        <f t="shared" si="27"/>
        <v>0</v>
      </c>
      <c r="CD15" s="2219"/>
      <c r="CF15" s="2219"/>
      <c r="CJ15" s="2074" t="s">
        <v>7092</v>
      </c>
    </row>
    <row r="16" spans="1:88" ht="16.149999999999999" customHeight="1">
      <c r="A16" s="2084">
        <f t="shared" si="23"/>
        <v>128</v>
      </c>
      <c r="B16" s="158" t="str">
        <f>D_Klick!C229</f>
        <v>Stiere, über 2-jährig</v>
      </c>
      <c r="C16" s="159"/>
      <c r="D16" s="159"/>
      <c r="E16" s="159"/>
      <c r="F16" s="160" t="str">
        <f>Texte!A383</f>
        <v>Stück</v>
      </c>
      <c r="G16" s="154"/>
      <c r="H16" s="160">
        <f>D_Klick!N51</f>
        <v>0.6</v>
      </c>
      <c r="I16" s="160">
        <f t="shared" si="15"/>
        <v>0</v>
      </c>
      <c r="J16" s="85"/>
      <c r="K16" s="3000"/>
      <c r="L16" s="160">
        <f t="shared" si="16"/>
        <v>0</v>
      </c>
      <c r="M16" s="160">
        <f t="shared" si="17"/>
        <v>0</v>
      </c>
      <c r="N16" s="154"/>
      <c r="O16" s="155"/>
      <c r="P16" s="154"/>
      <c r="Q16" s="154"/>
      <c r="R16" s="155"/>
      <c r="S16" s="160"/>
      <c r="T16" s="2017"/>
      <c r="U16" s="2073"/>
      <c r="V16" s="2962">
        <f t="shared" si="18"/>
        <v>1</v>
      </c>
      <c r="W16" s="2076" t="b">
        <v>0</v>
      </c>
      <c r="X16" s="2076" t="b">
        <v>0</v>
      </c>
      <c r="Y16" s="2076">
        <f t="shared" si="0"/>
        <v>0</v>
      </c>
      <c r="Z16" s="2074">
        <f t="shared" si="1"/>
        <v>0</v>
      </c>
      <c r="AA16" s="2074"/>
      <c r="AB16" s="2074">
        <f t="shared" si="2"/>
        <v>0</v>
      </c>
      <c r="AC16" s="2074">
        <f t="shared" si="3"/>
        <v>0</v>
      </c>
      <c r="AD16" s="2074">
        <f t="shared" si="4"/>
        <v>0</v>
      </c>
      <c r="AE16" s="2074">
        <f t="shared" si="5"/>
        <v>0</v>
      </c>
      <c r="AF16" s="2074">
        <f t="shared" si="19"/>
        <v>0</v>
      </c>
      <c r="AG16" s="2074">
        <f t="shared" si="20"/>
        <v>0</v>
      </c>
      <c r="AH16" s="2074">
        <f t="shared" si="6"/>
        <v>0</v>
      </c>
      <c r="AI16" s="2074">
        <f t="shared" si="7"/>
        <v>0</v>
      </c>
      <c r="AJ16" s="2074">
        <f t="shared" si="8"/>
        <v>0</v>
      </c>
      <c r="AK16" s="2074">
        <f t="shared" si="9"/>
        <v>0</v>
      </c>
      <c r="AL16" s="2074">
        <f t="shared" si="10"/>
        <v>0</v>
      </c>
      <c r="AM16" s="2074">
        <f t="shared" si="11"/>
        <v>0</v>
      </c>
      <c r="AN16" s="2074">
        <f t="shared" si="21"/>
        <v>0</v>
      </c>
      <c r="AO16" s="2074">
        <f t="shared" si="12"/>
        <v>0</v>
      </c>
      <c r="AP16" s="2074">
        <f t="shared" si="22"/>
        <v>0</v>
      </c>
      <c r="AQ16" s="2074">
        <f t="shared" si="13"/>
        <v>0</v>
      </c>
      <c r="AR16" s="2074">
        <f t="shared" si="14"/>
        <v>0</v>
      </c>
      <c r="AS16" s="2074">
        <f>IF(AND(H30&lt;0.6,H30&gt;=0.4),AK30,0)</f>
        <v>0</v>
      </c>
      <c r="AT16" s="2074">
        <f>IF(AND(H30&lt;0.6,H30&gt;=0.4),AL30,0)</f>
        <v>0</v>
      </c>
      <c r="AU16" s="2074">
        <f>IF(AND(H30&lt;0.6,H30&gt;=0.4),AM30,0)</f>
        <v>0</v>
      </c>
      <c r="AV16" s="2074">
        <f>IF(AND(H30&lt;0.6,H30&gt;=0.4),AO30,0)</f>
        <v>0</v>
      </c>
      <c r="AW16" s="2074">
        <f>IF(AP30&lt;&gt;0,IF(AND(H30&lt;0.6,H30&gt;=0.4),AP30,0),0)</f>
        <v>0</v>
      </c>
      <c r="AX16" s="2074">
        <f>IF(AQ30&lt;&gt;0,IF(AND(H30&lt;0.6,H30&gt;=0.4),AQ30,0),0)</f>
        <v>0</v>
      </c>
      <c r="AY16" s="2074">
        <f>IF(AR30&lt;&gt;0,IF(AND(H30&lt;0.6,H30&gt;=0.4),AR30,0),0)</f>
        <v>0</v>
      </c>
      <c r="AZ16" s="2074">
        <f>IF(AND(H31&lt;0.6,H31&gt;=0.4),AK31,0)</f>
        <v>0</v>
      </c>
      <c r="BA16" s="2074">
        <f>IF(AND(H31&lt;0.6,H31&gt;=0.4),AL31,0)</f>
        <v>0</v>
      </c>
      <c r="BB16" s="2074">
        <f>IF(AND(H31&lt;0.6,H31&gt;=0.4),AM31,0)</f>
        <v>0</v>
      </c>
      <c r="BC16" s="2074">
        <f>IF(AND(H31&lt;0.6,H31&gt;=0.4),AO31,0)</f>
        <v>0</v>
      </c>
      <c r="BD16" s="2074">
        <f>IF(AP31&lt;&gt;0,IF(AND(H31&lt;0.6,H31&gt;=0.4),AP31,0),0)</f>
        <v>0</v>
      </c>
      <c r="BE16" s="2074">
        <f>IF(AQ31&lt;&gt;0,IF(AND(H31&lt;0.6,H31&gt;=0.4),AQ31,0),0)</f>
        <v>0</v>
      </c>
      <c r="BF16" s="2074">
        <f>IF(AR31&lt;&gt;0,IF(AND(H31&lt;0.6,H31&gt;=0.4),AR31,0),0)</f>
        <v>0</v>
      </c>
      <c r="BG16" s="693">
        <v>204</v>
      </c>
      <c r="BH16" s="2397" t="s">
        <v>11091</v>
      </c>
      <c r="BI16" s="989"/>
      <c r="BJ16" s="989"/>
      <c r="BK16" s="989"/>
      <c r="BL16" s="990" t="str">
        <f>F13</f>
        <v>Platz</v>
      </c>
      <c r="BM16" s="991">
        <f>AK13 + AK15 + AK22 + AK29*$CG$16 + AS16 + AZ16</f>
        <v>0</v>
      </c>
      <c r="BN16" s="990">
        <v>0.4</v>
      </c>
      <c r="BO16" s="990">
        <f>ROUND(BM16*BN16,2)</f>
        <v>0</v>
      </c>
      <c r="BP16" s="990">
        <f>AM13+AM15+AM22+ AM29*$CG$16+AU16+BB16</f>
        <v>0</v>
      </c>
      <c r="BQ16" s="990">
        <f>AL13+AL15+AL22 + AL29*$CG$16+AT16+BA16</f>
        <v>0</v>
      </c>
      <c r="BR16" s="990">
        <f t="shared" si="24"/>
        <v>0</v>
      </c>
      <c r="BS16" s="990">
        <f>$BN$16*$BR$16</f>
        <v>0</v>
      </c>
      <c r="BT16" s="990">
        <f>AO13+AO15+AO22 + AO29*$CG$16+AV16+BC16</f>
        <v>0</v>
      </c>
      <c r="BU16" s="990">
        <f>-$BN$16*$BT$16</f>
        <v>0</v>
      </c>
      <c r="BV16" s="160">
        <f t="shared" si="25"/>
        <v>0</v>
      </c>
      <c r="BW16" s="992">
        <f t="shared" si="26"/>
        <v>0</v>
      </c>
      <c r="BX16" s="990">
        <f>(AQ13+AQ15+AQ22 + AQ29*CG16+AX16+BE16)*BN16</f>
        <v>0</v>
      </c>
      <c r="BY16" s="992">
        <f>(AR13+AR15+AR22 + AR29*CG16+AY16+BF16)*BN16</f>
        <v>0</v>
      </c>
      <c r="BZ16" s="990">
        <f>BN16*BR16-BN16*BT16</f>
        <v>0</v>
      </c>
      <c r="CA16" s="990">
        <f>IF(OR(BW16=0,BZ16=0),0,BW16/BZ16*BX16)</f>
        <v>0</v>
      </c>
      <c r="CB16" s="992">
        <f t="shared" si="27"/>
        <v>0</v>
      </c>
      <c r="CD16" s="2219"/>
      <c r="CE16" s="2074">
        <f>D_Klick!T84</f>
        <v>0</v>
      </c>
      <c r="CF16" s="2219"/>
      <c r="CG16" s="2219">
        <f>240/485</f>
        <v>0.49484536082474229</v>
      </c>
      <c r="CJ16" s="2074" t="str">
        <f>BH16</f>
        <v>between 365 and 730 days old</v>
      </c>
    </row>
    <row r="17" spans="1:88" ht="16.149999999999999" customHeight="1">
      <c r="A17" s="2084">
        <f t="shared" si="23"/>
        <v>132</v>
      </c>
      <c r="B17" s="151" t="str">
        <f>D_Klick!C230</f>
        <v>Mutterkühe</v>
      </c>
      <c r="C17" s="654"/>
      <c r="D17" s="2251" t="s">
        <v>4614</v>
      </c>
      <c r="E17" s="2004">
        <v>1</v>
      </c>
      <c r="F17" s="153" t="str">
        <f>Texte!A383</f>
        <v>Stück</v>
      </c>
      <c r="G17" s="164"/>
      <c r="H17" s="153">
        <f>D_Klick!N52</f>
        <v>1</v>
      </c>
      <c r="I17" s="153">
        <f t="shared" si="15"/>
        <v>0</v>
      </c>
      <c r="J17" s="164"/>
      <c r="K17" s="166"/>
      <c r="L17" s="153">
        <f t="shared" si="16"/>
        <v>0</v>
      </c>
      <c r="M17" s="153">
        <f t="shared" si="17"/>
        <v>0</v>
      </c>
      <c r="N17" s="164"/>
      <c r="O17" s="166"/>
      <c r="P17" s="164"/>
      <c r="Q17" s="164"/>
      <c r="R17" s="166"/>
      <c r="S17" s="153"/>
      <c r="T17" s="2018"/>
      <c r="U17" s="2073"/>
      <c r="V17" s="2962">
        <f t="shared" si="18"/>
        <v>1</v>
      </c>
      <c r="W17" s="2076" t="b">
        <v>0</v>
      </c>
      <c r="X17" s="2076" t="b">
        <v>0</v>
      </c>
      <c r="Y17" s="2076">
        <f t="shared" si="0"/>
        <v>0</v>
      </c>
      <c r="Z17" s="2074">
        <f t="shared" si="1"/>
        <v>0</v>
      </c>
      <c r="AA17" s="2074"/>
      <c r="AB17" s="2074">
        <f t="shared" si="2"/>
        <v>0</v>
      </c>
      <c r="AC17" s="2074">
        <f t="shared" si="3"/>
        <v>0</v>
      </c>
      <c r="AD17" s="2074">
        <f t="shared" si="4"/>
        <v>0</v>
      </c>
      <c r="AE17" s="2074">
        <f t="shared" si="5"/>
        <v>0</v>
      </c>
      <c r="AF17" s="2074">
        <f t="shared" si="19"/>
        <v>0</v>
      </c>
      <c r="AG17" s="2074">
        <f t="shared" si="20"/>
        <v>0</v>
      </c>
      <c r="AH17" s="2074">
        <f t="shared" si="6"/>
        <v>0</v>
      </c>
      <c r="AI17" s="2074">
        <f t="shared" si="7"/>
        <v>0</v>
      </c>
      <c r="AJ17" s="2074">
        <f t="shared" si="8"/>
        <v>0</v>
      </c>
      <c r="AK17" s="2074">
        <f t="shared" si="9"/>
        <v>0</v>
      </c>
      <c r="AL17" s="2074">
        <f t="shared" si="10"/>
        <v>0</v>
      </c>
      <c r="AM17" s="2074">
        <f t="shared" si="11"/>
        <v>0</v>
      </c>
      <c r="AN17" s="2074">
        <f t="shared" si="21"/>
        <v>0</v>
      </c>
      <c r="AO17" s="2074">
        <f t="shared" si="12"/>
        <v>0</v>
      </c>
      <c r="AP17" s="2074">
        <f t="shared" si="22"/>
        <v>0</v>
      </c>
      <c r="AQ17" s="2074">
        <f t="shared" si="13"/>
        <v>0</v>
      </c>
      <c r="AR17" s="2074">
        <f t="shared" si="14"/>
        <v>0</v>
      </c>
      <c r="AS17" s="2074">
        <f>IF(AND(H30&lt;0.4,H30&gt;=0.33),AK30,0)</f>
        <v>0</v>
      </c>
      <c r="AT17" s="2074">
        <f>IF(AND(H30&lt;0.4,H30&gt;=0.33),AL30,0)</f>
        <v>0</v>
      </c>
      <c r="AU17" s="2074">
        <f>IF(AND(H30&lt;0.4,H30&gt;=0.33),AM30,0)</f>
        <v>0</v>
      </c>
      <c r="AV17" s="2074">
        <f>IF(AND(H30&lt;0.4,H30&gt;=0.33),AO30,0)</f>
        <v>0</v>
      </c>
      <c r="AW17" s="2074">
        <f>IF(AP30&lt;&gt;0,IF(AND(H30&lt;0.4,H30&gt;=0.33),AP30,0),0)</f>
        <v>0</v>
      </c>
      <c r="AX17" s="2074">
        <f>IF(AQ30&lt;&gt;0,IF(AND(H30&lt;0.4,H30&gt;=0.33),AQ30,0),0)</f>
        <v>0</v>
      </c>
      <c r="AY17" s="2074">
        <f>IF(AR30&lt;&gt;0,IF(AND(H30&lt;0.4,H30&gt;=0.33),AR30,0),0)</f>
        <v>0</v>
      </c>
      <c r="AZ17" s="2074">
        <f>IF(AND(H31&lt;0.4,H31&gt;=0.33),AK31,0)</f>
        <v>0</v>
      </c>
      <c r="BA17" s="2074">
        <f>IF(AND(H31&lt;0.4,H31&gt;=0.33),AL31,0)</f>
        <v>0</v>
      </c>
      <c r="BB17" s="2074">
        <f>IF(AND(H31&lt;0.4,H31&gt;=0.33),AM31,0)</f>
        <v>0</v>
      </c>
      <c r="BC17" s="2074">
        <f>IF(AND(H31&lt;0.4,H31&gt;=0.33),AO31,0)</f>
        <v>0</v>
      </c>
      <c r="BD17" s="2074">
        <f>IF(AP31&lt;&gt;0,IF(AND(H31&lt;0.4,H31&gt;=0.33),AP31,0),0)</f>
        <v>0</v>
      </c>
      <c r="BE17" s="2074">
        <f>IF(AQ31&lt;&gt;0,IF(AND(H31&lt;0.4,H31&gt;=0.33),AQ31,0),0)</f>
        <v>0</v>
      </c>
      <c r="BF17" s="2074">
        <f>IF(AR31&lt;&gt;0,IF(AND(H31&lt;0.4,H31&gt;=0.33),AR31,0),0)</f>
        <v>0</v>
      </c>
      <c r="BG17" s="693">
        <v>205</v>
      </c>
      <c r="BH17" s="2395" t="s">
        <v>11092</v>
      </c>
      <c r="BI17" s="988"/>
      <c r="BJ17" s="988"/>
      <c r="BK17" s="76"/>
      <c r="BL17" s="160" t="str">
        <f>F12</f>
        <v>Platz</v>
      </c>
      <c r="BM17" s="983">
        <f>AK12+AK19+AK20+AK21+AK29*$CG$17+AK28+AS17+AZ17</f>
        <v>0</v>
      </c>
      <c r="BN17" s="160">
        <v>0.33</v>
      </c>
      <c r="BO17" s="160">
        <f>ROUND(BM17*BN17,2)</f>
        <v>0</v>
      </c>
      <c r="BP17" s="160">
        <f>AM12+AM19+AM20+AM21+AM29*$CG$17+AM28+AU17+BB17</f>
        <v>0</v>
      </c>
      <c r="BQ17" s="983">
        <f>AL12+AL19+AL20+AL21+AL29*$CG$17+AL28+AT17+BA17</f>
        <v>0</v>
      </c>
      <c r="BR17" s="983">
        <f t="shared" si="24"/>
        <v>0</v>
      </c>
      <c r="BS17" s="983">
        <f>$BN$17*$BR$17</f>
        <v>0</v>
      </c>
      <c r="BT17" s="983">
        <f>AO12+AO19+AO20+AO21+AO29*$CG$17+AO28+AV17+BC17</f>
        <v>0</v>
      </c>
      <c r="BU17" s="983">
        <f>-$BN$17*$BT$17</f>
        <v>0</v>
      </c>
      <c r="BV17" s="160">
        <f t="shared" si="25"/>
        <v>0</v>
      </c>
      <c r="BW17" s="977">
        <f t="shared" si="26"/>
        <v>0</v>
      </c>
      <c r="BX17" s="1979">
        <f>(AQ12+AQ19+AQ20+AQ21+AQ29*$CG$17+AQ28+AX17+BE17)*BN17</f>
        <v>0</v>
      </c>
      <c r="BY17" s="977">
        <f>(AR12+AR19+AR20+AR21+AR29*$CG$17+AR28+AY17+BF17)*BN17</f>
        <v>0</v>
      </c>
      <c r="BZ17" s="160">
        <f>BN17*BR17-BN17*BT17</f>
        <v>0</v>
      </c>
      <c r="CA17" s="160">
        <f>IF(OR(BW17=0,BZ17=0),0,BW17/BZ17*BX17)</f>
        <v>0</v>
      </c>
      <c r="CB17" s="977">
        <f t="shared" si="27"/>
        <v>0</v>
      </c>
      <c r="CD17" s="2219"/>
      <c r="CE17" s="2074">
        <f>D_Klick!T85</f>
        <v>0</v>
      </c>
      <c r="CF17" s="2219"/>
      <c r="CG17" s="2219">
        <f>205/485</f>
        <v>0.42268041237113402</v>
      </c>
      <c r="CJ17" s="2074" t="str">
        <f>BH17</f>
        <v>between 160 and 365 days old</v>
      </c>
    </row>
    <row r="18" spans="1:88" ht="16.149999999999999" customHeight="1">
      <c r="A18" s="2084">
        <v>134</v>
      </c>
      <c r="B18" s="158" t="str">
        <f>D_Klick!C231</f>
        <v>Mutterkuhkälber zur Mast, bis 160-tägig</v>
      </c>
      <c r="C18" s="159"/>
      <c r="D18" s="159"/>
      <c r="E18" s="159"/>
      <c r="F18" s="160" t="str">
        <f>F22</f>
        <v>Platz</v>
      </c>
      <c r="G18" s="154"/>
      <c r="H18" s="160">
        <f>D_Klick!N53</f>
        <v>0.13</v>
      </c>
      <c r="I18" s="160">
        <f t="shared" si="15"/>
        <v>0</v>
      </c>
      <c r="J18" s="154"/>
      <c r="K18" s="152"/>
      <c r="L18" s="160">
        <f t="shared" si="16"/>
        <v>0</v>
      </c>
      <c r="M18" s="160">
        <f t="shared" si="17"/>
        <v>0</v>
      </c>
      <c r="N18" s="154"/>
      <c r="O18" s="155"/>
      <c r="P18" s="154"/>
      <c r="Q18" s="154"/>
      <c r="R18" s="155"/>
      <c r="S18" s="160"/>
      <c r="T18" s="2017"/>
      <c r="U18" s="2073"/>
      <c r="V18" s="2962">
        <f t="shared" si="18"/>
        <v>1</v>
      </c>
      <c r="W18" s="2249" t="b">
        <v>0</v>
      </c>
      <c r="X18" s="2249" t="b">
        <v>0</v>
      </c>
      <c r="Y18" s="2076">
        <f t="shared" si="0"/>
        <v>0</v>
      </c>
      <c r="Z18" s="2074">
        <f t="shared" si="1"/>
        <v>0</v>
      </c>
      <c r="AA18" s="2074"/>
      <c r="AB18" s="2074">
        <f t="shared" si="2"/>
        <v>0</v>
      </c>
      <c r="AC18" s="2074">
        <f t="shared" si="3"/>
        <v>0</v>
      </c>
      <c r="AD18" s="2074">
        <f t="shared" si="4"/>
        <v>0</v>
      </c>
      <c r="AE18" s="2074">
        <f t="shared" si="5"/>
        <v>0</v>
      </c>
      <c r="AF18" s="2074">
        <f t="shared" si="19"/>
        <v>0</v>
      </c>
      <c r="AG18" s="2074">
        <f t="shared" si="20"/>
        <v>0</v>
      </c>
      <c r="AH18" s="2074">
        <f t="shared" si="6"/>
        <v>0</v>
      </c>
      <c r="AI18" s="2074">
        <f t="shared" si="7"/>
        <v>0</v>
      </c>
      <c r="AJ18" s="2074">
        <f t="shared" si="8"/>
        <v>0</v>
      </c>
      <c r="AK18" s="2074">
        <f t="shared" si="9"/>
        <v>0</v>
      </c>
      <c r="AL18" s="2074">
        <f t="shared" si="10"/>
        <v>0</v>
      </c>
      <c r="AM18" s="2074">
        <f t="shared" si="11"/>
        <v>0</v>
      </c>
      <c r="AN18" s="2074">
        <f t="shared" si="21"/>
        <v>0</v>
      </c>
      <c r="AO18" s="2074">
        <f t="shared" si="12"/>
        <v>0</v>
      </c>
      <c r="AP18" s="2074">
        <f t="shared" si="22"/>
        <v>0</v>
      </c>
      <c r="AQ18" s="2074">
        <f t="shared" si="13"/>
        <v>0</v>
      </c>
      <c r="AR18" s="2074">
        <f t="shared" si="14"/>
        <v>0</v>
      </c>
      <c r="AS18" s="2074">
        <f>IF(AND(H30&lt;0.33,H30&gt;=0.13),AK30,0)</f>
        <v>0</v>
      </c>
      <c r="AT18" s="2074">
        <f>IF(AND(H30&lt;0.33,H30&gt;=0.13),AL30,0)</f>
        <v>0</v>
      </c>
      <c r="AU18" s="2074">
        <f>IF(AND(H30&lt;0.33,H30&gt;=0.13),AM30,0)</f>
        <v>0</v>
      </c>
      <c r="AV18" s="2074">
        <f>IF(AND(H30&lt;0.33,H30&gt;=0.13),AO30,0)</f>
        <v>0</v>
      </c>
      <c r="AW18" s="2074">
        <f>IF(AP30&lt;&gt;0,IF(AND(H30&lt;0.33,H30&gt;=0.13),AP30,0),0)</f>
        <v>0</v>
      </c>
      <c r="AX18" s="2074">
        <f>IF(AQ30&lt;&gt;0,IF(AND(H30&lt;0.33,H30&gt;=0.13),AQ30,0),0)</f>
        <v>0</v>
      </c>
      <c r="AY18" s="2074">
        <f>IF(AR30&lt;&gt;0,IF(AND(H30&lt;0.33,H30&gt;=0.13),AR30,0),0)</f>
        <v>0</v>
      </c>
      <c r="AZ18" s="2074">
        <f>IF(AND(H31&lt;0.33,H31&gt;=0.13),AK31,0)</f>
        <v>0</v>
      </c>
      <c r="BA18" s="2074">
        <f>IF(AND(H31&lt;0.33,H31&gt;=0.13),AL31,0)</f>
        <v>0</v>
      </c>
      <c r="BB18" s="2074">
        <f>IF(AND(H31&lt;0.33,H31&gt;=0.13),AM31,0)</f>
        <v>0</v>
      </c>
      <c r="BC18" s="2074">
        <f>IF(AND(H31&lt;0.33,H31&gt;=0.13),AO31,0)</f>
        <v>0</v>
      </c>
      <c r="BD18" s="2074">
        <f>IF(AP31&lt;&gt;0,IF(AND(H31&lt;0.33,H31&gt;=0.13),AP31,0),0)</f>
        <v>0</v>
      </c>
      <c r="BE18" s="2074">
        <f>IF(AQ31&lt;&gt;0,IF(AND(H31&lt;0.33,H31&gt;=0.13),AQ31,0),0)</f>
        <v>0</v>
      </c>
      <c r="BF18" s="2074">
        <f>IF(AR31&lt;&gt;0,IF(AND(H31&lt;0.33,H31&gt;=0.13),AR31,0),0)</f>
        <v>0</v>
      </c>
      <c r="BG18" s="693">
        <v>206</v>
      </c>
      <c r="BH18" s="2398" t="s">
        <v>11093</v>
      </c>
      <c r="BI18" s="979"/>
      <c r="BJ18" s="979"/>
      <c r="BK18" s="979"/>
      <c r="BL18" s="980" t="str">
        <f>F11</f>
        <v>Platz</v>
      </c>
      <c r="BM18" s="986">
        <f>AK11+AK18+AK25+AK26*$CE$18+IF(AND(AK28 =0,ABS(AK29) &gt; 0), $CG$18* AK29 + AK27 * 2,AK27)+AS18+AZ18</f>
        <v>0</v>
      </c>
      <c r="BN18" s="980">
        <v>0.13</v>
      </c>
      <c r="BO18" s="980">
        <f>ROUND(BM18*BN18,2)</f>
        <v>0</v>
      </c>
      <c r="BP18" s="980">
        <f>AM11+AM18+AM25+AM26*$CE$18+IF(AND(AM28 =0,ABS(AM29) &gt; 0), $CG$18* AM29 + AM27*2,AM27)+AU18+BB18</f>
        <v>0</v>
      </c>
      <c r="BQ18" s="986">
        <f>AL11+AL18+AL25+AL26*$CE$18+IF(AND(AL28 =0,ABS(AL29) &gt; 0), $CG$18* AL29 + AL27/2,0)+AT18+BA18</f>
        <v>0</v>
      </c>
      <c r="BR18" s="986">
        <f t="shared" si="24"/>
        <v>0</v>
      </c>
      <c r="BS18" s="986">
        <f>$BN$18*$BR$18</f>
        <v>0</v>
      </c>
      <c r="BT18" s="986">
        <f>AO11+AO18+AO25+AO26*$CE$18+IF(AND(AO28 =0,ABS(AO29) &gt; 0), $CG$18 * AO29 + AO27*2,AO27)+AV18+BC18</f>
        <v>0</v>
      </c>
      <c r="BU18" s="986">
        <f>-$BN$18*$BT$18</f>
        <v>0</v>
      </c>
      <c r="BV18" s="980">
        <f t="shared" si="25"/>
        <v>0</v>
      </c>
      <c r="BW18" s="981">
        <f t="shared" si="26"/>
        <v>0</v>
      </c>
      <c r="BX18" s="980">
        <f>(AQ11+AQ18+AQ25+AQ26*$CE$18+IF(AND(AQ28 =0,ABS(AQ29) &gt; 0),$CG$18* AQ29 + AQ27*2,AQ27)+AX18+BE18)*BN18</f>
        <v>0</v>
      </c>
      <c r="BY18" s="981">
        <v>0</v>
      </c>
      <c r="BZ18" s="980">
        <f>BN18*(BR18-BT18)</f>
        <v>0</v>
      </c>
      <c r="CA18" s="980">
        <f>IF(OR(BW18=0,BZ18=0),0,BW18/BZ18*BX18)</f>
        <v>0</v>
      </c>
      <c r="CB18" s="981">
        <f t="shared" si="27"/>
        <v>0</v>
      </c>
      <c r="CD18" s="2219"/>
      <c r="CE18" s="2074">
        <f>D_Klick!T86</f>
        <v>0.35087719298245612</v>
      </c>
      <c r="CF18" s="2219"/>
      <c r="CG18" s="2219">
        <f>40/485</f>
        <v>8.247422680412371E-2</v>
      </c>
      <c r="CJ18" s="2074" t="str">
        <f>BH18</f>
        <v>less than 160 days old</v>
      </c>
    </row>
    <row r="19" spans="1:88" ht="16.149999999999999" customHeight="1">
      <c r="A19" s="2084">
        <f>A17 + 4</f>
        <v>136</v>
      </c>
      <c r="B19" s="158" t="str">
        <f>D_Klick!C232</f>
        <v>Mutterkuhkälber, Mast über 160-tägig</v>
      </c>
      <c r="C19" s="159"/>
      <c r="D19" s="159" t="str">
        <f>D_Klick!F82</f>
        <v>bis 200 kg SG</v>
      </c>
      <c r="E19" s="2005">
        <v>1</v>
      </c>
      <c r="F19" s="160" t="str">
        <f>F22</f>
        <v>Platz</v>
      </c>
      <c r="G19" s="154"/>
      <c r="H19" s="160">
        <f>D_Klick!N56</f>
        <v>0.33</v>
      </c>
      <c r="I19" s="160">
        <f t="shared" si="15"/>
        <v>0</v>
      </c>
      <c r="J19" s="154"/>
      <c r="K19" s="152"/>
      <c r="L19" s="160">
        <f>IF(OR(AND(J19&lt;0,G19&lt;ABS(J19)),K19&gt;365),"!",G19+(J19*K19/365))</f>
        <v>0</v>
      </c>
      <c r="M19" s="160">
        <f>ROUND(IF(L19="!",0,L19*H19),2)</f>
        <v>0</v>
      </c>
      <c r="N19" s="154"/>
      <c r="O19" s="155"/>
      <c r="P19" s="154"/>
      <c r="Q19" s="154"/>
      <c r="R19" s="155"/>
      <c r="S19" s="160"/>
      <c r="T19" s="2017"/>
      <c r="U19" s="2073"/>
      <c r="V19" s="2962">
        <f t="shared" si="18"/>
        <v>1</v>
      </c>
      <c r="W19" s="2076" t="b">
        <v>0</v>
      </c>
      <c r="X19" s="2076" t="b">
        <v>0</v>
      </c>
      <c r="Y19" s="2076">
        <f t="shared" si="0"/>
        <v>0</v>
      </c>
      <c r="Z19" s="2074">
        <f t="shared" si="1"/>
        <v>0</v>
      </c>
      <c r="AA19" s="2074"/>
      <c r="AB19" s="2074">
        <f t="shared" si="2"/>
        <v>0</v>
      </c>
      <c r="AC19" s="2074">
        <f t="shared" si="3"/>
        <v>0</v>
      </c>
      <c r="AD19" s="2074">
        <f t="shared" si="4"/>
        <v>0</v>
      </c>
      <c r="AE19" s="2074">
        <f t="shared" si="5"/>
        <v>0</v>
      </c>
      <c r="AF19" s="2074">
        <f>AD19+AE19</f>
        <v>0</v>
      </c>
      <c r="AG19" s="2074">
        <f>AB19+AD19+AE19</f>
        <v>0</v>
      </c>
      <c r="AH19" s="2074">
        <f t="shared" si="6"/>
        <v>0</v>
      </c>
      <c r="AI19" s="2074">
        <f t="shared" si="7"/>
        <v>0</v>
      </c>
      <c r="AJ19" s="2074">
        <f t="shared" si="8"/>
        <v>0</v>
      </c>
      <c r="AK19" s="2074">
        <f t="shared" si="9"/>
        <v>0</v>
      </c>
      <c r="AL19" s="2074">
        <f t="shared" si="10"/>
        <v>0</v>
      </c>
      <c r="AM19" s="2074">
        <f t="shared" si="11"/>
        <v>0</v>
      </c>
      <c r="AN19" s="2074">
        <f>AK19+AL19+AM19</f>
        <v>0</v>
      </c>
      <c r="AO19" s="2074">
        <f t="shared" si="12"/>
        <v>0</v>
      </c>
      <c r="AP19" s="2074">
        <f>AN19-AO19</f>
        <v>0</v>
      </c>
      <c r="AQ19" s="2074">
        <f t="shared" si="13"/>
        <v>0</v>
      </c>
      <c r="AR19" s="2074">
        <f t="shared" si="14"/>
        <v>0</v>
      </c>
      <c r="AS19" s="2074"/>
      <c r="AT19" s="2074"/>
      <c r="AU19" s="2074"/>
      <c r="AV19" s="2074"/>
      <c r="AW19" s="2074"/>
      <c r="AX19" s="2074"/>
      <c r="AY19" s="2074"/>
      <c r="AZ19" s="2074"/>
      <c r="BA19" s="2074"/>
      <c r="BB19" s="2074"/>
      <c r="BC19" s="2074"/>
      <c r="BD19" s="2074"/>
      <c r="BE19" s="2074"/>
      <c r="BF19" s="2074"/>
      <c r="BG19" s="693"/>
      <c r="BM19" s="987"/>
      <c r="BN19" s="987"/>
      <c r="BO19" s="982">
        <f>SUM(BO11:BO18)</f>
        <v>0</v>
      </c>
      <c r="BP19" s="982"/>
      <c r="BQ19" s="982"/>
      <c r="BR19" s="982"/>
      <c r="BS19" s="982">
        <f>SUM(BS11:BS18)</f>
        <v>0</v>
      </c>
      <c r="BT19" s="987"/>
      <c r="BU19" s="982">
        <f>SUM(BU11:BU18)</f>
        <v>0</v>
      </c>
      <c r="BV19" s="987"/>
      <c r="BW19" s="982">
        <f t="shared" ref="BW19:CB19" si="28">SUM(BW11:BW18)</f>
        <v>0</v>
      </c>
      <c r="BX19" s="982">
        <f t="shared" si="28"/>
        <v>0</v>
      </c>
      <c r="BY19" s="982">
        <f t="shared" si="28"/>
        <v>0</v>
      </c>
      <c r="BZ19" s="982">
        <f t="shared" si="28"/>
        <v>0</v>
      </c>
      <c r="CA19" s="982">
        <f t="shared" si="28"/>
        <v>0</v>
      </c>
      <c r="CB19" s="982">
        <f t="shared" si="28"/>
        <v>0</v>
      </c>
    </row>
    <row r="20" spans="1:88" ht="16.149999999999999" customHeight="1">
      <c r="A20" s="2084">
        <v>137</v>
      </c>
      <c r="B20" s="158" t="str">
        <f>D_Klick!C232</f>
        <v>Mutterkuhkälber, Mast über 160-tägig</v>
      </c>
      <c r="C20" s="159"/>
      <c r="D20" s="159" t="str">
        <f>D_Klick!F83</f>
        <v>200-250 kg SG</v>
      </c>
      <c r="E20" s="2005">
        <v>2</v>
      </c>
      <c r="F20" s="160" t="str">
        <f>F22</f>
        <v>Platz</v>
      </c>
      <c r="G20" s="154"/>
      <c r="H20" s="160">
        <f>D_Klick!N56</f>
        <v>0.33</v>
      </c>
      <c r="I20" s="160">
        <f t="shared" si="15"/>
        <v>0</v>
      </c>
      <c r="J20" s="154"/>
      <c r="K20" s="152"/>
      <c r="L20" s="160">
        <f>IF(OR(AND(J20&lt;0,G20&lt;ABS(J20)),K20&gt;365),"!",G20+(J20*K20/365))</f>
        <v>0</v>
      </c>
      <c r="M20" s="160">
        <f>ROUND(IF(L20="!",0,L20*H20),2)</f>
        <v>0</v>
      </c>
      <c r="N20" s="154"/>
      <c r="O20" s="155"/>
      <c r="P20" s="154"/>
      <c r="Q20" s="154"/>
      <c r="R20" s="155"/>
      <c r="S20" s="160"/>
      <c r="T20" s="2017"/>
      <c r="U20" s="2073"/>
      <c r="V20" s="2962">
        <f t="shared" si="18"/>
        <v>1</v>
      </c>
      <c r="W20" s="2076" t="b">
        <v>0</v>
      </c>
      <c r="X20" s="2076" t="b">
        <v>0</v>
      </c>
      <c r="Y20" s="2076">
        <f t="shared" si="0"/>
        <v>0</v>
      </c>
      <c r="Z20" s="2074">
        <f t="shared" si="1"/>
        <v>0</v>
      </c>
      <c r="AA20" s="2074"/>
      <c r="AB20" s="2074">
        <f t="shared" si="2"/>
        <v>0</v>
      </c>
      <c r="AC20" s="2074">
        <f t="shared" si="3"/>
        <v>0</v>
      </c>
      <c r="AD20" s="2074">
        <f t="shared" si="4"/>
        <v>0</v>
      </c>
      <c r="AE20" s="2074">
        <f t="shared" si="5"/>
        <v>0</v>
      </c>
      <c r="AF20" s="2074">
        <f>AD20+AE20</f>
        <v>0</v>
      </c>
      <c r="AG20" s="2074">
        <f>AB20+AD20+AE20</f>
        <v>0</v>
      </c>
      <c r="AH20" s="2074">
        <f t="shared" si="6"/>
        <v>0</v>
      </c>
      <c r="AI20" s="2074">
        <f t="shared" si="7"/>
        <v>0</v>
      </c>
      <c r="AJ20" s="2074">
        <f t="shared" si="8"/>
        <v>0</v>
      </c>
      <c r="AK20" s="2074">
        <f t="shared" si="9"/>
        <v>0</v>
      </c>
      <c r="AL20" s="2074">
        <f t="shared" si="10"/>
        <v>0</v>
      </c>
      <c r="AM20" s="2074">
        <f t="shared" si="11"/>
        <v>0</v>
      </c>
      <c r="AN20" s="2074">
        <f>AK20+AL20+AM20</f>
        <v>0</v>
      </c>
      <c r="AO20" s="2074">
        <f t="shared" si="12"/>
        <v>0</v>
      </c>
      <c r="AP20" s="2074">
        <f>AN20-AO20</f>
        <v>0</v>
      </c>
      <c r="AQ20" s="2074">
        <f t="shared" si="13"/>
        <v>0</v>
      </c>
      <c r="AR20" s="2074">
        <f t="shared" si="14"/>
        <v>0</v>
      </c>
      <c r="AS20" s="2074"/>
      <c r="AT20" s="2074"/>
      <c r="AU20" s="2074"/>
      <c r="AV20" s="2074"/>
      <c r="AW20" s="2074"/>
      <c r="AX20" s="2074"/>
      <c r="AY20" s="2074"/>
      <c r="AZ20" s="2074"/>
      <c r="BA20" s="2074"/>
      <c r="BB20" s="2074"/>
      <c r="BC20" s="2074"/>
      <c r="BD20" s="2074"/>
      <c r="BE20" s="2074"/>
      <c r="BF20" s="2074"/>
      <c r="BG20" s="693"/>
      <c r="BM20" s="987"/>
      <c r="BN20" s="987"/>
      <c r="BO20" s="982"/>
      <c r="BP20" s="982"/>
      <c r="BQ20" s="982"/>
      <c r="BR20" s="982"/>
      <c r="BS20" s="982"/>
      <c r="BT20" s="987"/>
      <c r="BU20" s="982"/>
      <c r="BV20" s="987"/>
      <c r="BW20" s="209">
        <f>RiGVE_eff-MKGVE_eff</f>
        <v>0</v>
      </c>
      <c r="BX20" s="982"/>
      <c r="BY20" s="982"/>
      <c r="BZ20" s="982"/>
      <c r="CA20" s="982"/>
      <c r="CB20" s="982"/>
    </row>
    <row r="21" spans="1:88" ht="16.149999999999999" customHeight="1">
      <c r="A21" s="2084">
        <v>138</v>
      </c>
      <c r="B21" s="158" t="str">
        <f>D_Klick!C232</f>
        <v>Mutterkuhkälber, Mast über 160-tägig</v>
      </c>
      <c r="C21" s="159"/>
      <c r="D21" s="159" t="str">
        <f>D_Klick!F84</f>
        <v>über 250 kg SG</v>
      </c>
      <c r="E21" s="2005">
        <v>3</v>
      </c>
      <c r="F21" s="160" t="str">
        <f>F22</f>
        <v>Platz</v>
      </c>
      <c r="G21" s="154"/>
      <c r="H21" s="160">
        <f>D_Klick!N56</f>
        <v>0.33</v>
      </c>
      <c r="I21" s="160">
        <f t="shared" si="15"/>
        <v>0</v>
      </c>
      <c r="J21" s="154"/>
      <c r="K21" s="152"/>
      <c r="L21" s="160">
        <f>IF(OR(AND(J21&lt;0,G21&lt;ABS(J21)),K21&gt;365),"!",G21+(J21*K21/365))</f>
        <v>0</v>
      </c>
      <c r="M21" s="160">
        <f>ROUND(IF(L21="!",0,L21*H21),2)</f>
        <v>0</v>
      </c>
      <c r="N21" s="154"/>
      <c r="O21" s="155"/>
      <c r="P21" s="154"/>
      <c r="Q21" s="154"/>
      <c r="R21" s="155"/>
      <c r="S21" s="160"/>
      <c r="T21" s="2017"/>
      <c r="U21" s="2073"/>
      <c r="V21" s="2962">
        <f t="shared" si="18"/>
        <v>1</v>
      </c>
      <c r="W21" s="2076" t="b">
        <v>0</v>
      </c>
      <c r="X21" s="2076" t="b">
        <v>0</v>
      </c>
      <c r="Y21" s="2076">
        <f t="shared" si="0"/>
        <v>0</v>
      </c>
      <c r="Z21" s="2074">
        <f t="shared" si="1"/>
        <v>0</v>
      </c>
      <c r="AA21" s="2074"/>
      <c r="AB21" s="2074">
        <f t="shared" si="2"/>
        <v>0</v>
      </c>
      <c r="AC21" s="2074">
        <f t="shared" si="3"/>
        <v>0</v>
      </c>
      <c r="AD21" s="2074">
        <f t="shared" si="4"/>
        <v>0</v>
      </c>
      <c r="AE21" s="2074">
        <f t="shared" si="5"/>
        <v>0</v>
      </c>
      <c r="AF21" s="2074">
        <f>AD21+AE21</f>
        <v>0</v>
      </c>
      <c r="AG21" s="2074">
        <f>AB21+AD21+AE21</f>
        <v>0</v>
      </c>
      <c r="AH21" s="2074">
        <f t="shared" si="6"/>
        <v>0</v>
      </c>
      <c r="AI21" s="2074">
        <f t="shared" si="7"/>
        <v>0</v>
      </c>
      <c r="AJ21" s="2074">
        <f t="shared" si="8"/>
        <v>0</v>
      </c>
      <c r="AK21" s="2074">
        <f t="shared" si="9"/>
        <v>0</v>
      </c>
      <c r="AL21" s="2074">
        <f t="shared" si="10"/>
        <v>0</v>
      </c>
      <c r="AM21" s="2074">
        <f t="shared" si="11"/>
        <v>0</v>
      </c>
      <c r="AN21" s="2074">
        <f>AK21+AL21+AM21</f>
        <v>0</v>
      </c>
      <c r="AO21" s="2074">
        <f t="shared" si="12"/>
        <v>0</v>
      </c>
      <c r="AP21" s="2074">
        <f>AN21-AO21</f>
        <v>0</v>
      </c>
      <c r="AQ21" s="2074">
        <f t="shared" si="13"/>
        <v>0</v>
      </c>
      <c r="AR21" s="2074">
        <f t="shared" si="14"/>
        <v>0</v>
      </c>
      <c r="AS21" s="2074"/>
      <c r="AT21" s="2074"/>
      <c r="AU21" s="2074"/>
      <c r="AV21" s="2074"/>
      <c r="AW21" s="2074"/>
      <c r="AX21" s="2074"/>
      <c r="AY21" s="2074"/>
      <c r="AZ21" s="2074"/>
      <c r="BA21" s="2074"/>
      <c r="BB21" s="2074"/>
      <c r="BC21" s="2074"/>
      <c r="BD21" s="2074"/>
      <c r="BE21" s="2074"/>
      <c r="BF21" s="2074"/>
      <c r="BG21" s="693"/>
      <c r="BM21" s="987"/>
      <c r="BN21" s="987"/>
      <c r="BO21" s="982"/>
      <c r="BP21" s="982"/>
      <c r="BQ21" s="982"/>
      <c r="BR21" s="982"/>
      <c r="BS21" s="982"/>
      <c r="BT21" s="987"/>
      <c r="BU21" s="982"/>
      <c r="BV21" s="987"/>
      <c r="BW21" s="982"/>
      <c r="BX21" s="982"/>
      <c r="BY21" s="982"/>
      <c r="BZ21" s="982"/>
      <c r="CA21" s="982"/>
      <c r="CB21" s="982"/>
    </row>
    <row r="22" spans="1:88" ht="16.149999999999999" hidden="1" customHeight="1">
      <c r="A22" s="2084">
        <f>A19 + 4</f>
        <v>140</v>
      </c>
      <c r="B22" s="158" t="str">
        <f>D_Klick!C235</f>
        <v>Betriebszweig Mutterkühe, Jungvieh, 1 bis 2-jährig</v>
      </c>
      <c r="C22" s="159"/>
      <c r="D22" s="168"/>
      <c r="E22" s="168"/>
      <c r="F22" s="160" t="str">
        <f>Texte!A384</f>
        <v>Platz</v>
      </c>
      <c r="G22" s="154"/>
      <c r="H22" s="160">
        <f>D_Klick!N48</f>
        <v>0.4</v>
      </c>
      <c r="I22" s="160">
        <f t="shared" si="15"/>
        <v>0</v>
      </c>
      <c r="J22" s="154"/>
      <c r="K22" s="152"/>
      <c r="L22" s="160">
        <f t="shared" si="16"/>
        <v>0</v>
      </c>
      <c r="M22" s="160">
        <f t="shared" si="17"/>
        <v>0</v>
      </c>
      <c r="N22" s="154"/>
      <c r="O22" s="155"/>
      <c r="P22" s="154"/>
      <c r="Q22" s="154"/>
      <c r="R22" s="155"/>
      <c r="S22" s="160"/>
      <c r="T22" s="2017"/>
      <c r="U22" s="2073"/>
      <c r="V22" s="2962">
        <f t="shared" si="18"/>
        <v>1</v>
      </c>
      <c r="W22" s="2076" t="b">
        <v>0</v>
      </c>
      <c r="X22" s="2076" t="b">
        <v>0</v>
      </c>
      <c r="Y22" s="2076">
        <f t="shared" si="0"/>
        <v>0</v>
      </c>
      <c r="Z22" s="2074">
        <f t="shared" si="1"/>
        <v>0</v>
      </c>
      <c r="AA22" s="2074"/>
      <c r="AB22" s="2074">
        <f t="shared" si="2"/>
        <v>0</v>
      </c>
      <c r="AC22" s="2074">
        <f t="shared" si="3"/>
        <v>0</v>
      </c>
      <c r="AD22" s="2074">
        <f t="shared" si="4"/>
        <v>0</v>
      </c>
      <c r="AE22" s="2074">
        <f t="shared" si="5"/>
        <v>0</v>
      </c>
      <c r="AF22" s="2074">
        <f t="shared" si="19"/>
        <v>0</v>
      </c>
      <c r="AG22" s="2074">
        <f t="shared" si="20"/>
        <v>0</v>
      </c>
      <c r="AH22" s="2074">
        <f t="shared" si="6"/>
        <v>0</v>
      </c>
      <c r="AI22" s="2074">
        <f t="shared" si="7"/>
        <v>0</v>
      </c>
      <c r="AJ22" s="2074">
        <f t="shared" si="8"/>
        <v>0</v>
      </c>
      <c r="AK22" s="2074">
        <f t="shared" si="9"/>
        <v>0</v>
      </c>
      <c r="AL22" s="2074">
        <f t="shared" si="10"/>
        <v>0</v>
      </c>
      <c r="AM22" s="2074">
        <f t="shared" si="11"/>
        <v>0</v>
      </c>
      <c r="AN22" s="2074">
        <f t="shared" si="21"/>
        <v>0</v>
      </c>
      <c r="AO22" s="2074">
        <f t="shared" si="12"/>
        <v>0</v>
      </c>
      <c r="AP22" s="2074">
        <f t="shared" si="22"/>
        <v>0</v>
      </c>
      <c r="AQ22" s="2074">
        <f t="shared" si="13"/>
        <v>0</v>
      </c>
      <c r="AR22" s="2074">
        <f t="shared" si="14"/>
        <v>0</v>
      </c>
      <c r="AS22" s="2074"/>
      <c r="AT22" s="2074"/>
      <c r="AU22" s="2074"/>
      <c r="AV22" s="2074"/>
      <c r="AW22" s="2074"/>
      <c r="AX22" s="2074"/>
      <c r="AY22" s="2074"/>
      <c r="AZ22" s="2074"/>
      <c r="BA22" s="2074"/>
      <c r="BB22" s="2074"/>
      <c r="BC22" s="2074"/>
      <c r="BD22" s="2074"/>
      <c r="BE22" s="2074"/>
      <c r="BF22" s="2074"/>
    </row>
    <row r="23" spans="1:88" ht="16.149999999999999" hidden="1" customHeight="1">
      <c r="A23" s="2084">
        <f t="shared" si="23"/>
        <v>144</v>
      </c>
      <c r="B23" s="158" t="str">
        <f>D_Klick!C236</f>
        <v>Betriebszweig Mutterkühe, Jungvieh, über  2-jährig</v>
      </c>
      <c r="C23" s="159"/>
      <c r="D23" s="168"/>
      <c r="E23" s="168"/>
      <c r="F23" s="160" t="str">
        <f>Texte!A384</f>
        <v>Platz</v>
      </c>
      <c r="G23" s="154"/>
      <c r="H23" s="160">
        <f>D_Klick!N49</f>
        <v>0.6</v>
      </c>
      <c r="I23" s="160">
        <f t="shared" si="15"/>
        <v>0</v>
      </c>
      <c r="J23" s="154"/>
      <c r="K23" s="152"/>
      <c r="L23" s="160">
        <f t="shared" si="16"/>
        <v>0</v>
      </c>
      <c r="M23" s="160">
        <f t="shared" si="17"/>
        <v>0</v>
      </c>
      <c r="N23" s="154"/>
      <c r="O23" s="155"/>
      <c r="P23" s="154"/>
      <c r="Q23" s="154"/>
      <c r="R23" s="155"/>
      <c r="S23" s="160"/>
      <c r="T23" s="2017"/>
      <c r="U23" s="2073"/>
      <c r="V23" s="2962">
        <f t="shared" si="18"/>
        <v>1</v>
      </c>
      <c r="W23" s="2076" t="b">
        <v>0</v>
      </c>
      <c r="X23" s="2076" t="b">
        <v>0</v>
      </c>
      <c r="Y23" s="2076">
        <f t="shared" si="0"/>
        <v>0</v>
      </c>
      <c r="Z23" s="2074">
        <f t="shared" si="1"/>
        <v>0</v>
      </c>
      <c r="AA23" s="2074"/>
      <c r="AB23" s="2074">
        <f t="shared" si="2"/>
        <v>0</v>
      </c>
      <c r="AC23" s="2074">
        <f t="shared" si="3"/>
        <v>0</v>
      </c>
      <c r="AD23" s="2074">
        <f t="shared" si="4"/>
        <v>0</v>
      </c>
      <c r="AE23" s="2074">
        <f t="shared" si="5"/>
        <v>0</v>
      </c>
      <c r="AF23" s="2074">
        <f t="shared" si="19"/>
        <v>0</v>
      </c>
      <c r="AG23" s="2074">
        <f t="shared" si="20"/>
        <v>0</v>
      </c>
      <c r="AH23" s="2074">
        <f t="shared" si="6"/>
        <v>0</v>
      </c>
      <c r="AI23" s="2074">
        <f t="shared" si="7"/>
        <v>0</v>
      </c>
      <c r="AJ23" s="2074">
        <f t="shared" si="8"/>
        <v>0</v>
      </c>
      <c r="AK23" s="2074">
        <f t="shared" si="9"/>
        <v>0</v>
      </c>
      <c r="AL23" s="2074">
        <f t="shared" si="10"/>
        <v>0</v>
      </c>
      <c r="AM23" s="2074">
        <f t="shared" si="11"/>
        <v>0</v>
      </c>
      <c r="AN23" s="2074">
        <f t="shared" si="21"/>
        <v>0</v>
      </c>
      <c r="AO23" s="2074">
        <f t="shared" si="12"/>
        <v>0</v>
      </c>
      <c r="AP23" s="2074">
        <f t="shared" si="22"/>
        <v>0</v>
      </c>
      <c r="AQ23" s="2074">
        <f t="shared" si="13"/>
        <v>0</v>
      </c>
      <c r="AR23" s="2074">
        <f t="shared" si="14"/>
        <v>0</v>
      </c>
      <c r="AS23" s="2074"/>
      <c r="AT23" s="2074"/>
      <c r="AU23" s="2074"/>
      <c r="AV23" s="2074"/>
      <c r="AW23" s="2074"/>
      <c r="AX23" s="2074"/>
      <c r="AY23" s="2074"/>
      <c r="AZ23" s="2074"/>
      <c r="BA23" s="2074"/>
      <c r="BB23" s="2074"/>
      <c r="BC23" s="2074"/>
      <c r="BD23" s="2074"/>
      <c r="BE23" s="2074"/>
      <c r="BF23" s="2074"/>
    </row>
    <row r="24" spans="1:88" ht="16.149999999999999" hidden="1" customHeight="1">
      <c r="A24" s="2084">
        <f t="shared" si="23"/>
        <v>148</v>
      </c>
      <c r="B24" s="158" t="str">
        <f>D_Klick!C237</f>
        <v>Betriebszweig Mutterkühe, Stiere, über 2-jährig</v>
      </c>
      <c r="C24" s="159"/>
      <c r="D24" s="168"/>
      <c r="E24" s="168"/>
      <c r="F24" s="160" t="str">
        <f>Texte!A383</f>
        <v>Stück</v>
      </c>
      <c r="G24" s="154"/>
      <c r="H24" s="160">
        <f>D_Klick!N51</f>
        <v>0.6</v>
      </c>
      <c r="I24" s="160">
        <f t="shared" si="15"/>
        <v>0</v>
      </c>
      <c r="J24" s="154"/>
      <c r="K24" s="152"/>
      <c r="L24" s="160">
        <f t="shared" si="16"/>
        <v>0</v>
      </c>
      <c r="M24" s="160">
        <f t="shared" si="17"/>
        <v>0</v>
      </c>
      <c r="N24" s="154"/>
      <c r="O24" s="155"/>
      <c r="P24" s="154"/>
      <c r="Q24" s="154"/>
      <c r="R24" s="155"/>
      <c r="S24" s="160"/>
      <c r="T24" s="2017"/>
      <c r="U24" s="2073"/>
      <c r="V24" s="2962">
        <f t="shared" si="18"/>
        <v>1</v>
      </c>
      <c r="W24" s="2076" t="b">
        <v>0</v>
      </c>
      <c r="X24" s="2076" t="b">
        <v>0</v>
      </c>
      <c r="Y24" s="2076">
        <f t="shared" si="0"/>
        <v>0</v>
      </c>
      <c r="Z24" s="2074">
        <f t="shared" si="1"/>
        <v>0</v>
      </c>
      <c r="AA24" s="2074"/>
      <c r="AB24" s="2074">
        <f t="shared" si="2"/>
        <v>0</v>
      </c>
      <c r="AC24" s="2074">
        <f t="shared" si="3"/>
        <v>0</v>
      </c>
      <c r="AD24" s="2074">
        <f t="shared" si="4"/>
        <v>0</v>
      </c>
      <c r="AE24" s="2074">
        <f t="shared" si="5"/>
        <v>0</v>
      </c>
      <c r="AF24" s="2074">
        <f t="shared" si="19"/>
        <v>0</v>
      </c>
      <c r="AG24" s="2074">
        <f t="shared" si="20"/>
        <v>0</v>
      </c>
      <c r="AH24" s="2074">
        <f t="shared" si="6"/>
        <v>0</v>
      </c>
      <c r="AI24" s="2074">
        <f t="shared" si="7"/>
        <v>0</v>
      </c>
      <c r="AJ24" s="2074">
        <f t="shared" si="8"/>
        <v>0</v>
      </c>
      <c r="AK24" s="2074">
        <f t="shared" si="9"/>
        <v>0</v>
      </c>
      <c r="AL24" s="2074">
        <f t="shared" si="10"/>
        <v>0</v>
      </c>
      <c r="AM24" s="2074">
        <f t="shared" si="11"/>
        <v>0</v>
      </c>
      <c r="AN24" s="2074">
        <f t="shared" si="21"/>
        <v>0</v>
      </c>
      <c r="AO24" s="2074">
        <f t="shared" si="12"/>
        <v>0</v>
      </c>
      <c r="AP24" s="2074">
        <f t="shared" si="22"/>
        <v>0</v>
      </c>
      <c r="AQ24" s="2074">
        <f t="shared" si="13"/>
        <v>0</v>
      </c>
      <c r="AR24" s="2074">
        <f t="shared" si="14"/>
        <v>0</v>
      </c>
      <c r="AS24" s="2074"/>
      <c r="AT24" s="2074"/>
      <c r="AU24" s="2074"/>
      <c r="AV24" s="2074"/>
      <c r="AW24" s="2074"/>
      <c r="AX24" s="2074"/>
      <c r="AY24" s="2074"/>
      <c r="AZ24" s="2074"/>
      <c r="BA24" s="2074"/>
      <c r="BB24" s="2074"/>
      <c r="BC24" s="2074"/>
      <c r="BD24" s="2074"/>
      <c r="BE24" s="2074"/>
      <c r="BF24" s="2074"/>
    </row>
    <row r="25" spans="1:88" ht="16.149999999999999" customHeight="1">
      <c r="A25" s="2084">
        <f t="shared" si="23"/>
        <v>152</v>
      </c>
      <c r="B25" s="151" t="str">
        <f>D_Klick!C238</f>
        <v>Mastkälber, 60 bis 220 kg</v>
      </c>
      <c r="C25" s="163"/>
      <c r="D25" s="163"/>
      <c r="E25" s="163"/>
      <c r="F25" s="153" t="str">
        <f>Texte!A384</f>
        <v>Platz</v>
      </c>
      <c r="G25" s="164">
        <v>0</v>
      </c>
      <c r="H25" s="153">
        <f>D_Klick!N57</f>
        <v>0.13</v>
      </c>
      <c r="I25" s="153">
        <f t="shared" ref="I25:I31" si="29">G25*H25</f>
        <v>0</v>
      </c>
      <c r="J25" s="164"/>
      <c r="K25" s="165"/>
      <c r="L25" s="153">
        <f t="shared" si="16"/>
        <v>0</v>
      </c>
      <c r="M25" s="153">
        <f t="shared" si="17"/>
        <v>0</v>
      </c>
      <c r="N25" s="164"/>
      <c r="O25" s="166"/>
      <c r="P25" s="164"/>
      <c r="Q25" s="164"/>
      <c r="R25" s="166"/>
      <c r="S25" s="153"/>
      <c r="T25" s="2018"/>
      <c r="U25" s="2073" t="e">
        <f>#REF!</f>
        <v>#REF!</v>
      </c>
      <c r="V25" s="2962">
        <f t="shared" si="18"/>
        <v>1</v>
      </c>
      <c r="W25" s="2076" t="b">
        <v>0</v>
      </c>
      <c r="X25" s="2076"/>
      <c r="Y25" s="2076">
        <f t="shared" si="0"/>
        <v>0</v>
      </c>
      <c r="Z25" s="2074">
        <f t="shared" si="1"/>
        <v>0</v>
      </c>
      <c r="AA25" s="2074"/>
      <c r="AB25" s="2074">
        <f t="shared" si="2"/>
        <v>0</v>
      </c>
      <c r="AC25" s="2074">
        <f t="shared" si="3"/>
        <v>0</v>
      </c>
      <c r="AD25" s="2074">
        <f t="shared" si="4"/>
        <v>0</v>
      </c>
      <c r="AE25" s="2074">
        <f t="shared" si="5"/>
        <v>0</v>
      </c>
      <c r="AF25" s="2074">
        <f t="shared" si="19"/>
        <v>0</v>
      </c>
      <c r="AG25" s="2074">
        <f t="shared" si="20"/>
        <v>0</v>
      </c>
      <c r="AH25" s="2074">
        <f t="shared" si="6"/>
        <v>0</v>
      </c>
      <c r="AI25" s="2074">
        <f t="shared" si="7"/>
        <v>0</v>
      </c>
      <c r="AJ25" s="2074">
        <f t="shared" si="8"/>
        <v>0</v>
      </c>
      <c r="AK25" s="2074">
        <f t="shared" si="9"/>
        <v>0</v>
      </c>
      <c r="AL25" s="2074">
        <f t="shared" si="10"/>
        <v>0</v>
      </c>
      <c r="AM25" s="2074">
        <f t="shared" si="11"/>
        <v>0</v>
      </c>
      <c r="AN25" s="2074">
        <f t="shared" si="21"/>
        <v>0</v>
      </c>
      <c r="AO25" s="2074">
        <f t="shared" si="12"/>
        <v>0</v>
      </c>
      <c r="AP25" s="2074">
        <f t="shared" si="22"/>
        <v>0</v>
      </c>
      <c r="AQ25" s="2074">
        <f t="shared" si="13"/>
        <v>0</v>
      </c>
      <c r="AR25" s="2074">
        <f t="shared" si="14"/>
        <v>0</v>
      </c>
      <c r="AS25" s="2074"/>
      <c r="AT25" s="2074"/>
      <c r="AU25" s="2074"/>
      <c r="AV25" s="2074"/>
      <c r="AW25" s="2074"/>
      <c r="AX25" s="2074"/>
      <c r="AY25" s="2074"/>
      <c r="AZ25" s="2074"/>
      <c r="BA25" s="2074"/>
      <c r="BB25" s="2074"/>
      <c r="BC25" s="2074"/>
      <c r="BD25" s="2074"/>
      <c r="BE25" s="2074"/>
      <c r="BF25" s="2074"/>
    </row>
    <row r="26" spans="1:88" ht="16.149999999999999" hidden="1" customHeight="1">
      <c r="A26" s="2084">
        <f t="shared" si="23"/>
        <v>156</v>
      </c>
      <c r="B26" s="158" t="str">
        <f>D_Klick!C239</f>
        <v>Mastkälber, 60 bis 220 kg, pro Jahr</v>
      </c>
      <c r="C26" s="159"/>
      <c r="D26" s="159"/>
      <c r="E26" s="159"/>
      <c r="F26" s="160" t="str">
        <f>Texte!A385</f>
        <v>Anzahl</v>
      </c>
      <c r="G26" s="154"/>
      <c r="H26" s="161">
        <f>D_Klick!N58</f>
        <v>4.5614035087719301E-2</v>
      </c>
      <c r="I26" s="160">
        <f t="shared" si="29"/>
        <v>0</v>
      </c>
      <c r="J26" s="154"/>
      <c r="K26" s="152"/>
      <c r="L26" s="160">
        <f t="shared" si="16"/>
        <v>0</v>
      </c>
      <c r="M26" s="160">
        <f t="shared" si="17"/>
        <v>0</v>
      </c>
      <c r="N26" s="154"/>
      <c r="O26" s="155"/>
      <c r="P26" s="154"/>
      <c r="Q26" s="154"/>
      <c r="R26" s="155"/>
      <c r="S26" s="160"/>
      <c r="T26" s="2017"/>
      <c r="U26" s="2073"/>
      <c r="V26" s="2962">
        <f t="shared" si="18"/>
        <v>1</v>
      </c>
      <c r="W26" s="2076" t="b">
        <v>0</v>
      </c>
      <c r="X26" s="2076"/>
      <c r="Y26" s="2076">
        <f t="shared" si="0"/>
        <v>0</v>
      </c>
      <c r="Z26" s="2074">
        <f t="shared" si="1"/>
        <v>0</v>
      </c>
      <c r="AA26" s="2074">
        <f>ROUND(MIN(IF(ISBLANK(G25),G26/H25*H26,(G25+G26/H25*H26))+0,4*(MAX(G9,0))),2)*H25</f>
        <v>0</v>
      </c>
      <c r="AB26" s="2074">
        <f t="shared" si="2"/>
        <v>0</v>
      </c>
      <c r="AC26" s="2074">
        <f t="shared" si="3"/>
        <v>0</v>
      </c>
      <c r="AD26" s="2074">
        <f t="shared" si="4"/>
        <v>0</v>
      </c>
      <c r="AE26" s="2074">
        <f t="shared" si="5"/>
        <v>0</v>
      </c>
      <c r="AF26" s="2074">
        <f t="shared" si="19"/>
        <v>0</v>
      </c>
      <c r="AG26" s="2074">
        <f t="shared" si="20"/>
        <v>0</v>
      </c>
      <c r="AH26" s="2074">
        <f t="shared" si="6"/>
        <v>0</v>
      </c>
      <c r="AI26" s="2074">
        <f t="shared" si="7"/>
        <v>0</v>
      </c>
      <c r="AJ26" s="2074">
        <f t="shared" si="8"/>
        <v>0</v>
      </c>
      <c r="AK26" s="2074">
        <f t="shared" si="9"/>
        <v>0</v>
      </c>
      <c r="AL26" s="2074">
        <f t="shared" si="10"/>
        <v>0</v>
      </c>
      <c r="AM26" s="2074">
        <f t="shared" si="11"/>
        <v>0</v>
      </c>
      <c r="AN26" s="2074">
        <f t="shared" si="21"/>
        <v>0</v>
      </c>
      <c r="AO26" s="2074">
        <f t="shared" si="12"/>
        <v>0</v>
      </c>
      <c r="AP26" s="2074">
        <f t="shared" si="22"/>
        <v>0</v>
      </c>
      <c r="AQ26" s="2074">
        <f t="shared" si="13"/>
        <v>0</v>
      </c>
      <c r="AR26" s="2074">
        <f t="shared" si="14"/>
        <v>0</v>
      </c>
      <c r="AS26" s="2074"/>
      <c r="AT26" s="2074"/>
      <c r="AU26" s="2074"/>
      <c r="AV26" s="2074"/>
      <c r="AW26" s="2074"/>
      <c r="AX26" s="2074"/>
      <c r="AY26" s="2074"/>
      <c r="AZ26" s="2074"/>
      <c r="BA26" s="2074"/>
      <c r="BB26" s="2074"/>
      <c r="BC26" s="2074"/>
      <c r="BD26" s="2074"/>
      <c r="BE26" s="2074"/>
      <c r="BF26" s="2074"/>
    </row>
    <row r="27" spans="1:88" ht="16.149999999999999" customHeight="1">
      <c r="A27" s="2084">
        <v>164</v>
      </c>
      <c r="B27" s="158" t="str">
        <f>D_Klick!C240</f>
        <v>Rindviehmast, bis 160-tägig</v>
      </c>
      <c r="C27" s="159"/>
      <c r="D27" s="168"/>
      <c r="E27" s="83"/>
      <c r="F27" s="160" t="str">
        <f>Texte!A384</f>
        <v>Platz</v>
      </c>
      <c r="G27" s="154"/>
      <c r="H27" s="160">
        <f>D_Klick!N59</f>
        <v>0.13</v>
      </c>
      <c r="I27" s="160">
        <f t="shared" si="29"/>
        <v>0</v>
      </c>
      <c r="J27" s="154"/>
      <c r="K27" s="152"/>
      <c r="L27" s="160">
        <f t="shared" si="16"/>
        <v>0</v>
      </c>
      <c r="M27" s="160">
        <f t="shared" si="17"/>
        <v>0</v>
      </c>
      <c r="N27" s="154"/>
      <c r="O27" s="155"/>
      <c r="P27" s="154"/>
      <c r="Q27" s="154"/>
      <c r="R27" s="155"/>
      <c r="S27" s="160"/>
      <c r="T27" s="2017"/>
      <c r="U27" s="2073"/>
      <c r="V27" s="2962">
        <f t="shared" si="18"/>
        <v>1</v>
      </c>
      <c r="W27" s="2076" t="b">
        <v>0</v>
      </c>
      <c r="X27" s="2076" t="b">
        <v>0</v>
      </c>
      <c r="Y27" s="2076">
        <f t="shared" si="0"/>
        <v>0</v>
      </c>
      <c r="Z27" s="2074">
        <f t="shared" si="1"/>
        <v>0</v>
      </c>
      <c r="AA27" s="2074">
        <f>I27</f>
        <v>0</v>
      </c>
      <c r="AB27" s="2074">
        <f t="shared" si="2"/>
        <v>0</v>
      </c>
      <c r="AC27" s="2074">
        <f t="shared" si="3"/>
        <v>0</v>
      </c>
      <c r="AD27" s="2074">
        <f t="shared" si="4"/>
        <v>0</v>
      </c>
      <c r="AE27" s="2074">
        <f t="shared" si="5"/>
        <v>0</v>
      </c>
      <c r="AF27" s="2074">
        <f t="shared" si="19"/>
        <v>0</v>
      </c>
      <c r="AG27" s="2074">
        <f t="shared" si="20"/>
        <v>0</v>
      </c>
      <c r="AH27" s="2074">
        <f t="shared" si="6"/>
        <v>0</v>
      </c>
      <c r="AI27" s="2074">
        <f t="shared" si="7"/>
        <v>0</v>
      </c>
      <c r="AJ27" s="2074">
        <f t="shared" si="8"/>
        <v>0</v>
      </c>
      <c r="AK27" s="2074">
        <f t="shared" si="9"/>
        <v>0</v>
      </c>
      <c r="AL27" s="2074">
        <f t="shared" si="10"/>
        <v>0</v>
      </c>
      <c r="AM27" s="2074">
        <f t="shared" si="11"/>
        <v>0</v>
      </c>
      <c r="AN27" s="2074">
        <f t="shared" si="21"/>
        <v>0</v>
      </c>
      <c r="AO27" s="2074">
        <f t="shared" si="12"/>
        <v>0</v>
      </c>
      <c r="AP27" s="2074">
        <f t="shared" si="22"/>
        <v>0</v>
      </c>
      <c r="AQ27" s="2074">
        <f t="shared" si="13"/>
        <v>0</v>
      </c>
      <c r="AR27" s="2074">
        <f t="shared" si="14"/>
        <v>0</v>
      </c>
      <c r="AS27" s="2074"/>
      <c r="AT27" s="2074"/>
      <c r="AU27" s="2074"/>
      <c r="AV27" s="2074"/>
      <c r="AW27" s="2074"/>
      <c r="AX27" s="2074"/>
      <c r="AY27" s="2074"/>
      <c r="AZ27" s="2074"/>
      <c r="BA27" s="2074"/>
      <c r="BB27" s="2074"/>
      <c r="BC27" s="2074"/>
      <c r="BD27" s="2074"/>
      <c r="BE27" s="2074"/>
      <c r="BF27" s="2074"/>
    </row>
    <row r="28" spans="1:88" ht="16.149999999999999" customHeight="1">
      <c r="A28" s="2084">
        <f t="shared" si="23"/>
        <v>168</v>
      </c>
      <c r="B28" s="158" t="str">
        <f>D_Klick!C241</f>
        <v>Rindviehmast, über 160-tägig</v>
      </c>
      <c r="C28" s="159"/>
      <c r="D28" s="168"/>
      <c r="E28" s="83"/>
      <c r="F28" s="160" t="str">
        <f>Texte!A384</f>
        <v>Platz</v>
      </c>
      <c r="G28" s="154"/>
      <c r="H28" s="160">
        <f>D_Klick!N60</f>
        <v>0.33</v>
      </c>
      <c r="I28" s="160">
        <f t="shared" si="29"/>
        <v>0</v>
      </c>
      <c r="J28" s="154"/>
      <c r="K28" s="152"/>
      <c r="L28" s="160">
        <f t="shared" si="16"/>
        <v>0</v>
      </c>
      <c r="M28" s="160">
        <f t="shared" si="17"/>
        <v>0</v>
      </c>
      <c r="N28" s="154"/>
      <c r="O28" s="155"/>
      <c r="P28" s="154"/>
      <c r="Q28" s="154"/>
      <c r="R28" s="155"/>
      <c r="S28" s="160"/>
      <c r="T28" s="2017"/>
      <c r="U28" s="2073"/>
      <c r="V28" s="2962">
        <f t="shared" si="18"/>
        <v>1</v>
      </c>
      <c r="W28" s="2076" t="b">
        <v>0</v>
      </c>
      <c r="X28" s="2076" t="b">
        <v>0</v>
      </c>
      <c r="Y28" s="2076">
        <f t="shared" si="0"/>
        <v>0</v>
      </c>
      <c r="Z28" s="2074">
        <f t="shared" si="1"/>
        <v>0</v>
      </c>
      <c r="AA28" s="2074">
        <f>I28</f>
        <v>0</v>
      </c>
      <c r="AB28" s="2074">
        <f t="shared" si="2"/>
        <v>0</v>
      </c>
      <c r="AC28" s="2074">
        <f t="shared" si="3"/>
        <v>0</v>
      </c>
      <c r="AD28" s="2074">
        <f t="shared" si="4"/>
        <v>0</v>
      </c>
      <c r="AE28" s="2074">
        <f t="shared" si="5"/>
        <v>0</v>
      </c>
      <c r="AF28" s="2074">
        <f t="shared" si="19"/>
        <v>0</v>
      </c>
      <c r="AG28" s="2074">
        <f t="shared" si="20"/>
        <v>0</v>
      </c>
      <c r="AH28" s="2074">
        <f t="shared" si="6"/>
        <v>0</v>
      </c>
      <c r="AI28" s="2074">
        <f t="shared" si="7"/>
        <v>0</v>
      </c>
      <c r="AJ28" s="2074">
        <f t="shared" si="8"/>
        <v>0</v>
      </c>
      <c r="AK28" s="2074">
        <f t="shared" si="9"/>
        <v>0</v>
      </c>
      <c r="AL28" s="2074">
        <f t="shared" si="10"/>
        <v>0</v>
      </c>
      <c r="AM28" s="2074">
        <f t="shared" si="11"/>
        <v>0</v>
      </c>
      <c r="AN28" s="2074">
        <f t="shared" si="21"/>
        <v>0</v>
      </c>
      <c r="AO28" s="2074">
        <f t="shared" si="12"/>
        <v>0</v>
      </c>
      <c r="AP28" s="2074">
        <f t="shared" si="22"/>
        <v>0</v>
      </c>
      <c r="AQ28" s="2074">
        <f t="shared" si="13"/>
        <v>0</v>
      </c>
      <c r="AR28" s="2074">
        <f t="shared" si="14"/>
        <v>0</v>
      </c>
      <c r="AS28" s="2074"/>
      <c r="AT28" s="2074"/>
      <c r="AU28" s="2074"/>
      <c r="AV28" s="2074"/>
      <c r="AW28" s="2074"/>
      <c r="AX28" s="2074"/>
      <c r="AY28" s="2074"/>
      <c r="AZ28" s="2074"/>
      <c r="BA28" s="2074"/>
      <c r="BB28" s="2074"/>
      <c r="BC28" s="2074"/>
      <c r="BD28" s="2074"/>
      <c r="BE28" s="2074"/>
      <c r="BF28" s="2074"/>
    </row>
    <row r="29" spans="1:88" ht="16.149999999999999" customHeight="1">
      <c r="A29" s="2084">
        <f t="shared" si="23"/>
        <v>172</v>
      </c>
      <c r="B29" s="158" t="str">
        <f>D_Klick!C242</f>
        <v>Rindviehmast, Weidemast, über 4 Monate</v>
      </c>
      <c r="C29" s="159"/>
      <c r="D29" s="168"/>
      <c r="E29" s="168"/>
      <c r="F29" s="160" t="str">
        <f>Texte!A384</f>
        <v>Platz</v>
      </c>
      <c r="G29" s="154"/>
      <c r="H29" s="160">
        <f>D_Klick!N61</f>
        <v>0.34814432989690725</v>
      </c>
      <c r="I29" s="160">
        <f t="shared" si="29"/>
        <v>0</v>
      </c>
      <c r="J29" s="154"/>
      <c r="K29" s="152"/>
      <c r="L29" s="160">
        <f t="shared" si="16"/>
        <v>0</v>
      </c>
      <c r="M29" s="160">
        <f t="shared" si="17"/>
        <v>0</v>
      </c>
      <c r="N29" s="154"/>
      <c r="O29" s="155"/>
      <c r="P29" s="154"/>
      <c r="Q29" s="154"/>
      <c r="R29" s="155"/>
      <c r="S29" s="160"/>
      <c r="T29" s="2017"/>
      <c r="U29" s="2073"/>
      <c r="V29" s="2962">
        <f t="shared" si="18"/>
        <v>1</v>
      </c>
      <c r="W29" s="2076" t="b">
        <v>0</v>
      </c>
      <c r="X29" s="2076" t="b">
        <v>0</v>
      </c>
      <c r="Y29" s="2076">
        <f t="shared" si="0"/>
        <v>0</v>
      </c>
      <c r="Z29" s="2074">
        <f t="shared" si="1"/>
        <v>0</v>
      </c>
      <c r="AA29" s="2074">
        <f>I29</f>
        <v>0</v>
      </c>
      <c r="AB29" s="2074">
        <f t="shared" si="2"/>
        <v>0</v>
      </c>
      <c r="AC29" s="2074">
        <f t="shared" si="3"/>
        <v>0</v>
      </c>
      <c r="AD29" s="2074">
        <f t="shared" si="4"/>
        <v>0</v>
      </c>
      <c r="AE29" s="2074">
        <f t="shared" si="5"/>
        <v>0</v>
      </c>
      <c r="AF29" s="2074">
        <f t="shared" si="19"/>
        <v>0</v>
      </c>
      <c r="AG29" s="2074">
        <f t="shared" si="20"/>
        <v>0</v>
      </c>
      <c r="AH29" s="2074">
        <f t="shared" si="6"/>
        <v>0</v>
      </c>
      <c r="AI29" s="2074">
        <f t="shared" si="7"/>
        <v>0</v>
      </c>
      <c r="AJ29" s="2074">
        <f t="shared" si="8"/>
        <v>0</v>
      </c>
      <c r="AK29" s="2074">
        <f t="shared" si="9"/>
        <v>0</v>
      </c>
      <c r="AL29" s="2074">
        <f t="shared" si="10"/>
        <v>0</v>
      </c>
      <c r="AM29" s="2074">
        <f t="shared" si="11"/>
        <v>0</v>
      </c>
      <c r="AN29" s="2074">
        <f t="shared" si="21"/>
        <v>0</v>
      </c>
      <c r="AO29" s="2074">
        <f t="shared" si="12"/>
        <v>0</v>
      </c>
      <c r="AP29" s="2074">
        <f t="shared" si="22"/>
        <v>0</v>
      </c>
      <c r="AQ29" s="2074">
        <f t="shared" si="13"/>
        <v>0</v>
      </c>
      <c r="AR29" s="2074">
        <f t="shared" si="14"/>
        <v>0</v>
      </c>
      <c r="AS29" s="2074"/>
      <c r="AT29" s="2074"/>
      <c r="AU29" s="2074"/>
      <c r="AV29" s="2074"/>
      <c r="AW29" s="2074"/>
      <c r="AX29" s="2074"/>
      <c r="AY29" s="2074"/>
      <c r="AZ29" s="2074"/>
      <c r="BA29" s="2074"/>
      <c r="BB29" s="2074"/>
      <c r="BC29" s="2074"/>
      <c r="BD29" s="2074"/>
      <c r="BE29" s="2074"/>
      <c r="BF29" s="2074"/>
    </row>
    <row r="30" spans="1:88" ht="16.149999999999999" customHeight="1">
      <c r="A30" s="2084">
        <v>180</v>
      </c>
      <c r="B30" s="158" t="str">
        <f>D_Klick!C243</f>
        <v>Anderes:</v>
      </c>
      <c r="C30" s="835"/>
      <c r="D30" s="178"/>
      <c r="E30" s="159"/>
      <c r="F30" s="160" t="str">
        <f>F34</f>
        <v>Platz</v>
      </c>
      <c r="G30" s="154"/>
      <c r="H30" s="85"/>
      <c r="I30" s="160">
        <f t="shared" si="29"/>
        <v>0</v>
      </c>
      <c r="J30" s="154"/>
      <c r="K30" s="152"/>
      <c r="L30" s="160">
        <f>IF(OR(AND(J30&lt;0,G30&lt;ABS(J30)),K30&gt;365),"!",G30+(J30*K30/365))</f>
        <v>0</v>
      </c>
      <c r="M30" s="160">
        <f>ROUND(IF(L30="!",0,L30*H30),2)</f>
        <v>0</v>
      </c>
      <c r="N30" s="154"/>
      <c r="O30" s="155"/>
      <c r="P30" s="154"/>
      <c r="Q30" s="154"/>
      <c r="R30" s="155"/>
      <c r="S30" s="160"/>
      <c r="T30" s="2017"/>
      <c r="U30" s="2073"/>
      <c r="V30" s="2962">
        <f t="shared" si="18"/>
        <v>1</v>
      </c>
      <c r="W30" s="2076" t="b">
        <v>0</v>
      </c>
      <c r="X30" s="2076" t="b">
        <v>0</v>
      </c>
      <c r="Y30" s="2076">
        <f t="shared" si="0"/>
        <v>0</v>
      </c>
      <c r="Z30" s="2074">
        <f t="shared" si="1"/>
        <v>0</v>
      </c>
      <c r="AA30" s="2074">
        <f>I30</f>
        <v>0</v>
      </c>
      <c r="AB30" s="2074">
        <f t="shared" si="2"/>
        <v>0</v>
      </c>
      <c r="AC30" s="2074">
        <f t="shared" si="3"/>
        <v>0</v>
      </c>
      <c r="AD30" s="2074">
        <f t="shared" si="4"/>
        <v>0</v>
      </c>
      <c r="AE30" s="2074">
        <f t="shared" si="5"/>
        <v>0</v>
      </c>
      <c r="AF30" s="2074">
        <f t="shared" si="19"/>
        <v>0</v>
      </c>
      <c r="AG30" s="2074">
        <f t="shared" si="20"/>
        <v>0</v>
      </c>
      <c r="AH30" s="2074">
        <f t="shared" si="6"/>
        <v>0</v>
      </c>
      <c r="AI30" s="2074">
        <f t="shared" si="7"/>
        <v>0</v>
      </c>
      <c r="AJ30" s="2074">
        <f t="shared" si="8"/>
        <v>0</v>
      </c>
      <c r="AK30" s="2074">
        <f t="shared" si="9"/>
        <v>0</v>
      </c>
      <c r="AL30" s="2074">
        <f t="shared" si="10"/>
        <v>0</v>
      </c>
      <c r="AM30" s="2074">
        <f t="shared" si="11"/>
        <v>0</v>
      </c>
      <c r="AN30" s="2074">
        <f t="shared" si="21"/>
        <v>0</v>
      </c>
      <c r="AO30" s="2074">
        <f t="shared" si="12"/>
        <v>0</v>
      </c>
      <c r="AP30" s="2074">
        <f t="shared" si="22"/>
        <v>0</v>
      </c>
      <c r="AQ30" s="2074">
        <f t="shared" si="13"/>
        <v>0</v>
      </c>
      <c r="AR30" s="2074">
        <f t="shared" si="14"/>
        <v>0</v>
      </c>
      <c r="AS30" s="2074"/>
      <c r="AT30" s="2074"/>
      <c r="AU30" s="2074"/>
      <c r="AV30" s="2074"/>
      <c r="AW30" s="2074"/>
      <c r="AX30" s="2074"/>
      <c r="AY30" s="2074"/>
      <c r="AZ30" s="2074"/>
      <c r="BA30" s="2074"/>
      <c r="BB30" s="2074"/>
      <c r="BC30" s="2074"/>
      <c r="BD30" s="2074"/>
      <c r="BE30" s="2074"/>
      <c r="BF30" s="2074"/>
    </row>
    <row r="31" spans="1:88" ht="16.149999999999999" customHeight="1">
      <c r="A31" s="2084">
        <v>184</v>
      </c>
      <c r="B31" s="169" t="str">
        <f>D_Klick!C244</f>
        <v>Anderes:</v>
      </c>
      <c r="C31" s="170"/>
      <c r="D31" s="171"/>
      <c r="E31" s="185"/>
      <c r="F31" s="160" t="str">
        <f>F35</f>
        <v>Platz</v>
      </c>
      <c r="G31" s="173"/>
      <c r="H31" s="112"/>
      <c r="I31" s="172">
        <f t="shared" si="29"/>
        <v>0</v>
      </c>
      <c r="J31" s="173"/>
      <c r="K31" s="152"/>
      <c r="L31" s="172">
        <f>IF(OR(AND(J31&lt;0,G31&lt;ABS(J31)),K31&gt;365),"!",G31+(J31*K31/365))</f>
        <v>0</v>
      </c>
      <c r="M31" s="172">
        <f>ROUND(IF(L31="!",0,L31*H31),2)</f>
        <v>0</v>
      </c>
      <c r="N31" s="173"/>
      <c r="O31" s="176"/>
      <c r="P31" s="173"/>
      <c r="Q31" s="173"/>
      <c r="R31" s="176"/>
      <c r="S31" s="172"/>
      <c r="T31" s="2017"/>
      <c r="U31" s="2073"/>
      <c r="V31" s="2962">
        <f t="shared" si="18"/>
        <v>1</v>
      </c>
      <c r="W31" s="2076" t="b">
        <v>0</v>
      </c>
      <c r="X31" s="2076" t="b">
        <v>0</v>
      </c>
      <c r="Y31" s="2076">
        <f t="shared" si="0"/>
        <v>0</v>
      </c>
      <c r="Z31" s="2074">
        <f t="shared" si="1"/>
        <v>0</v>
      </c>
      <c r="AA31" s="2074">
        <f>I31</f>
        <v>0</v>
      </c>
      <c r="AB31" s="2074">
        <f t="shared" si="2"/>
        <v>0</v>
      </c>
      <c r="AC31" s="2074">
        <f t="shared" si="3"/>
        <v>0</v>
      </c>
      <c r="AD31" s="2074">
        <f t="shared" si="4"/>
        <v>0</v>
      </c>
      <c r="AE31" s="2074">
        <f t="shared" si="5"/>
        <v>0</v>
      </c>
      <c r="AF31" s="2074">
        <f t="shared" si="19"/>
        <v>0</v>
      </c>
      <c r="AG31" s="2074">
        <f t="shared" si="20"/>
        <v>0</v>
      </c>
      <c r="AH31" s="2074">
        <f t="shared" si="6"/>
        <v>0</v>
      </c>
      <c r="AI31" s="2074">
        <f t="shared" si="7"/>
        <v>0</v>
      </c>
      <c r="AJ31" s="2074">
        <f t="shared" si="8"/>
        <v>0</v>
      </c>
      <c r="AK31" s="2074">
        <f t="shared" si="9"/>
        <v>0</v>
      </c>
      <c r="AL31" s="2074">
        <f t="shared" si="10"/>
        <v>0</v>
      </c>
      <c r="AM31" s="2074">
        <f t="shared" si="11"/>
        <v>0</v>
      </c>
      <c r="AN31" s="2074">
        <f t="shared" si="21"/>
        <v>0</v>
      </c>
      <c r="AO31" s="2074">
        <f t="shared" si="12"/>
        <v>0</v>
      </c>
      <c r="AP31" s="2074">
        <f t="shared" si="22"/>
        <v>0</v>
      </c>
      <c r="AQ31" s="2074">
        <f t="shared" si="13"/>
        <v>0</v>
      </c>
      <c r="AR31" s="2074">
        <f t="shared" si="14"/>
        <v>0</v>
      </c>
      <c r="AS31" s="2074"/>
      <c r="AT31" s="2074"/>
      <c r="AU31" s="2074"/>
      <c r="AV31" s="2074"/>
      <c r="AW31" s="2074"/>
      <c r="AX31" s="2074"/>
      <c r="AY31" s="2074"/>
      <c r="AZ31" s="2074"/>
      <c r="BA31" s="2074"/>
      <c r="BB31" s="2074"/>
      <c r="BC31" s="2074"/>
      <c r="BD31" s="2074"/>
      <c r="BE31" s="2074"/>
      <c r="BF31" s="2074"/>
    </row>
    <row r="32" spans="1:88" ht="16.149999999999999" customHeight="1">
      <c r="A32" s="2084"/>
      <c r="B32" s="179" t="str">
        <f>D_Klick!C246</f>
        <v>Tiere der Pferdegattung (Equiden)</v>
      </c>
      <c r="C32" s="1901"/>
      <c r="D32" s="1901"/>
      <c r="E32" s="1901"/>
      <c r="F32" s="180"/>
      <c r="G32" s="181"/>
      <c r="H32" s="181"/>
      <c r="I32" s="181"/>
      <c r="J32" s="181"/>
      <c r="K32" s="181"/>
      <c r="L32" s="181"/>
      <c r="M32" s="937">
        <f>SUM(M33:M38)</f>
        <v>4.9000000000000004</v>
      </c>
      <c r="N32" s="181"/>
      <c r="O32" s="181"/>
      <c r="P32" s="181"/>
      <c r="Q32" s="181"/>
      <c r="R32" s="181"/>
      <c r="S32" s="181"/>
      <c r="T32" s="3080"/>
      <c r="U32" s="2073"/>
      <c r="W32" s="2076"/>
      <c r="X32" s="2076"/>
      <c r="Y32" s="2076"/>
      <c r="Z32" s="2074"/>
      <c r="AA32" s="2074">
        <f>SUM(AA9:AA31)</f>
        <v>0</v>
      </c>
      <c r="AB32" s="2074">
        <f>SUM(AB9:AB31)</f>
        <v>0</v>
      </c>
      <c r="AC32" s="2074"/>
      <c r="AD32" s="2074">
        <f>SUM(AD9:AD31)</f>
        <v>0</v>
      </c>
      <c r="AE32" s="2074"/>
      <c r="AF32" s="2074">
        <f>SUM(AF9:AF31)</f>
        <v>0</v>
      </c>
      <c r="AG32" s="2074">
        <f>SUM(AG9:AG31)</f>
        <v>0</v>
      </c>
      <c r="AK32" s="2075" t="s">
        <v>4625</v>
      </c>
      <c r="AM32" s="2075" t="s">
        <v>4626</v>
      </c>
      <c r="AN32" s="2075" t="s">
        <v>4627</v>
      </c>
      <c r="AO32" s="2075" t="s">
        <v>4628</v>
      </c>
      <c r="AP32" s="2075" t="s">
        <v>4629</v>
      </c>
    </row>
    <row r="33" spans="1:42" ht="16.149999999999999" customHeight="1">
      <c r="A33" s="2084">
        <v>200</v>
      </c>
      <c r="B33" s="158" t="str">
        <f>D_Klick!C247</f>
        <v>Equiden &gt; 148 cm, über 900-tägig</v>
      </c>
      <c r="C33" s="159"/>
      <c r="D33" s="2252"/>
      <c r="E33" s="2004"/>
      <c r="F33" s="160" t="str">
        <f>Texte!A384</f>
        <v>Platz</v>
      </c>
      <c r="G33" s="3451">
        <v>5</v>
      </c>
      <c r="H33" s="160">
        <v>0.7</v>
      </c>
      <c r="I33" s="160">
        <f t="shared" ref="I33:I38" si="30">ROUND(G33*H33,2)</f>
        <v>3.5</v>
      </c>
      <c r="J33" s="154"/>
      <c r="K33" s="152"/>
      <c r="L33" s="160">
        <f t="shared" ref="L33:L38" si="31">IF(OR(AND(J33&lt;0,G33&lt;ABS(J33)),K33&gt;365),"!",G33+(J33*K33/365))</f>
        <v>5</v>
      </c>
      <c r="M33" s="160">
        <f t="shared" ref="M33:M38" si="32">ROUND(IF(L33="!",0,L33*H33),2)</f>
        <v>3.5</v>
      </c>
      <c r="N33" s="3451">
        <v>5</v>
      </c>
      <c r="O33" s="3451">
        <v>90</v>
      </c>
      <c r="P33" s="3451">
        <v>5</v>
      </c>
      <c r="Q33" s="3451">
        <v>4</v>
      </c>
      <c r="R33" s="3451">
        <v>100</v>
      </c>
      <c r="S33" s="160"/>
      <c r="T33" s="2018"/>
      <c r="U33" s="2073"/>
      <c r="W33" s="2076" t="b">
        <v>0</v>
      </c>
      <c r="X33" s="2076" t="b">
        <v>0</v>
      </c>
      <c r="Y33" s="2076">
        <f t="shared" ref="Y33:Y38" si="33">IF(J33&lt;0,J33*H33,0)</f>
        <v>0</v>
      </c>
      <c r="Z33" s="2074">
        <f t="shared" ref="Z33:Z38" si="34">IF(AND(Y33&lt;&gt;0,K33&lt;&gt;0),Y33*K33,0)</f>
        <v>0</v>
      </c>
      <c r="AA33" s="2074">
        <f t="shared" ref="AA33:AA38" si="35">I33</f>
        <v>3.5</v>
      </c>
      <c r="AB33" s="2074"/>
      <c r="AC33" s="2074"/>
      <c r="AD33" s="2074"/>
      <c r="AE33" s="2074"/>
      <c r="AF33" s="2074"/>
      <c r="AG33" s="2074">
        <f t="shared" ref="AG33:AG38" si="36">I33</f>
        <v>3.5</v>
      </c>
      <c r="AH33" s="2075">
        <f t="shared" ref="AH33:AH38" si="37">IF(J33&lt;0,IF(AND(K33&gt;60,K33&lt;91),-J33*H33,0),0)</f>
        <v>0</v>
      </c>
      <c r="AI33" s="2075">
        <f t="shared" ref="AI33:AI38" si="38">IF(J33&lt;0,IF(AND(K33&gt;90,K33&lt;121),-J33*H33,0),0)</f>
        <v>0</v>
      </c>
      <c r="AJ33" s="2075">
        <f t="shared" ref="AJ33:AJ38" si="39">IF(J33&lt;0,IF(K33&gt;120,-J33*H33,0),0)</f>
        <v>0</v>
      </c>
      <c r="AM33" s="2075">
        <f t="shared" ref="AM33:AM38" si="40">J33*K33</f>
        <v>0</v>
      </c>
      <c r="AN33" s="2075">
        <f t="shared" ref="AN33:AN38" si="41">N33*O33</f>
        <v>450</v>
      </c>
      <c r="AO33" s="2075">
        <f t="shared" ref="AO33:AO38" si="42">P33*Q33</f>
        <v>20</v>
      </c>
      <c r="AP33" s="2075">
        <f t="shared" ref="AP33:AP38" si="43">P33*R33</f>
        <v>500</v>
      </c>
    </row>
    <row r="34" spans="1:42" ht="16.149999999999999" customHeight="1">
      <c r="A34" s="2084"/>
      <c r="B34" s="158" t="str">
        <f>D_Klick!C248</f>
        <v>Equiden &gt; 148 cm, 180-900-tägig</v>
      </c>
      <c r="C34" s="159"/>
      <c r="D34" s="2253"/>
      <c r="E34" s="2005"/>
      <c r="F34" s="160" t="str">
        <f>Texte!A384</f>
        <v>Platz</v>
      </c>
      <c r="G34" s="154"/>
      <c r="H34" s="160">
        <v>0.5</v>
      </c>
      <c r="I34" s="160">
        <f t="shared" si="30"/>
        <v>0</v>
      </c>
      <c r="J34" s="154"/>
      <c r="K34" s="152"/>
      <c r="L34" s="160">
        <f t="shared" si="31"/>
        <v>0</v>
      </c>
      <c r="M34" s="160">
        <f t="shared" si="32"/>
        <v>0</v>
      </c>
      <c r="N34" s="154"/>
      <c r="O34" s="155"/>
      <c r="P34" s="154"/>
      <c r="Q34" s="154"/>
      <c r="R34" s="155"/>
      <c r="S34" s="160"/>
      <c r="T34" s="2017"/>
      <c r="U34" s="2073"/>
      <c r="W34" s="2076" t="b">
        <v>0</v>
      </c>
      <c r="X34" s="2076" t="b">
        <v>0</v>
      </c>
      <c r="Y34" s="2076">
        <f t="shared" si="33"/>
        <v>0</v>
      </c>
      <c r="Z34" s="2074">
        <f t="shared" si="34"/>
        <v>0</v>
      </c>
      <c r="AA34" s="2074">
        <f t="shared" si="35"/>
        <v>0</v>
      </c>
      <c r="AB34" s="2074"/>
      <c r="AC34" s="2074"/>
      <c r="AD34" s="2074"/>
      <c r="AE34" s="2074"/>
      <c r="AF34" s="2074"/>
      <c r="AG34" s="2074">
        <f t="shared" si="36"/>
        <v>0</v>
      </c>
      <c r="AH34" s="2075">
        <f t="shared" si="37"/>
        <v>0</v>
      </c>
      <c r="AI34" s="2075">
        <f t="shared" si="38"/>
        <v>0</v>
      </c>
      <c r="AJ34" s="2075">
        <f t="shared" si="39"/>
        <v>0</v>
      </c>
      <c r="AM34" s="2075">
        <f t="shared" si="40"/>
        <v>0</v>
      </c>
      <c r="AN34" s="2075">
        <f t="shared" si="41"/>
        <v>0</v>
      </c>
      <c r="AO34" s="2075">
        <f t="shared" si="42"/>
        <v>0</v>
      </c>
      <c r="AP34" s="2075">
        <f t="shared" si="43"/>
        <v>0</v>
      </c>
    </row>
    <row r="35" spans="1:42" ht="16.149999999999999" customHeight="1">
      <c r="A35" s="2084"/>
      <c r="B35" s="158" t="str">
        <f>D_Klick!C249</f>
        <v>Equiden &gt; 148 cm, bis 180-tägig</v>
      </c>
      <c r="C35" s="159"/>
      <c r="D35" s="2253"/>
      <c r="E35" s="2005"/>
      <c r="F35" s="160" t="str">
        <f>Texte!A384</f>
        <v>Platz</v>
      </c>
      <c r="G35" s="154"/>
      <c r="H35" s="160">
        <v>0.3</v>
      </c>
      <c r="I35" s="160">
        <f t="shared" si="30"/>
        <v>0</v>
      </c>
      <c r="J35" s="154"/>
      <c r="K35" s="152"/>
      <c r="L35" s="160">
        <f t="shared" si="31"/>
        <v>0</v>
      </c>
      <c r="M35" s="160">
        <f t="shared" si="32"/>
        <v>0</v>
      </c>
      <c r="N35" s="154"/>
      <c r="O35" s="155"/>
      <c r="P35" s="154"/>
      <c r="Q35" s="154"/>
      <c r="R35" s="155"/>
      <c r="S35" s="160"/>
      <c r="T35" s="2017"/>
      <c r="U35" s="2073"/>
      <c r="W35" s="2076" t="b">
        <v>0</v>
      </c>
      <c r="X35" s="2076"/>
      <c r="Y35" s="2076">
        <f t="shared" si="33"/>
        <v>0</v>
      </c>
      <c r="Z35" s="2074">
        <f t="shared" si="34"/>
        <v>0</v>
      </c>
      <c r="AA35" s="2074">
        <f t="shared" si="35"/>
        <v>0</v>
      </c>
      <c r="AB35" s="2074"/>
      <c r="AC35" s="2074"/>
      <c r="AD35" s="2074"/>
      <c r="AE35" s="2074"/>
      <c r="AF35" s="2074"/>
      <c r="AG35" s="2074">
        <f t="shared" si="36"/>
        <v>0</v>
      </c>
      <c r="AH35" s="2075">
        <f t="shared" si="37"/>
        <v>0</v>
      </c>
      <c r="AI35" s="2075">
        <f t="shared" si="38"/>
        <v>0</v>
      </c>
      <c r="AJ35" s="2075">
        <f t="shared" si="39"/>
        <v>0</v>
      </c>
      <c r="AM35" s="2075">
        <f t="shared" si="40"/>
        <v>0</v>
      </c>
      <c r="AN35" s="2075">
        <f t="shared" si="41"/>
        <v>0</v>
      </c>
      <c r="AO35" s="2075">
        <f t="shared" si="42"/>
        <v>0</v>
      </c>
      <c r="AP35" s="2075">
        <f t="shared" si="43"/>
        <v>0</v>
      </c>
    </row>
    <row r="36" spans="1:42" ht="16.149999999999999" customHeight="1">
      <c r="A36" s="2084">
        <v>240</v>
      </c>
      <c r="B36" s="158" t="str">
        <f>D_Klick!C250</f>
        <v>Equiden &lt;= 148 cm, über 900-tägig</v>
      </c>
      <c r="C36" s="159"/>
      <c r="D36" s="2253"/>
      <c r="E36" s="2005"/>
      <c r="F36" s="160" t="str">
        <f>Texte!A384</f>
        <v>Platz</v>
      </c>
      <c r="G36" s="3451">
        <v>4</v>
      </c>
      <c r="H36" s="160">
        <v>0.35</v>
      </c>
      <c r="I36" s="160">
        <f t="shared" si="30"/>
        <v>1.4</v>
      </c>
      <c r="J36" s="154"/>
      <c r="K36" s="152"/>
      <c r="L36" s="160">
        <f t="shared" si="31"/>
        <v>4</v>
      </c>
      <c r="M36" s="160">
        <f t="shared" si="32"/>
        <v>1.4</v>
      </c>
      <c r="N36" s="3451">
        <v>4</v>
      </c>
      <c r="O36" s="3451">
        <v>90</v>
      </c>
      <c r="P36" s="3451">
        <v>4</v>
      </c>
      <c r="Q36" s="3451">
        <v>4</v>
      </c>
      <c r="R36" s="3451">
        <v>100</v>
      </c>
      <c r="S36" s="160"/>
      <c r="T36" s="2017"/>
      <c r="U36" s="2073"/>
      <c r="W36" s="2076" t="b">
        <v>0</v>
      </c>
      <c r="X36" s="2076" t="b">
        <v>0</v>
      </c>
      <c r="Y36" s="2076">
        <f t="shared" si="33"/>
        <v>0</v>
      </c>
      <c r="Z36" s="2074">
        <f t="shared" si="34"/>
        <v>0</v>
      </c>
      <c r="AA36" s="2074">
        <f t="shared" si="35"/>
        <v>1.4</v>
      </c>
      <c r="AB36" s="2074"/>
      <c r="AC36" s="2074"/>
      <c r="AD36" s="2074"/>
      <c r="AE36" s="2074"/>
      <c r="AF36" s="2074"/>
      <c r="AG36" s="2074">
        <f t="shared" si="36"/>
        <v>1.4</v>
      </c>
      <c r="AH36" s="2075">
        <f t="shared" si="37"/>
        <v>0</v>
      </c>
      <c r="AI36" s="2075">
        <f t="shared" si="38"/>
        <v>0</v>
      </c>
      <c r="AJ36" s="2075">
        <f t="shared" si="39"/>
        <v>0</v>
      </c>
      <c r="AM36" s="2075">
        <f t="shared" si="40"/>
        <v>0</v>
      </c>
      <c r="AN36" s="2075">
        <f t="shared" si="41"/>
        <v>360</v>
      </c>
      <c r="AO36" s="2075">
        <f t="shared" si="42"/>
        <v>16</v>
      </c>
      <c r="AP36" s="2075">
        <f t="shared" si="43"/>
        <v>400</v>
      </c>
    </row>
    <row r="37" spans="1:42" ht="16.149999999999999" customHeight="1">
      <c r="A37" s="2084"/>
      <c r="B37" s="158" t="str">
        <f>D_Klick!C251</f>
        <v>Equiden &lt;= 148 cm, 180-900-tägig</v>
      </c>
      <c r="C37" s="159"/>
      <c r="D37" s="2253"/>
      <c r="E37" s="2005"/>
      <c r="F37" s="160" t="str">
        <f>Texte!A384</f>
        <v>Platz</v>
      </c>
      <c r="G37" s="154"/>
      <c r="H37" s="160">
        <v>0.25</v>
      </c>
      <c r="I37" s="160">
        <f t="shared" si="30"/>
        <v>0</v>
      </c>
      <c r="J37" s="154"/>
      <c r="K37" s="152"/>
      <c r="L37" s="160">
        <f t="shared" si="31"/>
        <v>0</v>
      </c>
      <c r="M37" s="160">
        <f t="shared" si="32"/>
        <v>0</v>
      </c>
      <c r="N37" s="154"/>
      <c r="O37" s="155"/>
      <c r="P37" s="154"/>
      <c r="Q37" s="154"/>
      <c r="R37" s="155"/>
      <c r="S37" s="160"/>
      <c r="T37" s="2017"/>
      <c r="U37" s="2073"/>
      <c r="W37" s="2076" t="b">
        <v>0</v>
      </c>
      <c r="X37" s="2076" t="b">
        <v>0</v>
      </c>
      <c r="Y37" s="2076">
        <f t="shared" si="33"/>
        <v>0</v>
      </c>
      <c r="Z37" s="2074">
        <f t="shared" si="34"/>
        <v>0</v>
      </c>
      <c r="AA37" s="2074">
        <f t="shared" si="35"/>
        <v>0</v>
      </c>
      <c r="AB37" s="2074"/>
      <c r="AC37" s="2074"/>
      <c r="AD37" s="2074"/>
      <c r="AE37" s="2074"/>
      <c r="AF37" s="2074"/>
      <c r="AG37" s="2074">
        <f t="shared" si="36"/>
        <v>0</v>
      </c>
      <c r="AH37" s="2075">
        <f t="shared" si="37"/>
        <v>0</v>
      </c>
      <c r="AI37" s="2075">
        <f t="shared" si="38"/>
        <v>0</v>
      </c>
      <c r="AJ37" s="2075">
        <f t="shared" si="39"/>
        <v>0</v>
      </c>
      <c r="AM37" s="2075">
        <f t="shared" si="40"/>
        <v>0</v>
      </c>
      <c r="AN37" s="2075">
        <f t="shared" si="41"/>
        <v>0</v>
      </c>
      <c r="AO37" s="2075">
        <f t="shared" si="42"/>
        <v>0</v>
      </c>
      <c r="AP37" s="2075">
        <f t="shared" si="43"/>
        <v>0</v>
      </c>
    </row>
    <row r="38" spans="1:42" ht="16.149999999999999" customHeight="1">
      <c r="A38" s="2084"/>
      <c r="B38" s="158" t="str">
        <f>D_Klick!C252</f>
        <v>Equiden &lt;= 148 cm, bis 180-tägig</v>
      </c>
      <c r="C38" s="159"/>
      <c r="D38" s="2254"/>
      <c r="E38" s="2005"/>
      <c r="F38" s="160" t="str">
        <f>Texte!A384</f>
        <v>Platz</v>
      </c>
      <c r="G38" s="154"/>
      <c r="H38" s="160">
        <v>0.15</v>
      </c>
      <c r="I38" s="160">
        <f t="shared" si="30"/>
        <v>0</v>
      </c>
      <c r="J38" s="154"/>
      <c r="K38" s="152"/>
      <c r="L38" s="160">
        <f t="shared" si="31"/>
        <v>0</v>
      </c>
      <c r="M38" s="160">
        <f t="shared" si="32"/>
        <v>0</v>
      </c>
      <c r="N38" s="154"/>
      <c r="O38" s="155"/>
      <c r="P38" s="154"/>
      <c r="Q38" s="154"/>
      <c r="R38" s="155"/>
      <c r="S38" s="160"/>
      <c r="T38" s="2017"/>
      <c r="U38" s="2073"/>
      <c r="W38" s="2076" t="b">
        <v>0</v>
      </c>
      <c r="X38" s="2076" t="b">
        <v>0</v>
      </c>
      <c r="Y38" s="2076">
        <f t="shared" si="33"/>
        <v>0</v>
      </c>
      <c r="Z38" s="2074">
        <f t="shared" si="34"/>
        <v>0</v>
      </c>
      <c r="AA38" s="2074">
        <f t="shared" si="35"/>
        <v>0</v>
      </c>
      <c r="AB38" s="2074"/>
      <c r="AC38" s="2074"/>
      <c r="AD38" s="2074"/>
      <c r="AE38" s="2074"/>
      <c r="AF38" s="2074"/>
      <c r="AG38" s="2074">
        <f t="shared" si="36"/>
        <v>0</v>
      </c>
      <c r="AH38" s="2075">
        <f t="shared" si="37"/>
        <v>0</v>
      </c>
      <c r="AI38" s="2075">
        <f t="shared" si="38"/>
        <v>0</v>
      </c>
      <c r="AJ38" s="2075">
        <f t="shared" si="39"/>
        <v>0</v>
      </c>
      <c r="AM38" s="2075">
        <f t="shared" si="40"/>
        <v>0</v>
      </c>
      <c r="AN38" s="2075">
        <f t="shared" si="41"/>
        <v>0</v>
      </c>
      <c r="AO38" s="2075">
        <f t="shared" si="42"/>
        <v>0</v>
      </c>
      <c r="AP38" s="2075">
        <f t="shared" si="43"/>
        <v>0</v>
      </c>
    </row>
    <row r="39" spans="1:42" ht="16.149999999999999" customHeight="1">
      <c r="A39" s="2084"/>
      <c r="B39" s="179" t="str">
        <f>D_Klick!C253</f>
        <v>Kleine Wiederkäuer</v>
      </c>
      <c r="C39" s="179"/>
      <c r="D39" s="180"/>
      <c r="E39" s="180"/>
      <c r="F39" s="180"/>
      <c r="G39" s="181"/>
      <c r="H39" s="181"/>
      <c r="I39" s="181"/>
      <c r="J39" s="181"/>
      <c r="K39" s="181"/>
      <c r="L39" s="181"/>
      <c r="M39" s="937">
        <f>SUM(M40:M49)</f>
        <v>73.23</v>
      </c>
      <c r="N39" s="181"/>
      <c r="O39" s="181"/>
      <c r="P39" s="181"/>
      <c r="Q39" s="181"/>
      <c r="R39" s="181"/>
      <c r="S39" s="181"/>
      <c r="T39" s="3080"/>
      <c r="U39" s="2073"/>
      <c r="W39" s="2076"/>
      <c r="X39" s="2076"/>
      <c r="Y39" s="2076"/>
      <c r="Z39" s="2074"/>
      <c r="AA39" s="2074"/>
      <c r="AB39" s="2074"/>
      <c r="AC39" s="2074"/>
      <c r="AD39" s="2074"/>
      <c r="AE39" s="2074"/>
      <c r="AF39" s="2074"/>
      <c r="AG39" s="2074"/>
    </row>
    <row r="40" spans="1:42" ht="16.149999999999999" customHeight="1">
      <c r="A40" s="2084">
        <v>300</v>
      </c>
      <c r="B40" s="158" t="str">
        <f>D_Klick!C254</f>
        <v>Milchschafe</v>
      </c>
      <c r="C40" s="149" t="str">
        <f>Texte!$A$392</f>
        <v>Ø Milchmenge:</v>
      </c>
      <c r="D40" s="3451">
        <v>450</v>
      </c>
      <c r="E40" s="76"/>
      <c r="F40" s="160" t="str">
        <f>Texte!$A$384</f>
        <v>Platz</v>
      </c>
      <c r="G40" s="3451">
        <v>219</v>
      </c>
      <c r="H40" s="160">
        <v>0.25</v>
      </c>
      <c r="I40" s="160">
        <f t="shared" ref="I40:I49" si="44">ROUND(G40*H40,2)</f>
        <v>54.75</v>
      </c>
      <c r="J40" s="154"/>
      <c r="K40" s="152"/>
      <c r="L40" s="160">
        <f>IF(OR(AND(J40&lt;0,G40&lt;ABS(J40)),K40&gt;365),"!",G40+(J40*K40/365))</f>
        <v>219</v>
      </c>
      <c r="M40" s="160">
        <f>ROUND(IF(L40="!",0,L40*H40),2)</f>
        <v>54.75</v>
      </c>
      <c r="N40" s="154"/>
      <c r="O40" s="155"/>
      <c r="P40" s="154"/>
      <c r="Q40" s="154"/>
      <c r="R40" s="155"/>
      <c r="S40" s="160"/>
      <c r="T40" s="2018"/>
      <c r="U40" s="2073"/>
      <c r="W40" s="2076" t="b">
        <v>0</v>
      </c>
      <c r="X40" s="2076"/>
      <c r="Y40" s="2076">
        <f t="shared" ref="Y40:Y49" si="45">IF(J40&lt;0,J40*H40,0)</f>
        <v>0</v>
      </c>
      <c r="Z40" s="2074">
        <f t="shared" ref="Z40:Z49" si="46">IF(AND(Y40&lt;&gt;0,K40&lt;&gt;0),Y40*K40,0)</f>
        <v>0</v>
      </c>
      <c r="AA40" s="2074">
        <f t="shared" ref="AA40:AA49" si="47">I40</f>
        <v>54.75</v>
      </c>
      <c r="AB40" s="2074"/>
      <c r="AC40" s="2074"/>
      <c r="AD40" s="2074"/>
      <c r="AE40" s="2074"/>
      <c r="AF40" s="2074"/>
      <c r="AG40" s="2074">
        <f t="shared" ref="AG40:AG49" si="48">I40</f>
        <v>54.75</v>
      </c>
      <c r="AH40" s="2075">
        <f t="shared" ref="AH40:AH49" si="49">IF(J40&lt;0,IF(AND(K40&gt;60,K40&lt;91),-J40*H40,0),0)</f>
        <v>0</v>
      </c>
      <c r="AI40" s="2075">
        <f t="shared" ref="AI40:AI49" si="50">IF(J40&lt;0,IF(AND(K40&gt;90,K40&lt;121),-J40*H40,0),0)</f>
        <v>0</v>
      </c>
      <c r="AJ40" s="2075">
        <f t="shared" ref="AJ40:AJ49" si="51">IF(J40&lt;0,IF(K40&gt;120,-J40*H40,0),0)</f>
        <v>0</v>
      </c>
    </row>
    <row r="41" spans="1:42" ht="16.149999999999999" customHeight="1">
      <c r="A41" s="2084">
        <f>A40+10</f>
        <v>310</v>
      </c>
      <c r="B41" s="158" t="str">
        <f>D_Klick!C255</f>
        <v>Andere Schafe, über 365-tägig</v>
      </c>
      <c r="C41" s="159"/>
      <c r="D41" s="159"/>
      <c r="E41" s="159"/>
      <c r="F41" s="160" t="str">
        <f>Texte!$A$384</f>
        <v>Platz</v>
      </c>
      <c r="G41" s="3451">
        <v>45</v>
      </c>
      <c r="H41" s="160">
        <v>0.17</v>
      </c>
      <c r="I41" s="160">
        <f t="shared" si="44"/>
        <v>7.65</v>
      </c>
      <c r="J41" s="154"/>
      <c r="K41" s="152"/>
      <c r="L41" s="160">
        <f>IF(OR(AND(J41&lt;0,G41&lt;ABS(J41)),K41&gt;365),"!",G41+(J41*K41/365))</f>
        <v>45</v>
      </c>
      <c r="M41" s="160">
        <f>ROUND(IF(L41="!",0,L41*H41),2)</f>
        <v>7.65</v>
      </c>
      <c r="N41" s="154"/>
      <c r="O41" s="155"/>
      <c r="P41" s="154"/>
      <c r="Q41" s="154"/>
      <c r="R41" s="155"/>
      <c r="S41" s="160"/>
      <c r="T41" s="2017"/>
      <c r="U41" s="2073"/>
      <c r="W41" s="2076" t="b">
        <v>0</v>
      </c>
      <c r="X41" s="2076"/>
      <c r="Y41" s="2076">
        <f t="shared" si="45"/>
        <v>0</v>
      </c>
      <c r="Z41" s="2074">
        <f t="shared" si="46"/>
        <v>0</v>
      </c>
      <c r="AA41" s="2074">
        <f t="shared" si="47"/>
        <v>7.65</v>
      </c>
      <c r="AB41" s="2074"/>
      <c r="AC41" s="2074"/>
      <c r="AD41" s="2074"/>
      <c r="AE41" s="2074"/>
      <c r="AF41" s="2074"/>
      <c r="AG41" s="2074">
        <f t="shared" si="48"/>
        <v>7.65</v>
      </c>
      <c r="AH41" s="2075">
        <f t="shared" si="49"/>
        <v>0</v>
      </c>
      <c r="AI41" s="2075">
        <f t="shared" si="50"/>
        <v>0</v>
      </c>
      <c r="AJ41" s="2075">
        <f t="shared" si="51"/>
        <v>0</v>
      </c>
    </row>
    <row r="42" spans="1:42" ht="16.149999999999999" customHeight="1">
      <c r="A42" s="2084">
        <f>A41+10</f>
        <v>320</v>
      </c>
      <c r="B42" s="158" t="str">
        <f>D_Klick!C256</f>
        <v>Jungschafe, über 180 bis 365-tägig</v>
      </c>
      <c r="C42" s="159"/>
      <c r="D42" s="159"/>
      <c r="E42" s="159"/>
      <c r="F42" s="160" t="str">
        <f>Texte!$A$384</f>
        <v>Platz</v>
      </c>
      <c r="G42" s="3451">
        <v>106</v>
      </c>
      <c r="H42" s="160">
        <v>0.06</v>
      </c>
      <c r="I42" s="160">
        <f t="shared" si="44"/>
        <v>6.36</v>
      </c>
      <c r="J42" s="154"/>
      <c r="K42" s="152"/>
      <c r="L42" s="160">
        <f t="shared" ref="L42:L48" si="52">IF(OR(AND(J42&lt;0,G42&lt;ABS(J42)),K42&gt;365),"!",G42+(J42*K42/365))</f>
        <v>106</v>
      </c>
      <c r="M42" s="160">
        <f t="shared" ref="M42:M48" si="53">ROUND(IF(L42="!",0,L42*H42),2)</f>
        <v>6.36</v>
      </c>
      <c r="N42" s="154"/>
      <c r="O42" s="155"/>
      <c r="P42" s="154"/>
      <c r="Q42" s="154"/>
      <c r="R42" s="155"/>
      <c r="S42" s="160"/>
      <c r="T42" s="2017"/>
      <c r="U42" s="2073"/>
      <c r="W42" s="2076"/>
      <c r="X42" s="2076"/>
      <c r="Y42" s="2076">
        <f t="shared" si="45"/>
        <v>0</v>
      </c>
      <c r="Z42" s="2074">
        <f t="shared" si="46"/>
        <v>0</v>
      </c>
      <c r="AA42" s="2074">
        <f t="shared" si="47"/>
        <v>6.36</v>
      </c>
      <c r="AB42" s="2074"/>
      <c r="AC42" s="2074"/>
      <c r="AD42" s="2074"/>
      <c r="AE42" s="2074"/>
      <c r="AF42" s="2074"/>
      <c r="AG42" s="2074">
        <f t="shared" si="48"/>
        <v>6.36</v>
      </c>
      <c r="AH42" s="2075">
        <f t="shared" si="49"/>
        <v>0</v>
      </c>
      <c r="AI42" s="2075">
        <f t="shared" si="50"/>
        <v>0</v>
      </c>
      <c r="AJ42" s="2075">
        <f t="shared" si="51"/>
        <v>0</v>
      </c>
    </row>
    <row r="43" spans="1:42" ht="16.149999999999999" customHeight="1">
      <c r="A43" s="2084">
        <f>A42+10</f>
        <v>330</v>
      </c>
      <c r="B43" s="158" t="str">
        <f>D_Klick!C257</f>
        <v>Lämmer, bis 180-tägig</v>
      </c>
      <c r="C43" s="989"/>
      <c r="D43" s="159"/>
      <c r="E43" s="159"/>
      <c r="F43" s="160" t="str">
        <f>Texte!$A$384</f>
        <v>Platz</v>
      </c>
      <c r="G43" s="3451">
        <v>129</v>
      </c>
      <c r="H43" s="160">
        <v>0.03</v>
      </c>
      <c r="I43" s="160">
        <f t="shared" si="44"/>
        <v>3.87</v>
      </c>
      <c r="J43" s="154"/>
      <c r="K43" s="152"/>
      <c r="L43" s="160">
        <f t="shared" si="52"/>
        <v>129</v>
      </c>
      <c r="M43" s="160">
        <f t="shared" si="53"/>
        <v>3.87</v>
      </c>
      <c r="N43" s="154"/>
      <c r="O43" s="155"/>
      <c r="P43" s="154"/>
      <c r="Q43" s="154"/>
      <c r="R43" s="155"/>
      <c r="S43" s="160"/>
      <c r="T43" s="2017"/>
      <c r="U43" s="2073"/>
      <c r="W43" s="2076"/>
      <c r="X43" s="2076"/>
      <c r="Y43" s="2076">
        <f t="shared" si="45"/>
        <v>0</v>
      </c>
      <c r="Z43" s="2074">
        <f t="shared" si="46"/>
        <v>0</v>
      </c>
      <c r="AA43" s="2074">
        <f t="shared" si="47"/>
        <v>3.87</v>
      </c>
      <c r="AB43" s="2074"/>
      <c r="AC43" s="2074"/>
      <c r="AD43" s="2074"/>
      <c r="AE43" s="2074"/>
      <c r="AF43" s="2074"/>
      <c r="AG43" s="2074">
        <f t="shared" si="48"/>
        <v>3.87</v>
      </c>
      <c r="AH43" s="2075">
        <f t="shared" si="49"/>
        <v>0</v>
      </c>
      <c r="AI43" s="2075">
        <f t="shared" si="50"/>
        <v>0</v>
      </c>
      <c r="AJ43" s="2075">
        <f t="shared" si="51"/>
        <v>0</v>
      </c>
    </row>
    <row r="44" spans="1:42" ht="16.149999999999999" customHeight="1">
      <c r="A44" s="2084">
        <v>400</v>
      </c>
      <c r="B44" s="158" t="str">
        <f>D_Klick!C258</f>
        <v>Milchziegen</v>
      </c>
      <c r="C44" s="972" t="str">
        <f>Texte!$A$392</f>
        <v>Ø Milchmenge:</v>
      </c>
      <c r="D44" s="3451">
        <v>550</v>
      </c>
      <c r="E44" s="159"/>
      <c r="F44" s="160" t="str">
        <f>Texte!$A$384</f>
        <v>Platz</v>
      </c>
      <c r="G44" s="3451">
        <v>3</v>
      </c>
      <c r="H44" s="160">
        <v>0.2</v>
      </c>
      <c r="I44" s="160">
        <f t="shared" si="44"/>
        <v>0.6</v>
      </c>
      <c r="J44" s="154"/>
      <c r="K44" s="152"/>
      <c r="L44" s="160">
        <f t="shared" si="52"/>
        <v>3</v>
      </c>
      <c r="M44" s="160">
        <f t="shared" si="53"/>
        <v>0.6</v>
      </c>
      <c r="N44" s="154"/>
      <c r="O44" s="155"/>
      <c r="P44" s="154"/>
      <c r="Q44" s="154"/>
      <c r="R44" s="155"/>
      <c r="S44" s="160"/>
      <c r="T44" s="2017"/>
      <c r="U44" s="2073"/>
      <c r="W44" s="2076" t="b">
        <v>0</v>
      </c>
      <c r="X44" s="2076" t="b">
        <v>0</v>
      </c>
      <c r="Y44" s="2076">
        <f t="shared" si="45"/>
        <v>0</v>
      </c>
      <c r="Z44" s="2074">
        <f t="shared" si="46"/>
        <v>0</v>
      </c>
      <c r="AA44" s="2074">
        <f t="shared" si="47"/>
        <v>0.6</v>
      </c>
      <c r="AB44" s="2074"/>
      <c r="AC44" s="2074"/>
      <c r="AD44" s="2074"/>
      <c r="AE44" s="2074"/>
      <c r="AF44" s="2074"/>
      <c r="AG44" s="2074">
        <f t="shared" si="48"/>
        <v>0.6</v>
      </c>
      <c r="AH44" s="2075">
        <f t="shared" si="49"/>
        <v>0</v>
      </c>
      <c r="AI44" s="2075">
        <f t="shared" si="50"/>
        <v>0</v>
      </c>
      <c r="AJ44" s="2075">
        <f t="shared" si="51"/>
        <v>0</v>
      </c>
    </row>
    <row r="45" spans="1:42" ht="16.149999999999999" customHeight="1">
      <c r="A45" s="2084">
        <f>A44+10</f>
        <v>410</v>
      </c>
      <c r="B45" s="158" t="str">
        <f>D_Klick!C259</f>
        <v>Andere Zeigen, über 365-tägig</v>
      </c>
      <c r="C45" s="159"/>
      <c r="D45" s="168"/>
      <c r="E45" s="168"/>
      <c r="F45" s="160" t="str">
        <f>Texte!$A$384</f>
        <v>Platz</v>
      </c>
      <c r="G45" s="3452">
        <v>1.55</v>
      </c>
      <c r="H45" s="160">
        <v>0.17</v>
      </c>
      <c r="I45" s="160">
        <f t="shared" si="44"/>
        <v>0</v>
      </c>
      <c r="J45" s="154"/>
      <c r="K45" s="152"/>
      <c r="L45" s="160">
        <f t="shared" si="52"/>
        <v>0</v>
      </c>
      <c r="M45" s="160">
        <f t="shared" si="53"/>
        <v>0</v>
      </c>
      <c r="N45" s="154"/>
      <c r="O45" s="155"/>
      <c r="P45" s="154"/>
      <c r="Q45" s="154"/>
      <c r="R45" s="155"/>
      <c r="S45" s="160"/>
      <c r="T45" s="2017"/>
      <c r="U45" s="2073"/>
      <c r="W45" s="2076" t="b">
        <v>0</v>
      </c>
      <c r="X45" s="2076" t="b">
        <v>0</v>
      </c>
      <c r="Y45" s="2076">
        <f t="shared" si="45"/>
        <v>0</v>
      </c>
      <c r="Z45" s="2074">
        <f t="shared" si="46"/>
        <v>0</v>
      </c>
      <c r="AA45" s="2074">
        <f t="shared" si="47"/>
        <v>0</v>
      </c>
      <c r="AB45" s="2074"/>
      <c r="AC45" s="2074"/>
      <c r="AD45" s="2074"/>
      <c r="AE45" s="2074"/>
      <c r="AF45" s="2074"/>
      <c r="AG45" s="2074">
        <f t="shared" si="48"/>
        <v>0</v>
      </c>
      <c r="AH45" s="2075">
        <f t="shared" si="49"/>
        <v>0</v>
      </c>
      <c r="AI45" s="2075">
        <f t="shared" si="50"/>
        <v>0</v>
      </c>
      <c r="AJ45" s="2075">
        <f t="shared" si="51"/>
        <v>0</v>
      </c>
    </row>
    <row r="46" spans="1:42" ht="16.149999999999999" customHeight="1">
      <c r="A46" s="2084">
        <f>A45+10</f>
        <v>420</v>
      </c>
      <c r="B46" s="158" t="str">
        <f>D_Klick!C260</f>
        <v>Jungziegen, über 180 bis 365-tägig</v>
      </c>
      <c r="C46" s="159"/>
      <c r="D46" s="168"/>
      <c r="E46" s="168"/>
      <c r="F46" s="160" t="str">
        <f>Texte!$A$384</f>
        <v>Platz</v>
      </c>
      <c r="G46" s="3452">
        <v>2.79</v>
      </c>
      <c r="H46" s="160">
        <v>0.06</v>
      </c>
      <c r="I46" s="160">
        <f t="shared" si="44"/>
        <v>0</v>
      </c>
      <c r="J46" s="154"/>
      <c r="K46" s="152"/>
      <c r="L46" s="160">
        <f t="shared" si="52"/>
        <v>0</v>
      </c>
      <c r="M46" s="160">
        <f t="shared" si="53"/>
        <v>0</v>
      </c>
      <c r="N46" s="154"/>
      <c r="O46" s="155"/>
      <c r="P46" s="154"/>
      <c r="Q46" s="154"/>
      <c r="R46" s="155"/>
      <c r="S46" s="160"/>
      <c r="T46" s="2017"/>
      <c r="U46" s="2073"/>
      <c r="W46" s="2076"/>
      <c r="X46" s="2076"/>
      <c r="Y46" s="2076">
        <f t="shared" si="45"/>
        <v>0</v>
      </c>
      <c r="Z46" s="2074">
        <f t="shared" si="46"/>
        <v>0</v>
      </c>
      <c r="AA46" s="2074">
        <f t="shared" si="47"/>
        <v>0</v>
      </c>
      <c r="AB46" s="2074"/>
      <c r="AC46" s="2074"/>
      <c r="AD46" s="2074"/>
      <c r="AE46" s="2074"/>
      <c r="AF46" s="2074"/>
      <c r="AG46" s="2074">
        <f t="shared" si="48"/>
        <v>0</v>
      </c>
      <c r="AH46" s="2075">
        <f t="shared" si="49"/>
        <v>0</v>
      </c>
      <c r="AI46" s="2075">
        <f t="shared" si="50"/>
        <v>0</v>
      </c>
      <c r="AJ46" s="2075">
        <f t="shared" si="51"/>
        <v>0</v>
      </c>
    </row>
    <row r="47" spans="1:42" ht="16.149999999999999" customHeight="1">
      <c r="A47" s="2084">
        <f>A46+10</f>
        <v>430</v>
      </c>
      <c r="B47" s="158" t="str">
        <f>D_Klick!C261</f>
        <v>Zicklein bis 180-tägig, Milchziegenherde</v>
      </c>
      <c r="C47" s="159"/>
      <c r="D47" s="168"/>
      <c r="E47" s="168"/>
      <c r="F47" s="160" t="str">
        <f>Texte!$A$384</f>
        <v>Platz</v>
      </c>
      <c r="G47" s="3452">
        <v>1.99</v>
      </c>
      <c r="H47" s="160">
        <v>0.03</v>
      </c>
      <c r="I47" s="160">
        <f t="shared" si="44"/>
        <v>0</v>
      </c>
      <c r="J47" s="154"/>
      <c r="K47" s="152"/>
      <c r="L47" s="160">
        <f t="shared" si="52"/>
        <v>0</v>
      </c>
      <c r="M47" s="160">
        <f t="shared" si="53"/>
        <v>0</v>
      </c>
      <c r="N47" s="154"/>
      <c r="O47" s="155"/>
      <c r="P47" s="154"/>
      <c r="Q47" s="154"/>
      <c r="R47" s="155"/>
      <c r="S47" s="160"/>
      <c r="T47" s="2017"/>
      <c r="U47" s="2073"/>
      <c r="W47" s="2076"/>
      <c r="X47" s="2076"/>
      <c r="Y47" s="2076">
        <f t="shared" si="45"/>
        <v>0</v>
      </c>
      <c r="Z47" s="2074">
        <f t="shared" si="46"/>
        <v>0</v>
      </c>
      <c r="AA47" s="2074">
        <f t="shared" si="47"/>
        <v>0</v>
      </c>
      <c r="AB47" s="2074"/>
      <c r="AC47" s="2074"/>
      <c r="AD47" s="2074"/>
      <c r="AE47" s="2074"/>
      <c r="AF47" s="2074"/>
      <c r="AG47" s="2074">
        <f t="shared" si="48"/>
        <v>0</v>
      </c>
      <c r="AH47" s="2075">
        <f t="shared" si="49"/>
        <v>0</v>
      </c>
      <c r="AI47" s="2075">
        <f t="shared" si="50"/>
        <v>0</v>
      </c>
      <c r="AJ47" s="2075">
        <f t="shared" si="51"/>
        <v>0</v>
      </c>
    </row>
    <row r="48" spans="1:42" ht="16.149999999999999" customHeight="1">
      <c r="A48" s="2084">
        <f>A47+10</f>
        <v>440</v>
      </c>
      <c r="B48" s="3404" t="str">
        <f>D_Klick!C262</f>
        <v>Zicklein bis 180-tägig, Mutterziegenherde</v>
      </c>
      <c r="C48" s="979"/>
      <c r="D48" s="3405"/>
      <c r="E48" s="3405"/>
      <c r="F48" s="980" t="str">
        <f>Texte!$A$384</f>
        <v>Platz</v>
      </c>
      <c r="G48" s="3398"/>
      <c r="H48" s="980">
        <v>0.03</v>
      </c>
      <c r="I48" s="980">
        <f t="shared" si="44"/>
        <v>0</v>
      </c>
      <c r="J48" s="3398"/>
      <c r="K48" s="3399"/>
      <c r="L48" s="980">
        <f t="shared" si="52"/>
        <v>0</v>
      </c>
      <c r="M48" s="980">
        <f t="shared" si="53"/>
        <v>0</v>
      </c>
      <c r="N48" s="3398"/>
      <c r="O48" s="3000"/>
      <c r="P48" s="3398"/>
      <c r="Q48" s="3398"/>
      <c r="R48" s="3000"/>
      <c r="S48" s="980"/>
      <c r="T48" s="981"/>
      <c r="U48" s="2073"/>
      <c r="W48" s="2076"/>
      <c r="X48" s="2076"/>
      <c r="Y48" s="2076">
        <f t="shared" si="45"/>
        <v>0</v>
      </c>
      <c r="Z48" s="2074">
        <f t="shared" si="46"/>
        <v>0</v>
      </c>
      <c r="AA48" s="2074">
        <f t="shared" si="47"/>
        <v>0</v>
      </c>
      <c r="AB48" s="2074"/>
      <c r="AC48" s="2074"/>
      <c r="AD48" s="2074"/>
      <c r="AE48" s="2074"/>
      <c r="AF48" s="2074"/>
      <c r="AG48" s="2074">
        <f t="shared" si="48"/>
        <v>0</v>
      </c>
      <c r="AH48" s="2075">
        <f t="shared" si="49"/>
        <v>0</v>
      </c>
      <c r="AI48" s="2075">
        <f t="shared" si="50"/>
        <v>0</v>
      </c>
      <c r="AJ48" s="2075">
        <f t="shared" si="51"/>
        <v>0</v>
      </c>
    </row>
    <row r="49" spans="1:36" ht="16.149999999999999" hidden="1" customHeight="1">
      <c r="A49" s="2084"/>
      <c r="B49" s="3400" t="str">
        <f>D_Klick!C263</f>
        <v>Anderes:</v>
      </c>
      <c r="C49" s="3401"/>
      <c r="D49" s="171"/>
      <c r="E49" s="185"/>
      <c r="F49" s="3402"/>
      <c r="G49" s="173"/>
      <c r="H49" s="3403"/>
      <c r="I49" s="172">
        <f t="shared" si="44"/>
        <v>0</v>
      </c>
      <c r="J49" s="173"/>
      <c r="K49" s="174"/>
      <c r="L49" s="172">
        <f>IF(OR(AND(J49&lt;0,G49&lt;ABS(J49)),K49&gt;365),"!",G49+(J49*K49/365))</f>
        <v>0</v>
      </c>
      <c r="M49" s="172">
        <f>ROUND(IF(L49="!",0,L49*H49),2)</f>
        <v>0</v>
      </c>
      <c r="N49" s="173"/>
      <c r="O49" s="176"/>
      <c r="P49" s="173"/>
      <c r="Q49" s="173"/>
      <c r="R49" s="176"/>
      <c r="S49" s="172"/>
      <c r="T49" s="200"/>
      <c r="U49" s="2073"/>
      <c r="W49" s="2076" t="b">
        <v>0</v>
      </c>
      <c r="X49" s="2076"/>
      <c r="Y49" s="2076">
        <f t="shared" si="45"/>
        <v>0</v>
      </c>
      <c r="Z49" s="2074">
        <f t="shared" si="46"/>
        <v>0</v>
      </c>
      <c r="AA49" s="2074">
        <f t="shared" si="47"/>
        <v>0</v>
      </c>
      <c r="AB49" s="2074"/>
      <c r="AC49" s="2074"/>
      <c r="AD49" s="2074"/>
      <c r="AE49" s="2074"/>
      <c r="AF49" s="2074"/>
      <c r="AG49" s="2074">
        <f t="shared" si="48"/>
        <v>0</v>
      </c>
      <c r="AH49" s="2075">
        <f t="shared" si="49"/>
        <v>0</v>
      </c>
      <c r="AI49" s="2075">
        <f t="shared" si="50"/>
        <v>0</v>
      </c>
      <c r="AJ49" s="2075">
        <f t="shared" si="51"/>
        <v>0</v>
      </c>
    </row>
    <row r="50" spans="1:36" ht="16.149999999999999" hidden="1" customHeight="1">
      <c r="A50" s="2084"/>
      <c r="B50" s="3397"/>
      <c r="C50" s="3397"/>
      <c r="D50" s="3397"/>
      <c r="E50" s="3397"/>
      <c r="F50" s="3397"/>
      <c r="G50" s="3397"/>
      <c r="H50" s="3397"/>
      <c r="I50" s="3397"/>
      <c r="J50" s="3397"/>
      <c r="K50" s="3397"/>
      <c r="L50" s="3397"/>
      <c r="M50" s="3397"/>
      <c r="N50" s="3397"/>
      <c r="O50" s="3397"/>
      <c r="P50" s="3397"/>
      <c r="Q50" s="3397"/>
      <c r="R50" s="3397"/>
      <c r="S50" s="3397"/>
      <c r="T50" s="3397"/>
      <c r="U50" s="2073"/>
      <c r="W50" s="2076"/>
      <c r="X50" s="2076"/>
      <c r="Y50" s="2076"/>
      <c r="Z50" s="2074"/>
      <c r="AA50" s="2074"/>
      <c r="AB50" s="2074"/>
      <c r="AC50" s="2074"/>
      <c r="AD50" s="2074"/>
      <c r="AE50" s="2074"/>
      <c r="AF50" s="2074"/>
      <c r="AG50" s="2074"/>
    </row>
    <row r="51" spans="1:36" ht="16.149999999999999" customHeight="1">
      <c r="A51" s="2084"/>
      <c r="B51" s="111" t="str">
        <f>D_Klick!C264</f>
        <v>Weitere raufutterverzehrende Nutztiere</v>
      </c>
      <c r="C51" s="111"/>
      <c r="D51" s="114"/>
      <c r="E51" s="114"/>
      <c r="F51" s="114"/>
      <c r="G51" s="96"/>
      <c r="H51" s="96"/>
      <c r="I51" s="96"/>
      <c r="J51" s="96"/>
      <c r="K51" s="96"/>
      <c r="L51" s="96"/>
      <c r="M51" s="936">
        <f>SUM(M52:M61)</f>
        <v>0</v>
      </c>
      <c r="N51" s="96"/>
      <c r="O51" s="96"/>
      <c r="P51" s="96"/>
      <c r="Q51" s="96"/>
      <c r="R51" s="96"/>
      <c r="S51" s="96"/>
      <c r="T51" s="3396"/>
      <c r="U51" s="2073"/>
      <c r="W51" s="2076"/>
      <c r="X51" s="2076"/>
      <c r="Y51" s="2074"/>
      <c r="Z51" s="2074"/>
      <c r="AA51" s="2074"/>
      <c r="AB51" s="2074"/>
      <c r="AC51" s="2074"/>
      <c r="AD51" s="2074"/>
      <c r="AE51" s="2074"/>
      <c r="AF51" s="2074"/>
      <c r="AG51" s="2074"/>
    </row>
    <row r="52" spans="1:36" ht="16.149999999999999" customHeight="1">
      <c r="A52" s="2084">
        <v>500</v>
      </c>
      <c r="B52" s="158" t="str">
        <f>D_Klick!C265</f>
        <v>Bisons über 900-tägig</v>
      </c>
      <c r="C52" s="159"/>
      <c r="D52" s="159"/>
      <c r="E52" s="159"/>
      <c r="F52" s="160" t="str">
        <f>Texte!A383</f>
        <v>Stück</v>
      </c>
      <c r="G52" s="154"/>
      <c r="H52" s="160">
        <f>D_Klick!S126</f>
        <v>1</v>
      </c>
      <c r="I52" s="160">
        <f t="shared" ref="I52:I61" si="54">ROUND(G52*H52,2)</f>
        <v>0</v>
      </c>
      <c r="J52" s="154"/>
      <c r="K52" s="152"/>
      <c r="L52" s="160">
        <f t="shared" ref="L52:L61" si="55">IF(OR(AND(J52&lt;0,G52&lt;ABS(J52)),K52&gt;365),"!",G52+(J52*K52/365))</f>
        <v>0</v>
      </c>
      <c r="M52" s="160">
        <f t="shared" ref="M52:M61" si="56">ROUND(IF(L52="!",0,L52*H52),2)</f>
        <v>0</v>
      </c>
      <c r="N52" s="154"/>
      <c r="O52" s="155"/>
      <c r="P52" s="154"/>
      <c r="Q52" s="154"/>
      <c r="R52" s="155"/>
      <c r="S52" s="160"/>
      <c r="T52" s="2018"/>
      <c r="U52" s="2073"/>
      <c r="W52" s="2076" t="b">
        <v>0</v>
      </c>
      <c r="X52" s="2076"/>
      <c r="Y52" s="2074"/>
      <c r="Z52" s="2074"/>
      <c r="AA52" s="2074">
        <f t="shared" ref="AA52:AA61" si="57">I52</f>
        <v>0</v>
      </c>
      <c r="AB52" s="2074"/>
      <c r="AC52" s="2074"/>
      <c r="AD52" s="2074"/>
      <c r="AE52" s="2074"/>
      <c r="AF52" s="2074"/>
      <c r="AG52" s="2074">
        <f t="shared" ref="AG52:AG61" si="58">I52</f>
        <v>0</v>
      </c>
      <c r="AH52" s="2075">
        <f t="shared" ref="AH52:AH61" si="59">IF(J52&lt;0,IF(AND(K52&gt;60,K52&lt;91),-J52*H52,0),0)</f>
        <v>0</v>
      </c>
      <c r="AI52" s="2075">
        <f t="shared" ref="AI52:AI61" si="60">IF(J52&lt;0,IF(AND(K52&gt;90,K52&lt;121),-J52*H52,0),0)</f>
        <v>0</v>
      </c>
      <c r="AJ52" s="2075">
        <f t="shared" ref="AJ52:AJ61" si="61">IF(J52&lt;0,IF(K52&gt;120,-J52*H52,0),0)</f>
        <v>0</v>
      </c>
    </row>
    <row r="53" spans="1:36" ht="16.149999999999999" customHeight="1">
      <c r="A53" s="2084">
        <f>A52+10</f>
        <v>510</v>
      </c>
      <c r="B53" s="158" t="str">
        <f>D_Klick!C266</f>
        <v>Bisons bis 900-tägig, Zucht und Mast</v>
      </c>
      <c r="C53" s="159"/>
      <c r="D53" s="159"/>
      <c r="E53" s="159"/>
      <c r="F53" s="160" t="str">
        <f>Texte!A383</f>
        <v>Stück</v>
      </c>
      <c r="G53" s="154"/>
      <c r="H53" s="160">
        <f>D_Klick!S127</f>
        <v>0.4</v>
      </c>
      <c r="I53" s="160">
        <f t="shared" si="54"/>
        <v>0</v>
      </c>
      <c r="J53" s="154"/>
      <c r="K53" s="152"/>
      <c r="L53" s="160">
        <f t="shared" si="55"/>
        <v>0</v>
      </c>
      <c r="M53" s="160">
        <f t="shared" si="56"/>
        <v>0</v>
      </c>
      <c r="N53" s="154"/>
      <c r="O53" s="155"/>
      <c r="P53" s="154"/>
      <c r="Q53" s="154"/>
      <c r="R53" s="155"/>
      <c r="S53" s="160"/>
      <c r="T53" s="2017"/>
      <c r="U53" s="2073"/>
      <c r="W53" s="2076" t="b">
        <v>0</v>
      </c>
      <c r="X53" s="2076"/>
      <c r="Y53" s="2074"/>
      <c r="Z53" s="2074"/>
      <c r="AA53" s="2074">
        <f t="shared" si="57"/>
        <v>0</v>
      </c>
      <c r="AB53" s="2074"/>
      <c r="AC53" s="2074"/>
      <c r="AD53" s="2074"/>
      <c r="AE53" s="2074"/>
      <c r="AF53" s="2074"/>
      <c r="AG53" s="2074">
        <f t="shared" si="58"/>
        <v>0</v>
      </c>
      <c r="AH53" s="2075">
        <f t="shared" si="59"/>
        <v>0</v>
      </c>
      <c r="AI53" s="2075">
        <f t="shared" si="60"/>
        <v>0</v>
      </c>
      <c r="AJ53" s="2075">
        <f t="shared" si="61"/>
        <v>0</v>
      </c>
    </row>
    <row r="54" spans="1:36" ht="16.149999999999999" customHeight="1">
      <c r="A54" s="2084">
        <f t="shared" ref="A54:A61" si="62">A53+10</f>
        <v>520</v>
      </c>
      <c r="B54" s="158" t="str">
        <f>D_Klick!C267</f>
        <v>Damhirsche, 2 Tiere, Muttertier und Nachwuchs</v>
      </c>
      <c r="C54" s="159"/>
      <c r="D54" s="159"/>
      <c r="E54" s="159"/>
      <c r="F54" s="160" t="str">
        <f>Texte!A386</f>
        <v>Einheit</v>
      </c>
      <c r="G54" s="154"/>
      <c r="H54" s="160">
        <f>D_Klick!S128</f>
        <v>0.2</v>
      </c>
      <c r="I54" s="160">
        <f t="shared" si="54"/>
        <v>0</v>
      </c>
      <c r="J54" s="154"/>
      <c r="K54" s="152"/>
      <c r="L54" s="160">
        <f t="shared" si="55"/>
        <v>0</v>
      </c>
      <c r="M54" s="160">
        <f t="shared" si="56"/>
        <v>0</v>
      </c>
      <c r="N54" s="154"/>
      <c r="O54" s="155"/>
      <c r="P54" s="154"/>
      <c r="Q54" s="154"/>
      <c r="R54" s="155"/>
      <c r="S54" s="160"/>
      <c r="T54" s="2017"/>
      <c r="U54" s="2073"/>
      <c r="W54" s="2076" t="b">
        <v>0</v>
      </c>
      <c r="X54" s="2076"/>
      <c r="Y54" s="2074"/>
      <c r="Z54" s="2074"/>
      <c r="AA54" s="2074">
        <f t="shared" si="57"/>
        <v>0</v>
      </c>
      <c r="AB54" s="2074"/>
      <c r="AC54" s="2074"/>
      <c r="AD54" s="2074"/>
      <c r="AE54" s="2074"/>
      <c r="AF54" s="2074"/>
      <c r="AG54" s="2074">
        <f t="shared" si="58"/>
        <v>0</v>
      </c>
      <c r="AH54" s="2075">
        <f t="shared" si="59"/>
        <v>0</v>
      </c>
      <c r="AI54" s="2075">
        <f t="shared" si="60"/>
        <v>0</v>
      </c>
      <c r="AJ54" s="2075">
        <f t="shared" si="61"/>
        <v>0</v>
      </c>
    </row>
    <row r="55" spans="1:36" ht="16.149999999999999" customHeight="1">
      <c r="A55" s="2084">
        <f t="shared" si="62"/>
        <v>530</v>
      </c>
      <c r="B55" s="158" t="str">
        <f>D_Klick!C268</f>
        <v>Rothirsche, 2 Tiere, Muttertier und Nachwuchs</v>
      </c>
      <c r="C55" s="159"/>
      <c r="D55" s="159"/>
      <c r="E55" s="159"/>
      <c r="F55" s="160" t="str">
        <f>Texte!A386</f>
        <v>Einheit</v>
      </c>
      <c r="G55" s="154"/>
      <c r="H55" s="160">
        <f>D_Klick!S129</f>
        <v>0.4</v>
      </c>
      <c r="I55" s="160">
        <f t="shared" si="54"/>
        <v>0</v>
      </c>
      <c r="J55" s="154"/>
      <c r="K55" s="152"/>
      <c r="L55" s="160">
        <f t="shared" si="55"/>
        <v>0</v>
      </c>
      <c r="M55" s="160">
        <f t="shared" si="56"/>
        <v>0</v>
      </c>
      <c r="N55" s="154"/>
      <c r="O55" s="155"/>
      <c r="P55" s="154"/>
      <c r="Q55" s="154"/>
      <c r="R55" s="155"/>
      <c r="S55" s="160"/>
      <c r="T55" s="2017"/>
      <c r="U55" s="2073"/>
      <c r="W55" s="2076" t="b">
        <v>0</v>
      </c>
      <c r="X55" s="2076"/>
      <c r="Y55" s="2074"/>
      <c r="Z55" s="2074"/>
      <c r="AA55" s="2074">
        <f t="shared" si="57"/>
        <v>0</v>
      </c>
      <c r="AB55" s="2074"/>
      <c r="AC55" s="2074"/>
      <c r="AD55" s="2074"/>
      <c r="AE55" s="2074"/>
      <c r="AF55" s="2074"/>
      <c r="AG55" s="2074">
        <f t="shared" si="58"/>
        <v>0</v>
      </c>
      <c r="AH55" s="2075">
        <f t="shared" si="59"/>
        <v>0</v>
      </c>
      <c r="AI55" s="2075">
        <f t="shared" si="60"/>
        <v>0</v>
      </c>
      <c r="AJ55" s="2075">
        <f t="shared" si="61"/>
        <v>0</v>
      </c>
    </row>
    <row r="56" spans="1:36" ht="16.149999999999999" customHeight="1">
      <c r="A56" s="2084">
        <f t="shared" si="62"/>
        <v>540</v>
      </c>
      <c r="B56" s="158" t="str">
        <f>D_Klick!C269</f>
        <v>Lamas über 2-jährig</v>
      </c>
      <c r="C56" s="159"/>
      <c r="D56" s="159"/>
      <c r="E56" s="159"/>
      <c r="F56" s="160" t="str">
        <f>Texte!A383</f>
        <v>Stück</v>
      </c>
      <c r="G56" s="154"/>
      <c r="H56" s="160">
        <f>D_Klick!S130</f>
        <v>0.17</v>
      </c>
      <c r="I56" s="160">
        <f t="shared" si="54"/>
        <v>0</v>
      </c>
      <c r="J56" s="154"/>
      <c r="K56" s="152"/>
      <c r="L56" s="160">
        <f t="shared" si="55"/>
        <v>0</v>
      </c>
      <c r="M56" s="160">
        <f t="shared" si="56"/>
        <v>0</v>
      </c>
      <c r="N56" s="154"/>
      <c r="O56" s="155"/>
      <c r="P56" s="154"/>
      <c r="Q56" s="154"/>
      <c r="R56" s="155"/>
      <c r="S56" s="160"/>
      <c r="T56" s="2017"/>
      <c r="U56" s="2073"/>
      <c r="W56" s="2076"/>
      <c r="X56" s="2076"/>
      <c r="Y56" s="2074"/>
      <c r="Z56" s="2074">
        <f t="shared" ref="Z56:Z61" si="63">IF(AND(Y56&lt;&gt;0,K56&lt;&gt;0),Y56*K56,0)</f>
        <v>0</v>
      </c>
      <c r="AA56" s="2074">
        <f t="shared" si="57"/>
        <v>0</v>
      </c>
      <c r="AB56" s="2074"/>
      <c r="AC56" s="2074"/>
      <c r="AD56" s="2074"/>
      <c r="AE56" s="2074"/>
      <c r="AF56" s="2074"/>
      <c r="AG56" s="2074">
        <f t="shared" si="58"/>
        <v>0</v>
      </c>
      <c r="AH56" s="2075">
        <f t="shared" si="59"/>
        <v>0</v>
      </c>
      <c r="AI56" s="2075">
        <f t="shared" si="60"/>
        <v>0</v>
      </c>
      <c r="AJ56" s="2075">
        <f t="shared" si="61"/>
        <v>0</v>
      </c>
    </row>
    <row r="57" spans="1:36" ht="16.149999999999999" customHeight="1">
      <c r="A57" s="2084">
        <f t="shared" si="62"/>
        <v>550</v>
      </c>
      <c r="B57" s="158" t="str">
        <f>D_Klick!C270</f>
        <v>Lamas bis 2-jährig</v>
      </c>
      <c r="C57" s="159"/>
      <c r="D57" s="159"/>
      <c r="E57" s="159"/>
      <c r="F57" s="160" t="str">
        <f>Texte!A383</f>
        <v>Stück</v>
      </c>
      <c r="G57" s="154"/>
      <c r="H57" s="160">
        <f>D_Klick!S131</f>
        <v>0.11</v>
      </c>
      <c r="I57" s="160">
        <f t="shared" si="54"/>
        <v>0</v>
      </c>
      <c r="J57" s="154"/>
      <c r="K57" s="152"/>
      <c r="L57" s="160">
        <f t="shared" si="55"/>
        <v>0</v>
      </c>
      <c r="M57" s="160">
        <f t="shared" si="56"/>
        <v>0</v>
      </c>
      <c r="N57" s="154"/>
      <c r="O57" s="155"/>
      <c r="P57" s="154"/>
      <c r="Q57" s="154"/>
      <c r="R57" s="155"/>
      <c r="S57" s="160"/>
      <c r="T57" s="2017"/>
      <c r="U57" s="2073"/>
      <c r="W57" s="2076"/>
      <c r="X57" s="2076"/>
      <c r="Y57" s="2074"/>
      <c r="Z57" s="2074">
        <f t="shared" si="63"/>
        <v>0</v>
      </c>
      <c r="AA57" s="2074">
        <f t="shared" si="57"/>
        <v>0</v>
      </c>
      <c r="AB57" s="2074"/>
      <c r="AC57" s="2074"/>
      <c r="AD57" s="2074"/>
      <c r="AE57" s="2074"/>
      <c r="AF57" s="2074"/>
      <c r="AG57" s="2074">
        <f t="shared" si="58"/>
        <v>0</v>
      </c>
      <c r="AH57" s="2075">
        <f t="shared" si="59"/>
        <v>0</v>
      </c>
      <c r="AI57" s="2075">
        <f t="shared" si="60"/>
        <v>0</v>
      </c>
      <c r="AJ57" s="2075">
        <f t="shared" si="61"/>
        <v>0</v>
      </c>
    </row>
    <row r="58" spans="1:36" ht="16.149999999999999" customHeight="1">
      <c r="A58" s="2084">
        <f t="shared" si="62"/>
        <v>560</v>
      </c>
      <c r="B58" s="158" t="str">
        <f>D_Klick!C271</f>
        <v>Alpakas über 2-jährig</v>
      </c>
      <c r="C58" s="159"/>
      <c r="D58" s="159"/>
      <c r="E58" s="159"/>
      <c r="F58" s="160" t="str">
        <f>Texte!A383</f>
        <v>Stück</v>
      </c>
      <c r="G58" s="154"/>
      <c r="H58" s="160">
        <f>D_Klick!S132</f>
        <v>0.11</v>
      </c>
      <c r="I58" s="160">
        <f t="shared" si="54"/>
        <v>0</v>
      </c>
      <c r="J58" s="154"/>
      <c r="K58" s="152"/>
      <c r="L58" s="160">
        <f t="shared" si="55"/>
        <v>0</v>
      </c>
      <c r="M58" s="160">
        <f t="shared" si="56"/>
        <v>0</v>
      </c>
      <c r="N58" s="154"/>
      <c r="O58" s="155"/>
      <c r="P58" s="154"/>
      <c r="Q58" s="154"/>
      <c r="R58" s="155"/>
      <c r="S58" s="160"/>
      <c r="T58" s="2017"/>
      <c r="U58" s="2073"/>
      <c r="W58" s="2074"/>
      <c r="X58" s="2076"/>
      <c r="Y58" s="2074"/>
      <c r="Z58" s="2074">
        <f t="shared" si="63"/>
        <v>0</v>
      </c>
      <c r="AA58" s="2074">
        <f t="shared" si="57"/>
        <v>0</v>
      </c>
      <c r="AB58" s="2074"/>
      <c r="AC58" s="2074"/>
      <c r="AD58" s="2074"/>
      <c r="AE58" s="2074"/>
      <c r="AF58" s="2074"/>
      <c r="AG58" s="2074">
        <f t="shared" si="58"/>
        <v>0</v>
      </c>
      <c r="AH58" s="2075">
        <f t="shared" si="59"/>
        <v>0</v>
      </c>
      <c r="AI58" s="2075">
        <f t="shared" si="60"/>
        <v>0</v>
      </c>
      <c r="AJ58" s="2075">
        <f t="shared" si="61"/>
        <v>0</v>
      </c>
    </row>
    <row r="59" spans="1:36" ht="16.149999999999999" customHeight="1">
      <c r="A59" s="2084">
        <f t="shared" si="62"/>
        <v>570</v>
      </c>
      <c r="B59" s="158" t="str">
        <f>D_Klick!C272</f>
        <v>Alpakas bis 2-jährig</v>
      </c>
      <c r="C59" s="159"/>
      <c r="D59" s="159"/>
      <c r="E59" s="159"/>
      <c r="F59" s="160" t="str">
        <f>Texte!A383</f>
        <v>Stück</v>
      </c>
      <c r="G59" s="154"/>
      <c r="H59" s="160">
        <f>D_Klick!S133</f>
        <v>7.0000000000000007E-2</v>
      </c>
      <c r="I59" s="160">
        <f t="shared" si="54"/>
        <v>0</v>
      </c>
      <c r="J59" s="154"/>
      <c r="K59" s="152"/>
      <c r="L59" s="160">
        <f t="shared" si="55"/>
        <v>0</v>
      </c>
      <c r="M59" s="160">
        <f t="shared" si="56"/>
        <v>0</v>
      </c>
      <c r="N59" s="154"/>
      <c r="O59" s="155"/>
      <c r="P59" s="154"/>
      <c r="Q59" s="154"/>
      <c r="R59" s="155"/>
      <c r="S59" s="160"/>
      <c r="T59" s="2017"/>
      <c r="U59" s="2073"/>
      <c r="W59" s="2076"/>
      <c r="X59" s="2074"/>
      <c r="Y59" s="2074"/>
      <c r="Z59" s="2074">
        <f t="shared" si="63"/>
        <v>0</v>
      </c>
      <c r="AA59" s="2074">
        <f t="shared" si="57"/>
        <v>0</v>
      </c>
      <c r="AB59" s="2074"/>
      <c r="AC59" s="2074"/>
      <c r="AD59" s="2074"/>
      <c r="AE59" s="2074"/>
      <c r="AF59" s="2074"/>
      <c r="AG59" s="2074">
        <f t="shared" si="58"/>
        <v>0</v>
      </c>
      <c r="AH59" s="2075">
        <f t="shared" si="59"/>
        <v>0</v>
      </c>
      <c r="AI59" s="2075">
        <f t="shared" si="60"/>
        <v>0</v>
      </c>
      <c r="AJ59" s="2075">
        <f t="shared" si="61"/>
        <v>0</v>
      </c>
    </row>
    <row r="60" spans="1:36" ht="16.149999999999999" customHeight="1">
      <c r="A60" s="2084">
        <v>800</v>
      </c>
      <c r="B60" s="158" t="str">
        <f>D_Klick!C273</f>
        <v>Kaninchen, Zibben inkl. Jungtiere bis ca. 35-tägig</v>
      </c>
      <c r="C60" s="159"/>
      <c r="D60" s="159"/>
      <c r="E60" s="159"/>
      <c r="F60" s="160" t="str">
        <f>Texte!A383</f>
        <v>Stück</v>
      </c>
      <c r="G60" s="154"/>
      <c r="H60" s="1280">
        <f>D_Klick!S134</f>
        <v>3.4000000000000002E-2</v>
      </c>
      <c r="I60" s="160">
        <f t="shared" si="54"/>
        <v>0</v>
      </c>
      <c r="J60" s="154"/>
      <c r="K60" s="152"/>
      <c r="L60" s="160">
        <f>IF(OR(AND(J60&lt;0,G60&lt;ABS(J60)),K60&gt;365),"!",G60+(J60*K60/365))</f>
        <v>0</v>
      </c>
      <c r="M60" s="160">
        <f>ROUND(IF(L60="!",0,L60*H60),2)</f>
        <v>0</v>
      </c>
      <c r="N60" s="154"/>
      <c r="O60" s="155"/>
      <c r="P60" s="154"/>
      <c r="Q60" s="154"/>
      <c r="R60" s="155"/>
      <c r="S60" s="160"/>
      <c r="T60" s="2017"/>
      <c r="U60" s="2073"/>
      <c r="W60" s="2076" t="b">
        <v>0</v>
      </c>
      <c r="X60" s="2074" t="b">
        <v>0</v>
      </c>
      <c r="Y60" s="2074"/>
      <c r="Z60" s="2074">
        <f t="shared" si="63"/>
        <v>0</v>
      </c>
      <c r="AA60" s="2074">
        <f t="shared" si="57"/>
        <v>0</v>
      </c>
      <c r="AB60" s="2074"/>
      <c r="AC60" s="2074"/>
      <c r="AD60" s="2074"/>
      <c r="AE60" s="2074"/>
      <c r="AF60" s="2074"/>
      <c r="AG60" s="2074">
        <f t="shared" si="58"/>
        <v>0</v>
      </c>
      <c r="AH60" s="2075">
        <f t="shared" si="59"/>
        <v>0</v>
      </c>
      <c r="AI60" s="2075">
        <f t="shared" si="60"/>
        <v>0</v>
      </c>
      <c r="AJ60" s="2075">
        <f t="shared" si="61"/>
        <v>0</v>
      </c>
    </row>
    <row r="61" spans="1:36" ht="16.149999999999999" customHeight="1">
      <c r="A61" s="2084">
        <f t="shared" si="62"/>
        <v>810</v>
      </c>
      <c r="B61" s="3404" t="str">
        <f>D_Klick!C274</f>
        <v>Kaninchen, Jungtiere über ca. 35-tägig</v>
      </c>
      <c r="C61" s="979"/>
      <c r="D61" s="979"/>
      <c r="E61" s="979"/>
      <c r="F61" s="980" t="str">
        <f>Texte!A387</f>
        <v>100 Pl.</v>
      </c>
      <c r="G61" s="3398"/>
      <c r="H61" s="981">
        <f>D_Klick!S135</f>
        <v>1.1000000000000001</v>
      </c>
      <c r="I61" s="172">
        <f t="shared" si="54"/>
        <v>0</v>
      </c>
      <c r="J61" s="173"/>
      <c r="K61" s="174"/>
      <c r="L61" s="172">
        <f t="shared" si="55"/>
        <v>0</v>
      </c>
      <c r="M61" s="172">
        <f t="shared" si="56"/>
        <v>0</v>
      </c>
      <c r="N61" s="173"/>
      <c r="O61" s="176"/>
      <c r="P61" s="173"/>
      <c r="Q61" s="173"/>
      <c r="R61" s="176"/>
      <c r="S61" s="980"/>
      <c r="T61" s="981"/>
      <c r="U61" s="2073"/>
      <c r="W61" s="2076" t="b">
        <v>0</v>
      </c>
      <c r="X61" s="2076" t="b">
        <v>0</v>
      </c>
      <c r="Y61" s="2074"/>
      <c r="Z61" s="2074">
        <f t="shared" si="63"/>
        <v>0</v>
      </c>
      <c r="AA61" s="2074">
        <f t="shared" si="57"/>
        <v>0</v>
      </c>
      <c r="AB61" s="2074"/>
      <c r="AC61" s="2074"/>
      <c r="AD61" s="2074"/>
      <c r="AE61" s="2074"/>
      <c r="AF61" s="2074"/>
      <c r="AG61" s="2074">
        <f t="shared" si="58"/>
        <v>0</v>
      </c>
      <c r="AH61" s="2075">
        <f t="shared" si="59"/>
        <v>0</v>
      </c>
      <c r="AI61" s="2075">
        <f t="shared" si="60"/>
        <v>0</v>
      </c>
      <c r="AJ61" s="2075">
        <f t="shared" si="61"/>
        <v>0</v>
      </c>
    </row>
    <row r="62" spans="1:36" ht="16.149999999999999" hidden="1" customHeight="1">
      <c r="A62" s="2084"/>
      <c r="B62" s="3397"/>
      <c r="C62" s="3397"/>
      <c r="D62" s="3397"/>
      <c r="E62" s="3397"/>
      <c r="F62" s="3397"/>
      <c r="G62" s="3397"/>
      <c r="H62" s="3397"/>
      <c r="I62" s="3397"/>
      <c r="J62" s="3397"/>
      <c r="K62" s="3397"/>
      <c r="L62" s="3397"/>
      <c r="M62" s="3397"/>
      <c r="N62" s="3397"/>
      <c r="O62" s="3397"/>
      <c r="P62" s="3397"/>
      <c r="Q62" s="3397"/>
      <c r="R62" s="3397"/>
      <c r="S62" s="3397"/>
      <c r="T62" s="3397"/>
      <c r="U62" s="2073"/>
      <c r="W62" s="2076"/>
      <c r="X62" s="2076"/>
      <c r="Y62" s="2076"/>
      <c r="Z62" s="2074"/>
      <c r="AA62" s="2074"/>
      <c r="AB62" s="2074"/>
      <c r="AC62" s="2074"/>
      <c r="AD62" s="2074"/>
      <c r="AE62" s="2074"/>
      <c r="AF62" s="2074"/>
      <c r="AG62" s="2074"/>
    </row>
    <row r="63" spans="1:36" ht="16.149999999999999" customHeight="1">
      <c r="A63" s="2084"/>
      <c r="B63" s="111" t="str">
        <f>D_Klick!C275</f>
        <v>Schweine</v>
      </c>
      <c r="C63" s="111"/>
      <c r="D63" s="114"/>
      <c r="E63" s="114"/>
      <c r="F63" s="114"/>
      <c r="G63" s="96"/>
      <c r="H63" s="96"/>
      <c r="I63" s="3406">
        <f>SUM(I9:I31,I33:I38,I40:I49,I52:I61)</f>
        <v>78.13</v>
      </c>
      <c r="J63" s="114"/>
      <c r="K63" s="114"/>
      <c r="L63" s="96"/>
      <c r="M63" s="936">
        <f>SUM(M64:M71)</f>
        <v>0</v>
      </c>
      <c r="N63" s="147"/>
      <c r="O63" s="96"/>
      <c r="P63" s="773"/>
      <c r="Q63" s="773"/>
      <c r="R63" s="3407"/>
      <c r="S63" s="96"/>
      <c r="T63" s="1893"/>
      <c r="U63" s="2073"/>
      <c r="W63" s="2076" t="b">
        <v>1</v>
      </c>
      <c r="X63" s="2076"/>
      <c r="Y63" s="2074"/>
      <c r="Z63" s="2077" t="str">
        <f>Texte!A403</f>
        <v>MSP</v>
      </c>
      <c r="AA63" s="2078"/>
      <c r="AB63" s="2074"/>
      <c r="AC63" s="2074"/>
      <c r="AD63" s="2074"/>
      <c r="AE63" s="2074"/>
      <c r="AF63" s="2074"/>
      <c r="AG63" s="2074"/>
      <c r="AH63" s="2075">
        <f>SUM(AH9:AH61)</f>
        <v>0</v>
      </c>
      <c r="AI63" s="2075">
        <f>SUM(AI9:AI61)</f>
        <v>0</v>
      </c>
      <c r="AJ63" s="2075">
        <f>SUM(AJ9:AJ61)</f>
        <v>0</v>
      </c>
    </row>
    <row r="64" spans="1:36" ht="16.149999999999999" customHeight="1">
      <c r="A64" s="2084">
        <v>600</v>
      </c>
      <c r="B64" s="151" t="str">
        <f>D_Klick!C276</f>
        <v>Zuchtschweine inkl. Ferkel bis 26 kg LG</v>
      </c>
      <c r="C64" s="163"/>
      <c r="D64" s="163"/>
      <c r="E64" s="163"/>
      <c r="F64" s="153" t="str">
        <f>Texte!A384</f>
        <v>Platz</v>
      </c>
      <c r="G64" s="164">
        <v>2</v>
      </c>
      <c r="H64" s="153">
        <v>0.45</v>
      </c>
      <c r="I64" s="153">
        <f t="shared" ref="I64:I69" si="64">ROUND(G64*H64,2)</f>
        <v>0</v>
      </c>
      <c r="J64" s="164"/>
      <c r="K64" s="165"/>
      <c r="L64" s="153">
        <f t="shared" ref="L64:L70" si="65">IF(OR(AND(J64&lt;0,G64&lt;ABS(J64)),K64&gt;365),"!",G64+(J64*K64/365))</f>
        <v>0</v>
      </c>
      <c r="M64" s="153">
        <f t="shared" ref="M64:M69" si="66">ROUND(IF(L64="!",0,L64*H64),2)</f>
        <v>0</v>
      </c>
      <c r="N64" s="164"/>
      <c r="O64" s="155"/>
      <c r="P64" s="164"/>
      <c r="Q64" s="164"/>
      <c r="R64" s="166"/>
      <c r="S64" s="153"/>
      <c r="T64" s="2018"/>
      <c r="U64" s="2073"/>
      <c r="W64" s="2076" t="b">
        <v>0</v>
      </c>
      <c r="X64" s="2076" t="b">
        <v>0</v>
      </c>
      <c r="Y64" s="2076"/>
      <c r="Z64" s="2079">
        <v>2.7</v>
      </c>
      <c r="AA64" s="2068">
        <f t="shared" ref="AA64:AA71" si="67">L64*Z64</f>
        <v>0</v>
      </c>
      <c r="AB64" s="2074"/>
      <c r="AC64" s="2074"/>
      <c r="AD64" s="2074"/>
      <c r="AE64" s="2074"/>
      <c r="AF64" s="2074"/>
      <c r="AG64" s="2074"/>
    </row>
    <row r="65" spans="1:33" ht="16.149999999999999" customHeight="1">
      <c r="A65" s="2084">
        <f>A64+10</f>
        <v>610</v>
      </c>
      <c r="B65" s="158" t="str">
        <f>D_Klick!C277</f>
        <v xml:space="preserve">Mastschweine, Remonten </v>
      </c>
      <c r="C65" s="159"/>
      <c r="D65" s="2255"/>
      <c r="E65" s="2005"/>
      <c r="F65" s="160" t="str">
        <f>Texte!A384</f>
        <v>Platz</v>
      </c>
      <c r="G65" s="154"/>
      <c r="H65" s="160">
        <v>0.17</v>
      </c>
      <c r="I65" s="160">
        <f t="shared" si="64"/>
        <v>0</v>
      </c>
      <c r="J65" s="154"/>
      <c r="K65" s="152"/>
      <c r="L65" s="160">
        <f t="shared" si="65"/>
        <v>0</v>
      </c>
      <c r="M65" s="160">
        <f t="shared" si="66"/>
        <v>0</v>
      </c>
      <c r="N65" s="154"/>
      <c r="O65" s="155"/>
      <c r="P65" s="184"/>
      <c r="Q65" s="184"/>
      <c r="R65" s="188"/>
      <c r="S65" s="160"/>
      <c r="T65" s="2017"/>
      <c r="U65" s="2073"/>
      <c r="W65" s="2076" t="b">
        <v>0</v>
      </c>
      <c r="X65" s="2076" t="b">
        <v>0</v>
      </c>
      <c r="Y65" s="2076"/>
      <c r="Z65" s="2069">
        <v>1</v>
      </c>
      <c r="AA65" s="2070">
        <f t="shared" si="67"/>
        <v>0</v>
      </c>
      <c r="AB65" s="2074"/>
      <c r="AC65" s="2074"/>
      <c r="AD65" s="2074"/>
      <c r="AE65" s="2074"/>
      <c r="AF65" s="2074"/>
      <c r="AG65" s="2074"/>
    </row>
    <row r="66" spans="1:33" ht="16.149999999999999" customHeight="1">
      <c r="A66" s="2084">
        <f t="shared" ref="A66:A71" si="68">A65+10</f>
        <v>620</v>
      </c>
      <c r="B66" s="158" t="str">
        <f>D_Klick!C278</f>
        <v>Zuchteber</v>
      </c>
      <c r="C66" s="159"/>
      <c r="D66" s="159"/>
      <c r="E66" s="159"/>
      <c r="F66" s="160" t="str">
        <f>Texte!A383</f>
        <v>Stück</v>
      </c>
      <c r="G66" s="154"/>
      <c r="H66" s="160">
        <v>0.25</v>
      </c>
      <c r="I66" s="160">
        <f t="shared" si="64"/>
        <v>0</v>
      </c>
      <c r="J66" s="154"/>
      <c r="K66" s="152"/>
      <c r="L66" s="160">
        <f t="shared" si="65"/>
        <v>0</v>
      </c>
      <c r="M66" s="160">
        <f t="shared" si="66"/>
        <v>0</v>
      </c>
      <c r="N66" s="154"/>
      <c r="O66" s="155"/>
      <c r="P66" s="154"/>
      <c r="Q66" s="154"/>
      <c r="R66" s="155"/>
      <c r="S66" s="160"/>
      <c r="T66" s="2017"/>
      <c r="U66" s="2073"/>
      <c r="W66" s="2076" t="b">
        <v>0</v>
      </c>
      <c r="X66" s="2076" t="b">
        <v>0</v>
      </c>
      <c r="Y66" s="2076"/>
      <c r="Z66" s="2069">
        <v>1.5</v>
      </c>
      <c r="AA66" s="2070">
        <f t="shared" si="67"/>
        <v>0</v>
      </c>
      <c r="AB66" s="2074"/>
      <c r="AC66" s="2074"/>
      <c r="AD66" s="2074"/>
      <c r="AE66" s="2074"/>
      <c r="AF66" s="2074"/>
      <c r="AG66" s="2074"/>
    </row>
    <row r="67" spans="1:33" ht="16.149999999999999" customHeight="1">
      <c r="A67" s="2084">
        <f t="shared" si="68"/>
        <v>630</v>
      </c>
      <c r="B67" s="158" t="str">
        <f>D_Klick!C279</f>
        <v>Zuchtschweine, säugend</v>
      </c>
      <c r="C67" s="159"/>
      <c r="D67" s="159"/>
      <c r="E67" s="159"/>
      <c r="F67" s="160" t="str">
        <f>Texte!A384</f>
        <v>Platz</v>
      </c>
      <c r="G67" s="184"/>
      <c r="H67" s="160">
        <v>0.55000000000000004</v>
      </c>
      <c r="I67" s="160">
        <f t="shared" si="64"/>
        <v>0</v>
      </c>
      <c r="J67" s="154"/>
      <c r="K67" s="152"/>
      <c r="L67" s="160">
        <f t="shared" si="65"/>
        <v>0</v>
      </c>
      <c r="M67" s="160">
        <f t="shared" si="66"/>
        <v>0</v>
      </c>
      <c r="N67" s="154"/>
      <c r="O67" s="155"/>
      <c r="P67" s="154"/>
      <c r="Q67" s="154"/>
      <c r="R67" s="155"/>
      <c r="S67" s="160"/>
      <c r="T67" s="2017"/>
      <c r="U67" s="2073"/>
      <c r="W67" s="2076" t="b">
        <v>0</v>
      </c>
      <c r="X67" s="2076" t="b">
        <v>0</v>
      </c>
      <c r="Y67" s="2076"/>
      <c r="Z67" s="2069">
        <v>3.2</v>
      </c>
      <c r="AA67" s="2070">
        <f t="shared" si="67"/>
        <v>0</v>
      </c>
      <c r="AB67" s="2074"/>
      <c r="AC67" s="2074"/>
      <c r="AD67" s="2074"/>
      <c r="AE67" s="2074"/>
      <c r="AF67" s="2074"/>
      <c r="AG67" s="2074"/>
    </row>
    <row r="68" spans="1:33" ht="16.149999999999999" customHeight="1">
      <c r="A68" s="2084">
        <f t="shared" si="68"/>
        <v>640</v>
      </c>
      <c r="B68" s="158" t="str">
        <f>D_Klick!C280</f>
        <v>Zuchtsauen über 6 Monate, nicht säugend</v>
      </c>
      <c r="C68" s="159"/>
      <c r="D68" s="159"/>
      <c r="E68" s="159"/>
      <c r="F68" s="160" t="str">
        <f>Texte!A384</f>
        <v>Platz</v>
      </c>
      <c r="G68" s="184"/>
      <c r="H68" s="160">
        <v>0.26</v>
      </c>
      <c r="I68" s="160">
        <f t="shared" si="64"/>
        <v>0</v>
      </c>
      <c r="J68" s="154"/>
      <c r="K68" s="152"/>
      <c r="L68" s="160">
        <f t="shared" si="65"/>
        <v>0</v>
      </c>
      <c r="M68" s="160">
        <f t="shared" si="66"/>
        <v>0</v>
      </c>
      <c r="N68" s="154"/>
      <c r="O68" s="155"/>
      <c r="P68" s="154"/>
      <c r="Q68" s="154"/>
      <c r="R68" s="155"/>
      <c r="S68" s="160"/>
      <c r="T68" s="2017"/>
      <c r="U68" s="2073"/>
      <c r="W68" s="2076" t="b">
        <v>0</v>
      </c>
      <c r="X68" s="2076" t="b">
        <v>0</v>
      </c>
      <c r="Y68" s="2076"/>
      <c r="Z68" s="2069">
        <v>1.5</v>
      </c>
      <c r="AA68" s="2070">
        <f t="shared" si="67"/>
        <v>0</v>
      </c>
      <c r="AB68" s="2074"/>
      <c r="AC68" s="2074"/>
      <c r="AD68" s="2074"/>
      <c r="AE68" s="2074"/>
      <c r="AF68" s="2074"/>
      <c r="AG68" s="2074"/>
    </row>
    <row r="69" spans="1:33" ht="16.149999999999999" customHeight="1">
      <c r="A69" s="2084">
        <f t="shared" si="68"/>
        <v>650</v>
      </c>
      <c r="B69" s="158" t="str">
        <f>D_Klick!C281</f>
        <v>Ferkel, abgesetzt, 8 bis 26 kg LG, 9.61 Umtriebe</v>
      </c>
      <c r="C69" s="159"/>
      <c r="D69" s="159"/>
      <c r="E69" s="159"/>
      <c r="F69" s="160" t="str">
        <f>Texte!A384</f>
        <v>Platz</v>
      </c>
      <c r="G69" s="184"/>
      <c r="H69" s="160">
        <v>0.06</v>
      </c>
      <c r="I69" s="160">
        <f t="shared" si="64"/>
        <v>0</v>
      </c>
      <c r="J69" s="154"/>
      <c r="K69" s="152"/>
      <c r="L69" s="160">
        <f t="shared" si="65"/>
        <v>0</v>
      </c>
      <c r="M69" s="160">
        <f t="shared" si="66"/>
        <v>0</v>
      </c>
      <c r="N69" s="154"/>
      <c r="O69" s="155"/>
      <c r="P69" s="154"/>
      <c r="Q69" s="154"/>
      <c r="R69" s="155"/>
      <c r="S69" s="160"/>
      <c r="T69" s="2017"/>
      <c r="U69" s="2073"/>
      <c r="W69" s="2076" t="b">
        <v>0</v>
      </c>
      <c r="X69" s="2076" t="b">
        <v>0</v>
      </c>
      <c r="Y69" s="2076"/>
      <c r="Z69" s="2069">
        <v>0.35</v>
      </c>
      <c r="AA69" s="2070">
        <f t="shared" si="67"/>
        <v>0</v>
      </c>
      <c r="AB69" s="2074"/>
      <c r="AC69" s="2074"/>
      <c r="AD69" s="2074"/>
      <c r="AE69" s="2074"/>
      <c r="AF69" s="2074"/>
      <c r="AG69" s="2074"/>
    </row>
    <row r="70" spans="1:33" ht="16.149999999999999" customHeight="1">
      <c r="A70" s="2084">
        <f t="shared" si="68"/>
        <v>660</v>
      </c>
      <c r="B70" s="2008" t="str">
        <f>D_Klick!C282</f>
        <v>Anderes:</v>
      </c>
      <c r="C70" s="2009"/>
      <c r="D70" s="2010"/>
      <c r="E70" s="2011"/>
      <c r="F70" s="2012"/>
      <c r="G70" s="2013"/>
      <c r="H70" s="2012"/>
      <c r="I70" s="2014">
        <f>ROUND(G70*H70,2)</f>
        <v>0</v>
      </c>
      <c r="J70" s="2013"/>
      <c r="K70" s="2015"/>
      <c r="L70" s="2014">
        <f t="shared" si="65"/>
        <v>0</v>
      </c>
      <c r="M70" s="2014">
        <f>ROUND(IF(L70="!",0,L70*H70),2)</f>
        <v>0</v>
      </c>
      <c r="N70" s="2013"/>
      <c r="O70" s="2016"/>
      <c r="P70" s="2013"/>
      <c r="Q70" s="2013"/>
      <c r="R70" s="2016"/>
      <c r="S70" s="2014"/>
      <c r="T70" s="2017"/>
      <c r="U70" s="2073"/>
      <c r="W70" s="2076" t="b">
        <v>0</v>
      </c>
      <c r="X70" s="2076" t="b">
        <v>0</v>
      </c>
      <c r="Y70" s="2076"/>
      <c r="Z70" s="2071"/>
      <c r="AA70" s="2070">
        <f t="shared" si="67"/>
        <v>0</v>
      </c>
      <c r="AB70" s="2074"/>
      <c r="AC70" s="2074"/>
      <c r="AD70" s="2074"/>
      <c r="AE70" s="2074"/>
      <c r="AF70" s="2074"/>
      <c r="AG70" s="2074"/>
    </row>
    <row r="71" spans="1:33" ht="16.149999999999999" customHeight="1">
      <c r="A71" s="2084">
        <f t="shared" si="68"/>
        <v>670</v>
      </c>
      <c r="B71" s="2008" t="str">
        <f>D_Klick!C283</f>
        <v>Anderes:</v>
      </c>
      <c r="C71" s="2009"/>
      <c r="D71" s="2010"/>
      <c r="E71" s="2011"/>
      <c r="F71" s="2012"/>
      <c r="G71" s="2013"/>
      <c r="H71" s="2012"/>
      <c r="I71" s="2014">
        <f>ROUND(G71*H71,2)</f>
        <v>0</v>
      </c>
      <c r="J71" s="2013"/>
      <c r="K71" s="2015"/>
      <c r="L71" s="2014">
        <f>IF(OR(AND(J71&lt;0,G71&lt;ABS(J71)),K71&gt;365),"!",G71+(J71*K71/365))</f>
        <v>0</v>
      </c>
      <c r="M71" s="2014">
        <f>ROUND(IF(L71="!",0,L71*H71),2)</f>
        <v>0</v>
      </c>
      <c r="N71" s="2013"/>
      <c r="O71" s="2016"/>
      <c r="P71" s="2013"/>
      <c r="Q71" s="2013"/>
      <c r="R71" s="2016"/>
      <c r="S71" s="2014"/>
      <c r="T71" s="2017"/>
      <c r="U71" s="2073"/>
      <c r="W71" s="2076" t="b">
        <v>0</v>
      </c>
      <c r="X71" s="2076" t="b">
        <v>0</v>
      </c>
      <c r="Y71" s="2076"/>
      <c r="Z71" s="2080"/>
      <c r="AA71" s="2081">
        <f t="shared" si="67"/>
        <v>0</v>
      </c>
      <c r="AB71" s="2074"/>
      <c r="AC71" s="2074"/>
      <c r="AD71" s="2074"/>
      <c r="AE71" s="2074"/>
      <c r="AF71" s="2074"/>
      <c r="AG71" s="2074"/>
    </row>
    <row r="72" spans="1:33" ht="16.149999999999999" customHeight="1">
      <c r="A72" s="2084"/>
      <c r="B72" s="179" t="str">
        <f>D_Klick!C286</f>
        <v>Geflügel</v>
      </c>
      <c r="C72" s="180"/>
      <c r="D72" s="180"/>
      <c r="E72" s="180"/>
      <c r="F72" s="180"/>
      <c r="G72" s="180"/>
      <c r="H72" s="180"/>
      <c r="I72" s="180"/>
      <c r="J72" s="180"/>
      <c r="K72" s="180"/>
      <c r="L72" s="180"/>
      <c r="M72" s="937">
        <f>SUM(M73:M79)</f>
        <v>0</v>
      </c>
      <c r="N72" s="180"/>
      <c r="O72" s="181"/>
      <c r="P72" s="180"/>
      <c r="Q72" s="180"/>
      <c r="R72" s="180"/>
      <c r="S72" s="180"/>
      <c r="T72" s="3078"/>
      <c r="U72" s="2073"/>
      <c r="W72" s="2076"/>
      <c r="X72" s="2076"/>
      <c r="Y72" s="2074"/>
      <c r="Z72" s="2077" t="str">
        <f>Texte!A405</f>
        <v>LHP / MPP</v>
      </c>
      <c r="AA72" s="2078"/>
      <c r="AB72" s="2074"/>
      <c r="AC72" s="2074"/>
      <c r="AD72" s="2074"/>
      <c r="AE72" s="2074"/>
      <c r="AF72" s="2074"/>
      <c r="AG72" s="2074"/>
    </row>
    <row r="73" spans="1:33" ht="16.149999999999999" customHeight="1">
      <c r="A73" s="2084">
        <v>700</v>
      </c>
      <c r="B73" s="151" t="str">
        <f>D_Klick!C287</f>
        <v>Lege- und Zuchthennen</v>
      </c>
      <c r="C73" s="163"/>
      <c r="D73" s="2252" t="str">
        <f>Texte!A5115</f>
        <v>Bodenhaltung, Kotgrube</v>
      </c>
      <c r="E73" s="2004">
        <v>2</v>
      </c>
      <c r="F73" s="153" t="str">
        <f>Texte!A387</f>
        <v>100 Pl.</v>
      </c>
      <c r="G73" s="164"/>
      <c r="H73" s="153">
        <v>1</v>
      </c>
      <c r="I73" s="153">
        <f t="shared" ref="I73:I79" si="69">ROUND(G73*H73,2)</f>
        <v>0</v>
      </c>
      <c r="J73" s="164"/>
      <c r="K73" s="165"/>
      <c r="L73" s="153">
        <f t="shared" ref="L73:L79" si="70">IF(OR(AND(J73&lt;0,G73&lt;ABS(J73)),K73&gt;365),"!",G73+(J73*K73/365))</f>
        <v>0</v>
      </c>
      <c r="M73" s="153">
        <f t="shared" ref="M73:M79" si="71">ROUND(IF(L73="!",0,L73*H73),2)</f>
        <v>0</v>
      </c>
      <c r="N73" s="164"/>
      <c r="O73" s="155"/>
      <c r="P73" s="153"/>
      <c r="Q73" s="153"/>
      <c r="R73" s="153"/>
      <c r="S73" s="153"/>
      <c r="T73" s="2018"/>
      <c r="U73" s="2073"/>
      <c r="W73" s="2076" t="b">
        <v>0</v>
      </c>
      <c r="X73" s="2076" t="b">
        <v>0</v>
      </c>
      <c r="Y73" s="2074"/>
      <c r="Z73" s="2079">
        <v>100</v>
      </c>
      <c r="AA73" s="2068">
        <f t="shared" ref="AA73:AA79" si="72">L73*Z73</f>
        <v>0</v>
      </c>
      <c r="AB73" s="2074"/>
      <c r="AC73" s="2074"/>
      <c r="AD73" s="2074"/>
      <c r="AE73" s="2074"/>
      <c r="AF73" s="2074"/>
      <c r="AG73" s="2074"/>
    </row>
    <row r="74" spans="1:33" ht="16.149999999999999" customHeight="1">
      <c r="A74" s="2084">
        <f t="shared" ref="A74:A79" si="73">A73+ 10</f>
        <v>710</v>
      </c>
      <c r="B74" s="158" t="str">
        <f>D_Klick!C288</f>
        <v>Junghennen, 2.25 Umtriebe</v>
      </c>
      <c r="C74" s="159"/>
      <c r="D74" s="159"/>
      <c r="E74" s="159"/>
      <c r="F74" s="160" t="str">
        <f>Texte!A387</f>
        <v>100 Pl.</v>
      </c>
      <c r="G74" s="154"/>
      <c r="H74" s="160">
        <v>0.4</v>
      </c>
      <c r="I74" s="160">
        <f t="shared" si="69"/>
        <v>0</v>
      </c>
      <c r="J74" s="154"/>
      <c r="K74" s="152"/>
      <c r="L74" s="160">
        <f t="shared" si="70"/>
        <v>0</v>
      </c>
      <c r="M74" s="160">
        <f t="shared" si="71"/>
        <v>0</v>
      </c>
      <c r="N74" s="154"/>
      <c r="O74" s="155"/>
      <c r="P74" s="160"/>
      <c r="Q74" s="160"/>
      <c r="R74" s="160"/>
      <c r="S74" s="160"/>
      <c r="T74" s="2017"/>
      <c r="U74" s="2073"/>
      <c r="W74" s="2076" t="b">
        <v>0</v>
      </c>
      <c r="X74" s="2076" t="b">
        <v>0</v>
      </c>
      <c r="Y74" s="2074"/>
      <c r="Z74" s="2069">
        <v>40</v>
      </c>
      <c r="AA74" s="2070">
        <f t="shared" si="72"/>
        <v>0</v>
      </c>
      <c r="AB74" s="2074"/>
      <c r="AC74" s="2074"/>
      <c r="AD74" s="2074"/>
      <c r="AE74" s="2074"/>
      <c r="AF74" s="2074"/>
      <c r="AG74" s="2074"/>
    </row>
    <row r="75" spans="1:33" ht="16.149999999999999" customHeight="1">
      <c r="A75" s="2084">
        <f t="shared" si="73"/>
        <v>720</v>
      </c>
      <c r="B75" s="158" t="str">
        <f>D_Klick!C289</f>
        <v>Mastpoulets</v>
      </c>
      <c r="C75" s="159"/>
      <c r="D75" s="159"/>
      <c r="E75" s="159"/>
      <c r="F75" s="160" t="str">
        <f>Texte!A387</f>
        <v>100 Pl.</v>
      </c>
      <c r="G75" s="154"/>
      <c r="H75" s="160">
        <v>0.4</v>
      </c>
      <c r="I75" s="160">
        <f t="shared" si="69"/>
        <v>0</v>
      </c>
      <c r="J75" s="154"/>
      <c r="K75" s="152"/>
      <c r="L75" s="160">
        <f t="shared" si="70"/>
        <v>0</v>
      </c>
      <c r="M75" s="160">
        <f t="shared" si="71"/>
        <v>0</v>
      </c>
      <c r="N75" s="154"/>
      <c r="O75" s="155"/>
      <c r="P75" s="160"/>
      <c r="Q75" s="160"/>
      <c r="R75" s="160"/>
      <c r="S75" s="160"/>
      <c r="T75" s="2017"/>
      <c r="U75" s="2073"/>
      <c r="W75" s="2076" t="b">
        <v>0</v>
      </c>
      <c r="X75" s="2076" t="b">
        <v>0</v>
      </c>
      <c r="Y75" s="2074"/>
      <c r="Z75" s="2069">
        <v>100</v>
      </c>
      <c r="AA75" s="2070">
        <f t="shared" si="72"/>
        <v>0</v>
      </c>
      <c r="AB75" s="2074"/>
      <c r="AC75" s="2074"/>
      <c r="AD75" s="2074"/>
      <c r="AE75" s="2074"/>
      <c r="AF75" s="2074"/>
      <c r="AG75" s="2074"/>
    </row>
    <row r="76" spans="1:33" ht="16.149999999999999" customHeight="1">
      <c r="A76" s="2084">
        <f t="shared" si="73"/>
        <v>730</v>
      </c>
      <c r="B76" s="158" t="str">
        <f>IF(K_MTR=2,D_Klick!C290,D_Klick!C296)</f>
        <v>Masttruten, 2.8 Umtriebe</v>
      </c>
      <c r="C76" s="159"/>
      <c r="D76" s="2255"/>
      <c r="E76" s="2005"/>
      <c r="F76" s="160" t="str">
        <f>IF(K_MTR=2,Texte!A3735,Texte!A3734)</f>
        <v>100 Pl.</v>
      </c>
      <c r="G76" s="154"/>
      <c r="H76" s="160">
        <f>IF(K_MTR=2,0.5,1.5)</f>
        <v>1.5</v>
      </c>
      <c r="I76" s="160">
        <f t="shared" si="69"/>
        <v>0</v>
      </c>
      <c r="J76" s="154"/>
      <c r="K76" s="152"/>
      <c r="L76" s="160">
        <f t="shared" si="70"/>
        <v>0</v>
      </c>
      <c r="M76" s="160">
        <f t="shared" si="71"/>
        <v>0</v>
      </c>
      <c r="N76" s="154"/>
      <c r="O76" s="155"/>
      <c r="P76" s="160"/>
      <c r="Q76" s="160"/>
      <c r="R76" s="160"/>
      <c r="S76" s="160"/>
      <c r="T76" s="2017"/>
      <c r="U76" s="2073"/>
      <c r="W76" s="2076" t="b">
        <v>0</v>
      </c>
      <c r="X76" s="2076" t="b">
        <v>0</v>
      </c>
      <c r="Y76" s="2074"/>
      <c r="Z76" s="2069">
        <v>150</v>
      </c>
      <c r="AA76" s="2070">
        <f t="shared" si="72"/>
        <v>0</v>
      </c>
      <c r="AB76" s="2074"/>
      <c r="AC76" s="2074"/>
      <c r="AD76" s="2074"/>
      <c r="AE76" s="2074"/>
      <c r="AF76" s="2074"/>
      <c r="AG76" s="2074"/>
    </row>
    <row r="77" spans="1:33" ht="16.149999999999999" customHeight="1">
      <c r="A77" s="2084">
        <f t="shared" si="73"/>
        <v>740</v>
      </c>
      <c r="B77" s="158" t="str">
        <f>D_Klick!C291</f>
        <v>Trutenvormast, bis 1.5 kg LG, 6 Umtriebe</v>
      </c>
      <c r="C77" s="159"/>
      <c r="D77" s="159"/>
      <c r="E77" s="159"/>
      <c r="F77" s="160" t="str">
        <f>Texte!A387</f>
        <v>100 Pl.</v>
      </c>
      <c r="G77" s="154"/>
      <c r="H77" s="160">
        <v>0.5</v>
      </c>
      <c r="I77" s="160">
        <f t="shared" si="69"/>
        <v>0</v>
      </c>
      <c r="J77" s="154"/>
      <c r="K77" s="152"/>
      <c r="L77" s="160">
        <f t="shared" si="70"/>
        <v>0</v>
      </c>
      <c r="M77" s="160">
        <f t="shared" si="71"/>
        <v>0</v>
      </c>
      <c r="N77" s="154"/>
      <c r="O77" s="155"/>
      <c r="P77" s="160"/>
      <c r="Q77" s="160"/>
      <c r="R77" s="160"/>
      <c r="S77" s="160"/>
      <c r="T77" s="2017"/>
      <c r="U77" s="2073"/>
      <c r="W77" s="2076" t="b">
        <v>0</v>
      </c>
      <c r="X77" s="2076" t="b">
        <v>0</v>
      </c>
      <c r="Y77" s="2074"/>
      <c r="Z77" s="2069">
        <v>50</v>
      </c>
      <c r="AA77" s="2070">
        <f t="shared" si="72"/>
        <v>0</v>
      </c>
      <c r="AB77" s="2074"/>
      <c r="AC77" s="2074"/>
      <c r="AD77" s="2074"/>
      <c r="AE77" s="2074"/>
      <c r="AF77" s="2074"/>
      <c r="AG77" s="2074"/>
    </row>
    <row r="78" spans="1:33" ht="16.149999999999999" customHeight="1">
      <c r="A78" s="2084">
        <f t="shared" si="73"/>
        <v>750</v>
      </c>
      <c r="B78" s="158" t="str">
        <f>D_Klick!C292</f>
        <v>Trutenausmast, 1.5 bis 13 kg LG, 2.9 Umtriebe</v>
      </c>
      <c r="C78" s="159"/>
      <c r="D78" s="159"/>
      <c r="E78" s="159"/>
      <c r="F78" s="160" t="str">
        <f>Texte!A387</f>
        <v>100 Pl.</v>
      </c>
      <c r="G78" s="154"/>
      <c r="H78" s="160">
        <v>2.8</v>
      </c>
      <c r="I78" s="160">
        <f t="shared" si="69"/>
        <v>0</v>
      </c>
      <c r="J78" s="154"/>
      <c r="K78" s="152"/>
      <c r="L78" s="160">
        <f t="shared" si="70"/>
        <v>0</v>
      </c>
      <c r="M78" s="160">
        <f t="shared" si="71"/>
        <v>0</v>
      </c>
      <c r="N78" s="154"/>
      <c r="O78" s="155"/>
      <c r="P78" s="160"/>
      <c r="Q78" s="160"/>
      <c r="R78" s="160"/>
      <c r="S78" s="160"/>
      <c r="T78" s="2017"/>
      <c r="U78" s="2073"/>
      <c r="W78" s="2076" t="b">
        <v>0</v>
      </c>
      <c r="X78" s="2076" t="b">
        <v>0</v>
      </c>
      <c r="Y78" s="2074"/>
      <c r="Z78" s="2069">
        <v>28</v>
      </c>
      <c r="AA78" s="2070">
        <f t="shared" si="72"/>
        <v>0</v>
      </c>
      <c r="AB78" s="2074"/>
      <c r="AC78" s="2074"/>
      <c r="AD78" s="2074"/>
      <c r="AE78" s="2074"/>
      <c r="AF78" s="2074"/>
      <c r="AG78" s="2074"/>
    </row>
    <row r="79" spans="1:33" ht="16.149999999999999" customHeight="1" thickBot="1">
      <c r="A79" s="2084">
        <f t="shared" si="73"/>
        <v>760</v>
      </c>
      <c r="B79" s="177" t="str">
        <f>D_Klick!C283</f>
        <v>Anderes:</v>
      </c>
      <c r="C79" s="189"/>
      <c r="D79" s="178"/>
      <c r="E79" s="159"/>
      <c r="F79" s="85"/>
      <c r="G79" s="154"/>
      <c r="H79" s="85"/>
      <c r="I79" s="160">
        <f t="shared" si="69"/>
        <v>0</v>
      </c>
      <c r="J79" s="154"/>
      <c r="K79" s="152"/>
      <c r="L79" s="160">
        <f t="shared" si="70"/>
        <v>0</v>
      </c>
      <c r="M79" s="160">
        <f t="shared" si="71"/>
        <v>0</v>
      </c>
      <c r="N79" s="173"/>
      <c r="O79" s="176"/>
      <c r="P79" s="160"/>
      <c r="Q79" s="160"/>
      <c r="R79" s="160"/>
      <c r="S79" s="160"/>
      <c r="T79" s="2017"/>
      <c r="U79" s="2073"/>
      <c r="W79" s="2076" t="b">
        <v>0</v>
      </c>
      <c r="X79" s="2076" t="b">
        <v>0</v>
      </c>
      <c r="Y79" s="2074"/>
      <c r="Z79" s="2080"/>
      <c r="AA79" s="2081">
        <f t="shared" si="72"/>
        <v>0</v>
      </c>
      <c r="AB79" s="2074"/>
      <c r="AC79" s="2074"/>
      <c r="AD79" s="2074"/>
      <c r="AE79" s="2074"/>
      <c r="AF79" s="2074"/>
      <c r="AG79" s="2074"/>
    </row>
    <row r="80" spans="1:33" ht="16.149999999999999" customHeight="1" thickBot="1">
      <c r="A80" s="2084"/>
      <c r="B80" s="191"/>
      <c r="C80" s="191"/>
      <c r="D80" s="191"/>
      <c r="E80" s="191"/>
      <c r="F80" s="193"/>
      <c r="G80" s="193"/>
      <c r="H80" s="194" t="str">
        <f>Texte!A406</f>
        <v xml:space="preserve">Total Beitrags-GVE </v>
      </c>
      <c r="I80" s="645">
        <f>SUM(I9:I31,I33:I38,I40:I49,I52:I61,I64:I71,I73:I79)</f>
        <v>78.13</v>
      </c>
      <c r="J80" s="190"/>
      <c r="K80" s="192"/>
      <c r="L80" s="195" t="str">
        <f>Texte!A407</f>
        <v xml:space="preserve">Total GVE </v>
      </c>
      <c r="M80" s="645">
        <f>SUM(M9:M31,M33:M38,M40:M49,M52:M61,M64:M71,M73:M79)</f>
        <v>78.13</v>
      </c>
      <c r="N80" s="649"/>
      <c r="O80" s="649"/>
      <c r="P80" s="191"/>
      <c r="Q80" s="191"/>
      <c r="R80" s="191"/>
      <c r="S80" s="191"/>
      <c r="T80" s="2292"/>
      <c r="W80" s="2074"/>
      <c r="X80" s="2074"/>
      <c r="Y80" s="2074"/>
      <c r="Z80" s="2074"/>
      <c r="AA80" s="2074"/>
      <c r="AB80" s="2074"/>
      <c r="AC80" s="2074"/>
      <c r="AD80" s="2074"/>
      <c r="AE80" s="2074"/>
      <c r="AF80" s="2074"/>
      <c r="AG80" s="2074"/>
    </row>
    <row r="81" spans="1:1">
      <c r="A81" s="2084"/>
    </row>
    <row r="82" spans="1:1">
      <c r="A82" s="2084"/>
    </row>
    <row r="83" spans="1:1">
      <c r="A83" s="2084"/>
    </row>
    <row r="84" spans="1:1">
      <c r="A84" s="2084"/>
    </row>
    <row r="85" spans="1:1">
      <c r="A85" s="2084"/>
    </row>
    <row r="86" spans="1:1">
      <c r="A86" s="2084"/>
    </row>
    <row r="87" spans="1:1">
      <c r="A87" s="2084"/>
    </row>
    <row r="88" spans="1:1">
      <c r="A88" s="2084"/>
    </row>
    <row r="89" spans="1:1">
      <c r="A89" s="2084"/>
    </row>
    <row r="90" spans="1:1">
      <c r="A90" s="2084"/>
    </row>
  </sheetData>
  <sheetProtection algorithmName="SHA-512" hashValue="+g/UqhIoHDttYPv8UUi1+bNR+MIZsF+FyjpUjCKykNrBEM8W8jQCG27NNM5vzC7t8l6FJL9sJdJulyQyjhlPXg==" saltValue="LAMUFtc/ARGh0Z2FZrcaKA==" spinCount="100000" sheet="1" objects="1" scenarios="1"/>
  <phoneticPr fontId="65" type="noConversion"/>
  <pageMargins left="0.47244094488188981" right="0.19685039370078741" top="0.59055118110236227" bottom="0.59055118110236227" header="0" footer="0.39370078740157483"/>
  <pageSetup paperSize="9" scale="83" fitToHeight="2" orientation="portrait" r:id="rId1"/>
  <headerFooter alignWithMargins="0">
    <oddFooter>&amp;C&amp;9&amp;F&amp;R&amp;"Arial,Standard"&amp;9Seite &amp;P&amp;L&amp;"Arial,Fett"&amp;11AGRIDEA &amp;"Arial,Standard"&amp;9 Nachweis Version 9.9</oddFooter>
  </headerFooter>
  <ignoredErrors>
    <ignoredError sqref="M51" formula="1"/>
  </ignoredErrors>
  <drawing r:id="rId2"/>
  <legacyDrawing r:id="rId3"/>
  <ns1:AlternateContent>
    <ns1:Choice Requires="x14">
      <controls>
        <ns1:AlternateContent>
          <ns1:Choice Requires="x14">
            <control shapeId="6302" r:id="rId4" name="chk_BT_172">
              <controlPr defaultSize="0" autoFill="0" autoLine="0" autoPict="0">
                <anchor moveWithCells="1">
                  <from>
                    <xdr:col>19</xdr:col>
                    <xdr:colOff>95250</xdr:colOff>
                    <xdr:row>27</xdr:row>
                    <xdr:rowOff>190500</xdr:rowOff>
                  </from>
                  <to>
                    <xdr:col>20</xdr:col>
                    <xdr:colOff>0</xdr:colOff>
                    <xdr:row>29</xdr:row>
                    <xdr:rowOff>9525</xdr:rowOff>
                  </to>
                </anchor>
              </controlPr>
            </control>
          </ns1:Choice>
        </ns1:AlternateContent>
        <ns1:AlternateContent>
          <ns1:Choice Requires="x14">
            <control shapeId="6158" r:id="rId5" name="chk_RW_172">
              <controlPr defaultSize="0" autoFill="0" autoLine="0" autoPict="0">
                <anchor moveWithCells="1">
                  <from>
                    <xdr:col>18</xdr:col>
                    <xdr:colOff>104775</xdr:colOff>
                    <xdr:row>27</xdr:row>
                    <xdr:rowOff>190500</xdr:rowOff>
                  </from>
                  <to>
                    <xdr:col>19</xdr:col>
                    <xdr:colOff>0</xdr:colOff>
                    <xdr:row>29</xdr:row>
                    <xdr:rowOff>9525</xdr:rowOff>
                  </to>
                </anchor>
              </controlPr>
            </control>
          </ns1:Choice>
        </ns1:AlternateContent>
        <ns1:AlternateContent>
          <ns1:Choice Requires="x14">
            <control shapeId="6147" r:id="rId6" name="chk_RW_100">
              <controlPr defaultSize="0" autoFill="0" autoLine="0" autoPict="0">
                <anchor moveWithCells="1">
                  <from>
                    <xdr:col>18</xdr:col>
                    <xdr:colOff>104775</xdr:colOff>
                    <xdr:row>7</xdr:row>
                    <xdr:rowOff>180975</xdr:rowOff>
                  </from>
                  <to>
                    <xdr:col>19</xdr:col>
                    <xdr:colOff>0</xdr:colOff>
                    <xdr:row>9</xdr:row>
                    <xdr:rowOff>0</xdr:rowOff>
                  </to>
                </anchor>
              </controlPr>
            </control>
          </ns1:Choice>
        </ns1:AlternateContent>
        <ns1:AlternateContent>
          <ns1:Choice Requires="x14">
            <control shapeId="6148" r:id="rId7" name="chk_RW_104">
              <controlPr defaultSize="0" autoFill="0" autoLine="0" autoPict="0">
                <anchor moveWithCells="1">
                  <from>
                    <xdr:col>18</xdr:col>
                    <xdr:colOff>104775</xdr:colOff>
                    <xdr:row>8</xdr:row>
                    <xdr:rowOff>190500</xdr:rowOff>
                  </from>
                  <to>
                    <xdr:col>19</xdr:col>
                    <xdr:colOff>0</xdr:colOff>
                    <xdr:row>10</xdr:row>
                    <xdr:rowOff>9525</xdr:rowOff>
                  </to>
                </anchor>
              </controlPr>
            </control>
          </ns1:Choice>
        </ns1:AlternateContent>
        <ns1:AlternateContent>
          <ns1:Choice Requires="x14">
            <control shapeId="6149" r:id="rId8" name="chk_RW_112">
              <controlPr defaultSize="0" autoFill="0" autoLine="0" autoPict="0">
                <anchor moveWithCells="1">
                  <from>
                    <xdr:col>18</xdr:col>
                    <xdr:colOff>104775</xdr:colOff>
                    <xdr:row>10</xdr:row>
                    <xdr:rowOff>190500</xdr:rowOff>
                  </from>
                  <to>
                    <xdr:col>19</xdr:col>
                    <xdr:colOff>0</xdr:colOff>
                    <xdr:row>12</xdr:row>
                    <xdr:rowOff>9525</xdr:rowOff>
                  </to>
                </anchor>
              </controlPr>
            </control>
          </ns1:Choice>
        </ns1:AlternateContent>
        <ns1:AlternateContent>
          <ns1:Choice Requires="x14">
            <control shapeId="6150" r:id="rId9" name="chk_RW_120">
              <controlPr defaultSize="0" autoFill="0" autoLine="0" autoPict="0">
                <anchor moveWithCells="1">
                  <from>
                    <xdr:col>18</xdr:col>
                    <xdr:colOff>104775</xdr:colOff>
                    <xdr:row>12</xdr:row>
                    <xdr:rowOff>190500</xdr:rowOff>
                  </from>
                  <to>
                    <xdr:col>19</xdr:col>
                    <xdr:colOff>0</xdr:colOff>
                    <xdr:row>14</xdr:row>
                    <xdr:rowOff>9525</xdr:rowOff>
                  </to>
                </anchor>
              </controlPr>
            </control>
          </ns1:Choice>
        </ns1:AlternateContent>
        <ns1:AlternateContent>
          <ns1:Choice Requires="x14">
            <control shapeId="6151" r:id="rId10" name="chk_RW_124">
              <controlPr defaultSize="0" autoFill="0" autoLine="0" autoPict="0">
                <anchor moveWithCells="1">
                  <from>
                    <xdr:col>18</xdr:col>
                    <xdr:colOff>104775</xdr:colOff>
                    <xdr:row>13</xdr:row>
                    <xdr:rowOff>190500</xdr:rowOff>
                  </from>
                  <to>
                    <xdr:col>19</xdr:col>
                    <xdr:colOff>0</xdr:colOff>
                    <xdr:row>15</xdr:row>
                    <xdr:rowOff>9525</xdr:rowOff>
                  </to>
                </anchor>
              </controlPr>
            </control>
          </ns1:Choice>
        </ns1:AlternateContent>
        <ns1:AlternateContent>
          <ns1:Choice Requires="x14">
            <control shapeId="6152" r:id="rId11" name="chk_RW_128">
              <controlPr defaultSize="0" autoFill="0" autoLine="0" autoPict="0">
                <anchor moveWithCells="1">
                  <from>
                    <xdr:col>18</xdr:col>
                    <xdr:colOff>104775</xdr:colOff>
                    <xdr:row>14</xdr:row>
                    <xdr:rowOff>190500</xdr:rowOff>
                  </from>
                  <to>
                    <xdr:col>19</xdr:col>
                    <xdr:colOff>0</xdr:colOff>
                    <xdr:row>16</xdr:row>
                    <xdr:rowOff>9525</xdr:rowOff>
                  </to>
                </anchor>
              </controlPr>
            </control>
          </ns1:Choice>
        </ns1:AlternateContent>
        <ns1:AlternateContent>
          <ns1:Choice Requires="x14">
            <control shapeId="6153" r:id="rId12" name="chk_RW_132">
              <controlPr defaultSize="0" autoFill="0" autoLine="0" autoPict="0">
                <anchor moveWithCells="1">
                  <from>
                    <xdr:col>18</xdr:col>
                    <xdr:colOff>104775</xdr:colOff>
                    <xdr:row>15</xdr:row>
                    <xdr:rowOff>190500</xdr:rowOff>
                  </from>
                  <to>
                    <xdr:col>19</xdr:col>
                    <xdr:colOff>0</xdr:colOff>
                    <xdr:row>17</xdr:row>
                    <xdr:rowOff>9525</xdr:rowOff>
                  </to>
                </anchor>
              </controlPr>
            </control>
          </ns1:Choice>
        </ns1:AlternateContent>
        <ns1:AlternateContent>
          <ns1:Choice Requires="x14">
            <control shapeId="6154" r:id="rId13" name="chk_RW_134">
              <controlPr defaultSize="0" autoFill="0" autoLine="0" autoPict="0">
                <anchor moveWithCells="1">
                  <from>
                    <xdr:col>18</xdr:col>
                    <xdr:colOff>104775</xdr:colOff>
                    <xdr:row>16</xdr:row>
                    <xdr:rowOff>190500</xdr:rowOff>
                  </from>
                  <to>
                    <xdr:col>19</xdr:col>
                    <xdr:colOff>0</xdr:colOff>
                    <xdr:row>18</xdr:row>
                    <xdr:rowOff>9525</xdr:rowOff>
                  </to>
                </anchor>
              </controlPr>
            </control>
          </ns1:Choice>
        </ns1:AlternateContent>
        <ns1:AlternateContent>
          <ns1:Choice Requires="x14">
            <control shapeId="6155" r:id="rId14" name="chk_RW_156">
              <controlPr defaultSize="0" autoFill="0" autoLine="0" autoPict="0">
                <anchor moveWithCells="1">
                  <from>
                    <xdr:col>18</xdr:col>
                    <xdr:colOff>104775</xdr:colOff>
                    <xdr:row>24</xdr:row>
                    <xdr:rowOff>190500</xdr:rowOff>
                  </from>
                  <to>
                    <xdr:col>19</xdr:col>
                    <xdr:colOff>0</xdr:colOff>
                    <xdr:row>27</xdr:row>
                    <xdr:rowOff>9525</xdr:rowOff>
                  </to>
                </anchor>
              </controlPr>
            </control>
          </ns1:Choice>
        </ns1:AlternateContent>
        <ns1:AlternateContent>
          <ns1:Choice Requires="x14">
            <control shapeId="6156" r:id="rId15" name="chk_RW_164">
              <controlPr defaultSize="0" autoFill="0" autoLine="0" autoPict="0">
                <anchor moveWithCells="1">
                  <from>
                    <xdr:col>18</xdr:col>
                    <xdr:colOff>104775</xdr:colOff>
                    <xdr:row>26</xdr:row>
                    <xdr:rowOff>0</xdr:rowOff>
                  </from>
                  <to>
                    <xdr:col>19</xdr:col>
                    <xdr:colOff>0</xdr:colOff>
                    <xdr:row>27</xdr:row>
                    <xdr:rowOff>19050</xdr:rowOff>
                  </to>
                </anchor>
              </controlPr>
            </control>
          </ns1:Choice>
        </ns1:AlternateContent>
        <ns1:AlternateContent>
          <ns1:Choice Requires="x14">
            <control shapeId="6160" r:id="rId16" name="chk_RW_180">
              <controlPr defaultSize="0" autoFill="0" autoLine="0" autoPict="0">
                <anchor moveWithCells="1">
                  <from>
                    <xdr:col>18</xdr:col>
                    <xdr:colOff>104775</xdr:colOff>
                    <xdr:row>29</xdr:row>
                    <xdr:rowOff>0</xdr:rowOff>
                  </from>
                  <to>
                    <xdr:col>19</xdr:col>
                    <xdr:colOff>0</xdr:colOff>
                    <xdr:row>30</xdr:row>
                    <xdr:rowOff>19050</xdr:rowOff>
                  </to>
                </anchor>
              </controlPr>
            </control>
          </ns1:Choice>
        </ns1:AlternateContent>
        <ns1:AlternateContent>
          <ns1:Choice Requires="x14">
            <control shapeId="6161" r:id="rId17" name="chk_RW_220">
              <controlPr defaultSize="0" autoFill="0" autoLine="0" autoPict="0">
                <anchor moveWithCells="1">
                  <from>
                    <xdr:col>18</xdr:col>
                    <xdr:colOff>104775</xdr:colOff>
                    <xdr:row>31</xdr:row>
                    <xdr:rowOff>190500</xdr:rowOff>
                  </from>
                  <to>
                    <xdr:col>19</xdr:col>
                    <xdr:colOff>0</xdr:colOff>
                    <xdr:row>33</xdr:row>
                    <xdr:rowOff>9525</xdr:rowOff>
                  </to>
                </anchor>
              </controlPr>
            </control>
          </ns1:Choice>
        </ns1:AlternateContent>
        <ns1:AlternateContent>
          <ns1:Choice Requires="x14">
            <control shapeId="6162" r:id="rId18" name="chk_RW_230">
              <controlPr defaultSize="0" autoFill="0" autoLine="0" autoPict="0">
                <anchor moveWithCells="1">
                  <from>
                    <xdr:col>18</xdr:col>
                    <xdr:colOff>104775</xdr:colOff>
                    <xdr:row>32</xdr:row>
                    <xdr:rowOff>190500</xdr:rowOff>
                  </from>
                  <to>
                    <xdr:col>19</xdr:col>
                    <xdr:colOff>0</xdr:colOff>
                    <xdr:row>34</xdr:row>
                    <xdr:rowOff>9525</xdr:rowOff>
                  </to>
                </anchor>
              </controlPr>
            </control>
          </ns1:Choice>
        </ns1:AlternateContent>
        <ns1:AlternateContent>
          <ns1:Choice Requires="x14">
            <control shapeId="6163" r:id="rId19" name="chk_RW_240">
              <controlPr defaultSize="0" autoFill="0" autoLine="0" autoPict="0">
                <anchor moveWithCells="1">
                  <from>
                    <xdr:col>18</xdr:col>
                    <xdr:colOff>104775</xdr:colOff>
                    <xdr:row>33</xdr:row>
                    <xdr:rowOff>190500</xdr:rowOff>
                  </from>
                  <to>
                    <xdr:col>19</xdr:col>
                    <xdr:colOff>0</xdr:colOff>
                    <xdr:row>35</xdr:row>
                    <xdr:rowOff>9525</xdr:rowOff>
                  </to>
                </anchor>
              </controlPr>
            </control>
          </ns1:Choice>
        </ns1:AlternateContent>
        <ns1:AlternateContent>
          <ns1:Choice Requires="x14">
            <control shapeId="6164" r:id="rId20" name="chk_RW_250">
              <controlPr defaultSize="0" autoFill="0" autoLine="0" autoPict="0">
                <anchor moveWithCells="1">
                  <from>
                    <xdr:col>18</xdr:col>
                    <xdr:colOff>104775</xdr:colOff>
                    <xdr:row>34</xdr:row>
                    <xdr:rowOff>190500</xdr:rowOff>
                  </from>
                  <to>
                    <xdr:col>19</xdr:col>
                    <xdr:colOff>0</xdr:colOff>
                    <xdr:row>36</xdr:row>
                    <xdr:rowOff>9525</xdr:rowOff>
                  </to>
                </anchor>
              </controlPr>
            </control>
          </ns1:Choice>
        </ns1:AlternateContent>
        <ns1:AlternateContent>
          <ns1:Choice Requires="x14">
            <control shapeId="6165" r:id="rId21" name="chk_RW_260">
              <controlPr defaultSize="0" autoFill="0" autoLine="0" autoPict="0">
                <anchor moveWithCells="1">
                  <from>
                    <xdr:col>18</xdr:col>
                    <xdr:colOff>104775</xdr:colOff>
                    <xdr:row>35</xdr:row>
                    <xdr:rowOff>190500</xdr:rowOff>
                  </from>
                  <to>
                    <xdr:col>19</xdr:col>
                    <xdr:colOff>0</xdr:colOff>
                    <xdr:row>37</xdr:row>
                    <xdr:rowOff>9525</xdr:rowOff>
                  </to>
                </anchor>
              </controlPr>
            </control>
          </ns1:Choice>
        </ns1:AlternateContent>
        <ns1:AlternateContent>
          <ns1:Choice Requires="x14">
            <control shapeId="6167" r:id="rId22" name="chk_RW_300">
              <controlPr defaultSize="0" autoFill="0" autoLine="0" autoPict="0">
                <anchor moveWithCells="1">
                  <from>
                    <xdr:col>18</xdr:col>
                    <xdr:colOff>104775</xdr:colOff>
                    <xdr:row>38</xdr:row>
                    <xdr:rowOff>190500</xdr:rowOff>
                  </from>
                  <to>
                    <xdr:col>19</xdr:col>
                    <xdr:colOff>0</xdr:colOff>
                    <xdr:row>40</xdr:row>
                    <xdr:rowOff>9525</xdr:rowOff>
                  </to>
                </anchor>
              </controlPr>
            </control>
          </ns1:Choice>
        </ns1:AlternateContent>
        <ns1:AlternateContent>
          <ns1:Choice Requires="x14">
            <control shapeId="6169" r:id="rId23" name="chk_RW_400">
              <controlPr defaultSize="0" autoFill="0" autoLine="0" autoPict="0">
                <anchor moveWithCells="1">
                  <from>
                    <xdr:col>18</xdr:col>
                    <xdr:colOff>95250</xdr:colOff>
                    <xdr:row>43</xdr:row>
                    <xdr:rowOff>0</xdr:rowOff>
                  </from>
                  <to>
                    <xdr:col>19</xdr:col>
                    <xdr:colOff>0</xdr:colOff>
                    <xdr:row>44</xdr:row>
                    <xdr:rowOff>19050</xdr:rowOff>
                  </to>
                </anchor>
              </controlPr>
            </control>
          </ns1:Choice>
        </ns1:AlternateContent>
        <ns1:AlternateContent>
          <ns1:Choice Requires="x14">
            <control shapeId="6170" r:id="rId24" name="chk_RW_500">
              <controlPr defaultSize="0" autoFill="0" autoLine="0" autoPict="0">
                <anchor moveWithCells="1">
                  <from>
                    <xdr:col>18</xdr:col>
                    <xdr:colOff>104775</xdr:colOff>
                    <xdr:row>51</xdr:row>
                    <xdr:rowOff>0</xdr:rowOff>
                  </from>
                  <to>
                    <xdr:col>19</xdr:col>
                    <xdr:colOff>0</xdr:colOff>
                    <xdr:row>52</xdr:row>
                    <xdr:rowOff>19050</xdr:rowOff>
                  </to>
                </anchor>
              </controlPr>
            </control>
          </ns1:Choice>
        </ns1:AlternateContent>
        <ns1:AlternateContent>
          <ns1:Choice Requires="x14">
            <control shapeId="6171" r:id="rId25" name="chk_RW_510">
              <controlPr locked="0" defaultSize="0" autoFill="0" autoLine="0" autoPict="0">
                <anchor moveWithCells="1">
                  <from>
                    <xdr:col>18</xdr:col>
                    <xdr:colOff>104775</xdr:colOff>
                    <xdr:row>51</xdr:row>
                    <xdr:rowOff>190500</xdr:rowOff>
                  </from>
                  <to>
                    <xdr:col>19</xdr:col>
                    <xdr:colOff>0</xdr:colOff>
                    <xdr:row>53</xdr:row>
                    <xdr:rowOff>9525</xdr:rowOff>
                  </to>
                </anchor>
              </controlPr>
            </control>
          </ns1:Choice>
        </ns1:AlternateContent>
        <ns1:AlternateContent>
          <ns1:Choice Requires="x14">
            <control shapeId="6173" r:id="rId26" name="chk_RW_600">
              <controlPr defaultSize="0" autoFill="0" autoLine="0" autoPict="0">
                <anchor moveWithCells="1">
                  <from>
                    <xdr:col>18</xdr:col>
                    <xdr:colOff>104775</xdr:colOff>
                    <xdr:row>62</xdr:row>
                    <xdr:rowOff>190500</xdr:rowOff>
                  </from>
                  <to>
                    <xdr:col>19</xdr:col>
                    <xdr:colOff>0</xdr:colOff>
                    <xdr:row>64</xdr:row>
                    <xdr:rowOff>9525</xdr:rowOff>
                  </to>
                </anchor>
              </controlPr>
            </control>
          </ns1:Choice>
        </ns1:AlternateContent>
        <ns1:AlternateContent>
          <ns1:Choice Requires="x14">
            <control shapeId="6174" r:id="rId27" name="chk_RW_610">
              <controlPr defaultSize="0" autoFill="0" autoLine="0" autoPict="0">
                <anchor moveWithCells="1">
                  <from>
                    <xdr:col>18</xdr:col>
                    <xdr:colOff>104775</xdr:colOff>
                    <xdr:row>63</xdr:row>
                    <xdr:rowOff>190500</xdr:rowOff>
                  </from>
                  <to>
                    <xdr:col>19</xdr:col>
                    <xdr:colOff>0</xdr:colOff>
                    <xdr:row>65</xdr:row>
                    <xdr:rowOff>9525</xdr:rowOff>
                  </to>
                </anchor>
              </controlPr>
            </control>
          </ns1:Choice>
        </ns1:AlternateContent>
        <ns1:AlternateContent>
          <ns1:Choice Requires="x14">
            <control shapeId="6176" r:id="rId28" name="chk_RW_620">
              <controlPr defaultSize="0" autoFill="0" autoLine="0" autoPict="0">
                <anchor moveWithCells="1">
                  <from>
                    <xdr:col>18</xdr:col>
                    <xdr:colOff>104775</xdr:colOff>
                    <xdr:row>64</xdr:row>
                    <xdr:rowOff>190500</xdr:rowOff>
                  </from>
                  <to>
                    <xdr:col>19</xdr:col>
                    <xdr:colOff>0</xdr:colOff>
                    <xdr:row>66</xdr:row>
                    <xdr:rowOff>9525</xdr:rowOff>
                  </to>
                </anchor>
              </controlPr>
            </control>
          </ns1:Choice>
        </ns1:AlternateContent>
        <ns1:AlternateContent>
          <ns1:Choice Requires="x14">
            <control shapeId="6177" r:id="rId29" name="chk_RW_700">
              <controlPr defaultSize="0" autoFill="0" autoLine="0" autoPict="0">
                <anchor moveWithCells="1">
                  <from>
                    <xdr:col>18</xdr:col>
                    <xdr:colOff>104775</xdr:colOff>
                    <xdr:row>71</xdr:row>
                    <xdr:rowOff>190500</xdr:rowOff>
                  </from>
                  <to>
                    <xdr:col>19</xdr:col>
                    <xdr:colOff>0</xdr:colOff>
                    <xdr:row>73</xdr:row>
                    <xdr:rowOff>9525</xdr:rowOff>
                  </to>
                </anchor>
              </controlPr>
            </control>
          </ns1:Choice>
        </ns1:AlternateContent>
        <ns1:AlternateContent>
          <ns1:Choice Requires="x14">
            <control shapeId="6178" r:id="rId30" name="chk_RW_710">
              <controlPr defaultSize="0" autoFill="0" autoLine="0" autoPict="0">
                <anchor moveWithCells="1">
                  <from>
                    <xdr:col>18</xdr:col>
                    <xdr:colOff>104775</xdr:colOff>
                    <xdr:row>72</xdr:row>
                    <xdr:rowOff>190500</xdr:rowOff>
                  </from>
                  <to>
                    <xdr:col>19</xdr:col>
                    <xdr:colOff>0</xdr:colOff>
                    <xdr:row>74</xdr:row>
                    <xdr:rowOff>9525</xdr:rowOff>
                  </to>
                </anchor>
              </controlPr>
            </control>
          </ns1:Choice>
        </ns1:AlternateContent>
        <ns1:AlternateContent>
          <ns1:Choice Requires="x14">
            <control shapeId="6179" r:id="rId31" name="chk_RW_720">
              <controlPr defaultSize="0" autoFill="0" autoLine="0" autoPict="0">
                <anchor moveWithCells="1">
                  <from>
                    <xdr:col>18</xdr:col>
                    <xdr:colOff>104775</xdr:colOff>
                    <xdr:row>73</xdr:row>
                    <xdr:rowOff>190500</xdr:rowOff>
                  </from>
                  <to>
                    <xdr:col>19</xdr:col>
                    <xdr:colOff>0</xdr:colOff>
                    <xdr:row>75</xdr:row>
                    <xdr:rowOff>9525</xdr:rowOff>
                  </to>
                </anchor>
              </controlPr>
            </control>
          </ns1:Choice>
        </ns1:AlternateContent>
        <ns1:AlternateContent>
          <ns1:Choice Requires="x14">
            <control shapeId="6180" r:id="rId32" name="chk_RW_730">
              <controlPr defaultSize="0" autoFill="0" autoLine="0" autoPict="0">
                <anchor moveWithCells="1">
                  <from>
                    <xdr:col>18</xdr:col>
                    <xdr:colOff>104775</xdr:colOff>
                    <xdr:row>74</xdr:row>
                    <xdr:rowOff>190500</xdr:rowOff>
                  </from>
                  <to>
                    <xdr:col>19</xdr:col>
                    <xdr:colOff>0</xdr:colOff>
                    <xdr:row>76</xdr:row>
                    <xdr:rowOff>9525</xdr:rowOff>
                  </to>
                </anchor>
              </controlPr>
            </control>
          </ns1:Choice>
        </ns1:AlternateContent>
        <ns1:AlternateContent>
          <ns1:Choice Requires="x14">
            <control shapeId="6181" r:id="rId33" name="chk_RW_740">
              <controlPr defaultSize="0" autoFill="0" autoLine="0" autoPict="0">
                <anchor moveWithCells="1">
                  <from>
                    <xdr:col>18</xdr:col>
                    <xdr:colOff>104775</xdr:colOff>
                    <xdr:row>75</xdr:row>
                    <xdr:rowOff>190500</xdr:rowOff>
                  </from>
                  <to>
                    <xdr:col>19</xdr:col>
                    <xdr:colOff>0</xdr:colOff>
                    <xdr:row>77</xdr:row>
                    <xdr:rowOff>9525</xdr:rowOff>
                  </to>
                </anchor>
              </controlPr>
            </control>
          </ns1:Choice>
        </ns1:AlternateContent>
        <ns1:AlternateContent>
          <ns1:Choice Requires="x14">
            <control shapeId="6182" r:id="rId34" name="chk_BT_100">
              <controlPr defaultSize="0" autoFill="0" autoLine="0" autoPict="0">
                <anchor moveWithCells="1">
                  <from>
                    <xdr:col>19</xdr:col>
                    <xdr:colOff>104775</xdr:colOff>
                    <xdr:row>7</xdr:row>
                    <xdr:rowOff>180975</xdr:rowOff>
                  </from>
                  <to>
                    <xdr:col>20</xdr:col>
                    <xdr:colOff>0</xdr:colOff>
                    <xdr:row>9</xdr:row>
                    <xdr:rowOff>0</xdr:rowOff>
                  </to>
                </anchor>
              </controlPr>
            </control>
          </ns1:Choice>
        </ns1:AlternateContent>
        <ns1:AlternateContent>
          <ns1:Choice Requires="x14">
            <control shapeId="6183" r:id="rId35" name="chk_BT_104">
              <controlPr defaultSize="0" autoFill="0" autoLine="0" autoPict="0">
                <anchor moveWithCells="1">
                  <from>
                    <xdr:col>19</xdr:col>
                    <xdr:colOff>104775</xdr:colOff>
                    <xdr:row>8</xdr:row>
                    <xdr:rowOff>190500</xdr:rowOff>
                  </from>
                  <to>
                    <xdr:col>20</xdr:col>
                    <xdr:colOff>0</xdr:colOff>
                    <xdr:row>10</xdr:row>
                    <xdr:rowOff>9525</xdr:rowOff>
                  </to>
                </anchor>
              </controlPr>
            </control>
          </ns1:Choice>
        </ns1:AlternateContent>
        <ns1:AlternateContent>
          <ns1:Choice Requires="x14">
            <control shapeId="6184" r:id="rId36" name="chk_BT_112">
              <controlPr defaultSize="0" autoFill="0" autoLine="0" autoPict="0">
                <anchor moveWithCells="1">
                  <from>
                    <xdr:col>19</xdr:col>
                    <xdr:colOff>104775</xdr:colOff>
                    <xdr:row>10</xdr:row>
                    <xdr:rowOff>190500</xdr:rowOff>
                  </from>
                  <to>
                    <xdr:col>20</xdr:col>
                    <xdr:colOff>0</xdr:colOff>
                    <xdr:row>12</xdr:row>
                    <xdr:rowOff>9525</xdr:rowOff>
                  </to>
                </anchor>
              </controlPr>
            </control>
          </ns1:Choice>
        </ns1:AlternateContent>
        <ns1:AlternateContent>
          <ns1:Choice Requires="x14">
            <control shapeId="6185" r:id="rId37" name="chk_BT_120">
              <controlPr defaultSize="0" autoFill="0" autoLine="0" autoPict="0">
                <anchor moveWithCells="1">
                  <from>
                    <xdr:col>19</xdr:col>
                    <xdr:colOff>104775</xdr:colOff>
                    <xdr:row>12</xdr:row>
                    <xdr:rowOff>190500</xdr:rowOff>
                  </from>
                  <to>
                    <xdr:col>20</xdr:col>
                    <xdr:colOff>0</xdr:colOff>
                    <xdr:row>14</xdr:row>
                    <xdr:rowOff>9525</xdr:rowOff>
                  </to>
                </anchor>
              </controlPr>
            </control>
          </ns1:Choice>
        </ns1:AlternateContent>
        <ns1:AlternateContent>
          <ns1:Choice Requires="x14">
            <control shapeId="6186" r:id="rId38" name="chk_BT_124">
              <controlPr defaultSize="0" autoFill="0" autoLine="0" autoPict="0">
                <anchor moveWithCells="1">
                  <from>
                    <xdr:col>19</xdr:col>
                    <xdr:colOff>104775</xdr:colOff>
                    <xdr:row>13</xdr:row>
                    <xdr:rowOff>190500</xdr:rowOff>
                  </from>
                  <to>
                    <xdr:col>20</xdr:col>
                    <xdr:colOff>0</xdr:colOff>
                    <xdr:row>15</xdr:row>
                    <xdr:rowOff>9525</xdr:rowOff>
                  </to>
                </anchor>
              </controlPr>
            </control>
          </ns1:Choice>
        </ns1:AlternateContent>
        <ns1:AlternateContent>
          <ns1:Choice Requires="x14">
            <control shapeId="6187" r:id="rId39" name="chk_BT_128">
              <controlPr defaultSize="0" autoFill="0" autoLine="0" autoPict="0">
                <anchor moveWithCells="1">
                  <from>
                    <xdr:col>19</xdr:col>
                    <xdr:colOff>104775</xdr:colOff>
                    <xdr:row>14</xdr:row>
                    <xdr:rowOff>190500</xdr:rowOff>
                  </from>
                  <to>
                    <xdr:col>20</xdr:col>
                    <xdr:colOff>0</xdr:colOff>
                    <xdr:row>16</xdr:row>
                    <xdr:rowOff>9525</xdr:rowOff>
                  </to>
                </anchor>
              </controlPr>
            </control>
          </ns1:Choice>
        </ns1:AlternateContent>
        <ns1:AlternateContent>
          <ns1:Choice Requires="x14">
            <control shapeId="6188" r:id="rId40" name="chk_BT_132">
              <controlPr defaultSize="0" autoFill="0" autoLine="0" autoPict="0">
                <anchor moveWithCells="1">
                  <from>
                    <xdr:col>19</xdr:col>
                    <xdr:colOff>104775</xdr:colOff>
                    <xdr:row>15</xdr:row>
                    <xdr:rowOff>190500</xdr:rowOff>
                  </from>
                  <to>
                    <xdr:col>20</xdr:col>
                    <xdr:colOff>0</xdr:colOff>
                    <xdr:row>17</xdr:row>
                    <xdr:rowOff>9525</xdr:rowOff>
                  </to>
                </anchor>
              </controlPr>
            </control>
          </ns1:Choice>
        </ns1:AlternateContent>
        <ns1:AlternateContent>
          <ns1:Choice Requires="x14">
            <control shapeId="6195" r:id="rId41" name="chk_BT_180">
              <controlPr defaultSize="0" autoFill="0" autoLine="0" autoPict="0">
                <anchor moveWithCells="1">
                  <from>
                    <xdr:col>19</xdr:col>
                    <xdr:colOff>95250</xdr:colOff>
                    <xdr:row>29</xdr:row>
                    <xdr:rowOff>0</xdr:rowOff>
                  </from>
                  <to>
                    <xdr:col>20</xdr:col>
                    <xdr:colOff>0</xdr:colOff>
                    <xdr:row>30</xdr:row>
                    <xdr:rowOff>19050</xdr:rowOff>
                  </to>
                </anchor>
              </controlPr>
            </control>
          </ns1:Choice>
        </ns1:AlternateContent>
        <ns1:AlternateContent>
          <ns1:Choice Requires="x14">
            <control shapeId="6196" r:id="rId42" name="chk_BT_400">
              <controlPr defaultSize="0" autoFill="0" autoLine="0" autoPict="0">
                <anchor moveWithCells="1">
                  <from>
                    <xdr:col>19</xdr:col>
                    <xdr:colOff>95250</xdr:colOff>
                    <xdr:row>43</xdr:row>
                    <xdr:rowOff>0</xdr:rowOff>
                  </from>
                  <to>
                    <xdr:col>20</xdr:col>
                    <xdr:colOff>0</xdr:colOff>
                    <xdr:row>44</xdr:row>
                    <xdr:rowOff>19050</xdr:rowOff>
                  </to>
                </anchor>
              </controlPr>
            </control>
          </ns1:Choice>
        </ns1:AlternateContent>
        <ns1:AlternateContent>
          <ns1:Choice Requires="x14">
            <control shapeId="6197" r:id="rId43" name="chk_BT_600">
              <controlPr defaultSize="0" autoFill="0" autoLine="0" autoPict="0">
                <anchor moveWithCells="1">
                  <from>
                    <xdr:col>19</xdr:col>
                    <xdr:colOff>104775</xdr:colOff>
                    <xdr:row>62</xdr:row>
                    <xdr:rowOff>190500</xdr:rowOff>
                  </from>
                  <to>
                    <xdr:col>20</xdr:col>
                    <xdr:colOff>0</xdr:colOff>
                    <xdr:row>64</xdr:row>
                    <xdr:rowOff>9525</xdr:rowOff>
                  </to>
                </anchor>
              </controlPr>
            </control>
          </ns1:Choice>
        </ns1:AlternateContent>
        <ns1:AlternateContent>
          <ns1:Choice Requires="x14">
            <control shapeId="6198" r:id="rId44" name="chk_BT_610">
              <controlPr defaultSize="0" autoFill="0" autoLine="0" autoPict="0">
                <anchor moveWithCells="1">
                  <from>
                    <xdr:col>19</xdr:col>
                    <xdr:colOff>104775</xdr:colOff>
                    <xdr:row>63</xdr:row>
                    <xdr:rowOff>190500</xdr:rowOff>
                  </from>
                  <to>
                    <xdr:col>20</xdr:col>
                    <xdr:colOff>0</xdr:colOff>
                    <xdr:row>65</xdr:row>
                    <xdr:rowOff>9525</xdr:rowOff>
                  </to>
                </anchor>
              </controlPr>
            </control>
          </ns1:Choice>
        </ns1:AlternateContent>
        <ns1:AlternateContent>
          <ns1:Choice Requires="x14">
            <control shapeId="6199" r:id="rId45" name="chk_BT_640">
              <controlPr defaultSize="0" autoFill="0" autoLine="0" autoPict="0">
                <anchor moveWithCells="1">
                  <from>
                    <xdr:col>19</xdr:col>
                    <xdr:colOff>104775</xdr:colOff>
                    <xdr:row>66</xdr:row>
                    <xdr:rowOff>190500</xdr:rowOff>
                  </from>
                  <to>
                    <xdr:col>20</xdr:col>
                    <xdr:colOff>0</xdr:colOff>
                    <xdr:row>68</xdr:row>
                    <xdr:rowOff>9525</xdr:rowOff>
                  </to>
                </anchor>
              </controlPr>
            </control>
          </ns1:Choice>
        </ns1:AlternateContent>
        <ns1:AlternateContent>
          <ns1:Choice Requires="x14">
            <control shapeId="6200" r:id="rId46" name="chk_BT_620">
              <controlPr defaultSize="0" autoFill="0" autoLine="0" autoPict="0">
                <anchor moveWithCells="1">
                  <from>
                    <xdr:col>19</xdr:col>
                    <xdr:colOff>104775</xdr:colOff>
                    <xdr:row>64</xdr:row>
                    <xdr:rowOff>190500</xdr:rowOff>
                  </from>
                  <to>
                    <xdr:col>20</xdr:col>
                    <xdr:colOff>0</xdr:colOff>
                    <xdr:row>66</xdr:row>
                    <xdr:rowOff>9525</xdr:rowOff>
                  </to>
                </anchor>
              </controlPr>
            </control>
          </ns1:Choice>
        </ns1:AlternateContent>
        <ns1:AlternateContent>
          <ns1:Choice Requires="x14">
            <control shapeId="6201" r:id="rId47" name="chk_BT_700">
              <controlPr defaultSize="0" autoFill="0" autoLine="0" autoPict="0">
                <anchor moveWithCells="1">
                  <from>
                    <xdr:col>19</xdr:col>
                    <xdr:colOff>104775</xdr:colOff>
                    <xdr:row>71</xdr:row>
                    <xdr:rowOff>190500</xdr:rowOff>
                  </from>
                  <to>
                    <xdr:col>20</xdr:col>
                    <xdr:colOff>0</xdr:colOff>
                    <xdr:row>73</xdr:row>
                    <xdr:rowOff>9525</xdr:rowOff>
                  </to>
                </anchor>
              </controlPr>
            </control>
          </ns1:Choice>
        </ns1:AlternateContent>
        <ns1:AlternateContent>
          <ns1:Choice Requires="x14">
            <control shapeId="6202" r:id="rId48" name="chk_BT_710">
              <controlPr defaultSize="0" autoFill="0" autoLine="0" autoPict="0">
                <anchor moveWithCells="1">
                  <from>
                    <xdr:col>19</xdr:col>
                    <xdr:colOff>104775</xdr:colOff>
                    <xdr:row>72</xdr:row>
                    <xdr:rowOff>190500</xdr:rowOff>
                  </from>
                  <to>
                    <xdr:col>20</xdr:col>
                    <xdr:colOff>0</xdr:colOff>
                    <xdr:row>74</xdr:row>
                    <xdr:rowOff>9525</xdr:rowOff>
                  </to>
                </anchor>
              </controlPr>
            </control>
          </ns1:Choice>
        </ns1:AlternateContent>
        <ns1:AlternateContent>
          <ns1:Choice Requires="x14">
            <control shapeId="6203" r:id="rId49" name="chk_BT_720">
              <controlPr defaultSize="0" autoFill="0" autoLine="0" autoPict="0">
                <anchor moveWithCells="1">
                  <from>
                    <xdr:col>19</xdr:col>
                    <xdr:colOff>104775</xdr:colOff>
                    <xdr:row>73</xdr:row>
                    <xdr:rowOff>190500</xdr:rowOff>
                  </from>
                  <to>
                    <xdr:col>20</xdr:col>
                    <xdr:colOff>0</xdr:colOff>
                    <xdr:row>75</xdr:row>
                    <xdr:rowOff>9525</xdr:rowOff>
                  </to>
                </anchor>
              </controlPr>
            </control>
          </ns1:Choice>
        </ns1:AlternateContent>
        <ns1:AlternateContent>
          <ns1:Choice Requires="x14">
            <control shapeId="6204" r:id="rId50" name="chk_BT_730">
              <controlPr defaultSize="0" autoFill="0" autoLine="0" autoPict="0">
                <anchor moveWithCells="1">
                  <from>
                    <xdr:col>19</xdr:col>
                    <xdr:colOff>104775</xdr:colOff>
                    <xdr:row>74</xdr:row>
                    <xdr:rowOff>190500</xdr:rowOff>
                  </from>
                  <to>
                    <xdr:col>20</xdr:col>
                    <xdr:colOff>0</xdr:colOff>
                    <xdr:row>76</xdr:row>
                    <xdr:rowOff>9525</xdr:rowOff>
                  </to>
                </anchor>
              </controlPr>
            </control>
          </ns1:Choice>
        </ns1:AlternateContent>
        <ns1:AlternateContent>
          <ns1:Choice Requires="x14">
            <control shapeId="6205" r:id="rId51" name="chk_BT_740">
              <controlPr defaultSize="0" autoFill="0" autoLine="0" autoPict="0">
                <anchor moveWithCells="1">
                  <from>
                    <xdr:col>19</xdr:col>
                    <xdr:colOff>104775</xdr:colOff>
                    <xdr:row>75</xdr:row>
                    <xdr:rowOff>190500</xdr:rowOff>
                  </from>
                  <to>
                    <xdr:col>20</xdr:col>
                    <xdr:colOff>0</xdr:colOff>
                    <xdr:row>77</xdr:row>
                    <xdr:rowOff>9525</xdr:rowOff>
                  </to>
                </anchor>
              </controlPr>
            </control>
          </ns1:Choice>
        </ns1:AlternateContent>
        <ns1:AlternateContent>
          <ns1:Choice Requires="x14">
            <control shapeId="6206" r:id="rId52" name="chk_RW_7">
              <controlPr defaultSize="0" autoFill="0" autoLine="0" autoPict="0">
                <anchor moveWithCells="1">
                  <from>
                    <xdr:col>18</xdr:col>
                    <xdr:colOff>104775</xdr:colOff>
                    <xdr:row>24</xdr:row>
                    <xdr:rowOff>0</xdr:rowOff>
                  </from>
                  <to>
                    <xdr:col>19</xdr:col>
                    <xdr:colOff>0</xdr:colOff>
                    <xdr:row>26</xdr:row>
                    <xdr:rowOff>19050</xdr:rowOff>
                  </to>
                </anchor>
              </controlPr>
            </control>
          </ns1:Choice>
        </ns1:AlternateContent>
        <ns1:AlternateContent>
          <ns1:Choice Requires="x14">
            <control shapeId="6214" r:id="rId53" name="chk_RW_640">
              <controlPr defaultSize="0" autoFill="0" autoLine="0" autoPict="0">
                <anchor moveWithCells="1">
                  <from>
                    <xdr:col>18</xdr:col>
                    <xdr:colOff>104775</xdr:colOff>
                    <xdr:row>66</xdr:row>
                    <xdr:rowOff>180975</xdr:rowOff>
                  </from>
                  <to>
                    <xdr:col>19</xdr:col>
                    <xdr:colOff>0</xdr:colOff>
                    <xdr:row>68</xdr:row>
                    <xdr:rowOff>0</xdr:rowOff>
                  </to>
                </anchor>
              </controlPr>
            </control>
          </ns1:Choice>
        </ns1:AlternateContent>
        <ns1:AlternateContent>
          <ns1:Choice Requires="x14">
            <control shapeId="6215" r:id="rId54" name="chk_RW_630">
              <controlPr defaultSize="0" autoFill="0" autoLine="0" autoPict="0">
                <anchor moveWithCells="1">
                  <from>
                    <xdr:col>18</xdr:col>
                    <xdr:colOff>104775</xdr:colOff>
                    <xdr:row>65</xdr:row>
                    <xdr:rowOff>180975</xdr:rowOff>
                  </from>
                  <to>
                    <xdr:col>19</xdr:col>
                    <xdr:colOff>0</xdr:colOff>
                    <xdr:row>67</xdr:row>
                    <xdr:rowOff>0</xdr:rowOff>
                  </to>
                </anchor>
              </controlPr>
            </control>
          </ns1:Choice>
        </ns1:AlternateContent>
        <ns1:AlternateContent>
          <ns1:Choice Requires="x14">
            <control shapeId="6216" r:id="rId55" name="chk_BT_630">
              <controlPr defaultSize="0" autoFill="0" autoLine="0" autoPict="0">
                <anchor moveWithCells="1">
                  <from>
                    <xdr:col>19</xdr:col>
                    <xdr:colOff>104775</xdr:colOff>
                    <xdr:row>65</xdr:row>
                    <xdr:rowOff>190500</xdr:rowOff>
                  </from>
                  <to>
                    <xdr:col>20</xdr:col>
                    <xdr:colOff>0</xdr:colOff>
                    <xdr:row>67</xdr:row>
                    <xdr:rowOff>9525</xdr:rowOff>
                  </to>
                </anchor>
              </controlPr>
            </control>
          </ns1:Choice>
        </ns1:AlternateContent>
        <ns1:AlternateContent>
          <ns1:Choice Requires="x14">
            <control shapeId="6217" r:id="rId56" name="chk_RW_650">
              <controlPr defaultSize="0" autoFill="0" autoLine="0" autoPict="0">
                <anchor moveWithCells="1">
                  <from>
                    <xdr:col>18</xdr:col>
                    <xdr:colOff>104775</xdr:colOff>
                    <xdr:row>67</xdr:row>
                    <xdr:rowOff>180975</xdr:rowOff>
                  </from>
                  <to>
                    <xdr:col>19</xdr:col>
                    <xdr:colOff>0</xdr:colOff>
                    <xdr:row>69</xdr:row>
                    <xdr:rowOff>0</xdr:rowOff>
                  </to>
                </anchor>
              </controlPr>
            </control>
          </ns1:Choice>
        </ns1:AlternateContent>
        <ns1:AlternateContent>
          <ns1:Choice Requires="x14">
            <control shapeId="6218" r:id="rId57" name="chk_BT_650">
              <controlPr defaultSize="0" autoFill="0" autoLine="0" autoPict="0">
                <anchor moveWithCells="1">
                  <from>
                    <xdr:col>19</xdr:col>
                    <xdr:colOff>104775</xdr:colOff>
                    <xdr:row>67</xdr:row>
                    <xdr:rowOff>190500</xdr:rowOff>
                  </from>
                  <to>
                    <xdr:col>20</xdr:col>
                    <xdr:colOff>0</xdr:colOff>
                    <xdr:row>69</xdr:row>
                    <xdr:rowOff>9525</xdr:rowOff>
                  </to>
                </anchor>
              </controlPr>
            </control>
          </ns1:Choice>
        </ns1:AlternateContent>
        <ns1:AlternateContent>
          <ns1:Choice Requires="x14">
            <control shapeId="6219" r:id="rId58" name="chk_RW_310">
              <controlPr defaultSize="0" autoFill="0" autoLine="0" autoPict="0">
                <anchor moveWithCells="1">
                  <from>
                    <xdr:col>18</xdr:col>
                    <xdr:colOff>104775</xdr:colOff>
                    <xdr:row>40</xdr:row>
                    <xdr:rowOff>0</xdr:rowOff>
                  </from>
                  <to>
                    <xdr:col>19</xdr:col>
                    <xdr:colOff>0</xdr:colOff>
                    <xdr:row>41</xdr:row>
                    <xdr:rowOff>19050</xdr:rowOff>
                  </to>
                </anchor>
              </controlPr>
            </control>
          </ns1:Choice>
        </ns1:AlternateContent>
        <ns1:AlternateContent>
          <ns1:Choice Requires="x14">
            <control shapeId="6220" r:id="rId59" name="chk_RW_410">
              <controlPr defaultSize="0" autoFill="0" autoLine="0" autoPict="0">
                <anchor moveWithCells="1">
                  <from>
                    <xdr:col>18</xdr:col>
                    <xdr:colOff>95250</xdr:colOff>
                    <xdr:row>43</xdr:row>
                    <xdr:rowOff>190500</xdr:rowOff>
                  </from>
                  <to>
                    <xdr:col>19</xdr:col>
                    <xdr:colOff>0</xdr:colOff>
                    <xdr:row>45</xdr:row>
                    <xdr:rowOff>9525</xdr:rowOff>
                  </to>
                </anchor>
              </controlPr>
            </control>
          </ns1:Choice>
        </ns1:AlternateContent>
        <ns1:AlternateContent>
          <ns1:Choice Requires="x14">
            <control shapeId="6221" r:id="rId60" name="chk_BT_410">
              <controlPr defaultSize="0" autoFill="0" autoLine="0" autoPict="0">
                <anchor moveWithCells="1">
                  <from>
                    <xdr:col>19</xdr:col>
                    <xdr:colOff>95250</xdr:colOff>
                    <xdr:row>43</xdr:row>
                    <xdr:rowOff>190500</xdr:rowOff>
                  </from>
                  <to>
                    <xdr:col>20</xdr:col>
                    <xdr:colOff>0</xdr:colOff>
                    <xdr:row>45</xdr:row>
                    <xdr:rowOff>9525</xdr:rowOff>
                  </to>
                </anchor>
              </controlPr>
            </control>
          </ns1:Choice>
        </ns1:AlternateContent>
        <ns1:AlternateContent>
          <ns1:Choice Requires="x14">
            <control shapeId="6222" r:id="rId61" name="chk_RW_520">
              <controlPr defaultSize="0" autoFill="0" autoLine="0" autoPict="0">
                <anchor moveWithCells="1">
                  <from>
                    <xdr:col>18</xdr:col>
                    <xdr:colOff>104775</xdr:colOff>
                    <xdr:row>53</xdr:row>
                    <xdr:rowOff>0</xdr:rowOff>
                  </from>
                  <to>
                    <xdr:col>19</xdr:col>
                    <xdr:colOff>0</xdr:colOff>
                    <xdr:row>54</xdr:row>
                    <xdr:rowOff>19050</xdr:rowOff>
                  </to>
                </anchor>
              </controlPr>
            </control>
          </ns1:Choice>
        </ns1:AlternateContent>
        <ns1:AlternateContent>
          <ns1:Choice Requires="x14">
            <control shapeId="6223" r:id="rId62" name="chk_RW_530">
              <controlPr defaultSize="0" autoFill="0" autoLine="0" autoPict="0">
                <anchor moveWithCells="1">
                  <from>
                    <xdr:col>18</xdr:col>
                    <xdr:colOff>104775</xdr:colOff>
                    <xdr:row>53</xdr:row>
                    <xdr:rowOff>190500</xdr:rowOff>
                  </from>
                  <to>
                    <xdr:col>19</xdr:col>
                    <xdr:colOff>0</xdr:colOff>
                    <xdr:row>55</xdr:row>
                    <xdr:rowOff>9525</xdr:rowOff>
                  </to>
                </anchor>
              </controlPr>
            </control>
          </ns1:Choice>
        </ns1:AlternateContent>
        <ns1:AlternateContent>
          <ns1:Choice Requires="x14">
            <control shapeId="6224" r:id="rId63" name="chk_BT_810">
              <controlPr defaultSize="0" autoFill="0" autoLine="0" autoPict="0">
                <anchor moveWithCells="1">
                  <from>
                    <xdr:col>19</xdr:col>
                    <xdr:colOff>104775</xdr:colOff>
                    <xdr:row>59</xdr:row>
                    <xdr:rowOff>180975</xdr:rowOff>
                  </from>
                  <to>
                    <xdr:col>20</xdr:col>
                    <xdr:colOff>0</xdr:colOff>
                    <xdr:row>61</xdr:row>
                    <xdr:rowOff>0</xdr:rowOff>
                  </to>
                </anchor>
              </controlPr>
            </control>
          </ns1:Choice>
        </ns1:AlternateContent>
        <ns1:AlternateContent>
          <ns1:Choice Requires="x14">
            <control shapeId="6226" r:id="rId64" name="chk_Schweine">
              <controlPr defaultSize="0" autoFill="0" autoLine="0" autoPict="0" macro="[0]!AFP_Ja_Nein">
                <anchor moveWithCells="1">
                  <from>
                    <xdr:col>6</xdr:col>
                    <xdr:colOff>171450</xdr:colOff>
                    <xdr:row>61</xdr:row>
                    <xdr:rowOff>171450</xdr:rowOff>
                  </from>
                  <to>
                    <xdr:col>7</xdr:col>
                    <xdr:colOff>95250</xdr:colOff>
                    <xdr:row>63</xdr:row>
                    <xdr:rowOff>19050</xdr:rowOff>
                  </to>
                </anchor>
              </controlPr>
            </control>
          </ns1:Choice>
        </ns1:AlternateContent>
        <ns1:AlternateContent>
          <ns1:Choice Requires="x14">
            <control shapeId="6227" r:id="rId65" name="Label 83">
              <controlPr defaultSize="0" autoFill="0" autoPict="0">
                <anchor moveWithCells="1">
                  <from>
                    <xdr:col>2</xdr:col>
                    <xdr:colOff>180975</xdr:colOff>
                    <xdr:row>62</xdr:row>
                    <xdr:rowOff>0</xdr:rowOff>
                  </from>
                  <to>
                    <xdr:col>6</xdr:col>
                    <xdr:colOff>142875</xdr:colOff>
                    <xdr:row>62</xdr:row>
                    <xdr:rowOff>152400</xdr:rowOff>
                  </to>
                </anchor>
              </controlPr>
            </control>
          </ns1:Choice>
        </ns1:AlternateContent>
        <ns1:AlternateContent>
          <ns1:Choice Requires="x14">
            <control shapeId="6228" r:id="rId66" name="chk_RW_660">
              <controlPr defaultSize="0" autoFill="0" autoLine="0" autoPict="0">
                <anchor moveWithCells="1">
                  <from>
                    <xdr:col>18</xdr:col>
                    <xdr:colOff>104775</xdr:colOff>
                    <xdr:row>68</xdr:row>
                    <xdr:rowOff>190500</xdr:rowOff>
                  </from>
                  <to>
                    <xdr:col>19</xdr:col>
                    <xdr:colOff>0</xdr:colOff>
                    <xdr:row>70</xdr:row>
                    <xdr:rowOff>9525</xdr:rowOff>
                  </to>
                </anchor>
              </controlPr>
            </control>
          </ns1:Choice>
        </ns1:AlternateContent>
        <ns1:AlternateContent>
          <ns1:Choice Requires="x14">
            <control shapeId="6250" r:id="rId67" name="chk_RW_184">
              <controlPr defaultSize="0" autoFill="0" autoLine="0" autoPict="0">
                <anchor moveWithCells="1">
                  <from>
                    <xdr:col>18</xdr:col>
                    <xdr:colOff>104775</xdr:colOff>
                    <xdr:row>29</xdr:row>
                    <xdr:rowOff>190500</xdr:rowOff>
                  </from>
                  <to>
                    <xdr:col>19</xdr:col>
                    <xdr:colOff>0</xdr:colOff>
                    <xdr:row>31</xdr:row>
                    <xdr:rowOff>9525</xdr:rowOff>
                  </to>
                </anchor>
              </controlPr>
            </control>
          </ns1:Choice>
        </ns1:AlternateContent>
        <ns1:AlternateContent>
          <ns1:Choice Requires="x14">
            <control shapeId="6252" r:id="rId68" name="chk_BT_184">
              <controlPr defaultSize="0" autoFill="0" autoLine="0" autoPict="0">
                <anchor moveWithCells="1">
                  <from>
                    <xdr:col>19</xdr:col>
                    <xdr:colOff>95250</xdr:colOff>
                    <xdr:row>29</xdr:row>
                    <xdr:rowOff>190500</xdr:rowOff>
                  </from>
                  <to>
                    <xdr:col>20</xdr:col>
                    <xdr:colOff>0</xdr:colOff>
                    <xdr:row>31</xdr:row>
                    <xdr:rowOff>9525</xdr:rowOff>
                  </to>
                </anchor>
              </controlPr>
            </control>
          </ns1:Choice>
        </ns1:AlternateContent>
        <ns1:AlternateContent>
          <ns1:Choice Requires="x14">
            <control shapeId="6294" r:id="rId69" name="chk_BT_220">
              <controlPr defaultSize="0" autoFill="0" autoLine="0" autoPict="0">
                <anchor moveWithCells="1">
                  <from>
                    <xdr:col>19</xdr:col>
                    <xdr:colOff>104775</xdr:colOff>
                    <xdr:row>31</xdr:row>
                    <xdr:rowOff>190500</xdr:rowOff>
                  </from>
                  <to>
                    <xdr:col>20</xdr:col>
                    <xdr:colOff>0</xdr:colOff>
                    <xdr:row>33</xdr:row>
                    <xdr:rowOff>9525</xdr:rowOff>
                  </to>
                </anchor>
              </controlPr>
            </control>
          </ns1:Choice>
        </ns1:AlternateContent>
        <ns1:AlternateContent>
          <ns1:Choice Requires="x14">
            <control shapeId="6304" r:id="rId70" name="chk_BT_250">
              <controlPr defaultSize="0" autoFill="0" autoLine="0" autoPict="0">
                <anchor moveWithCells="1">
                  <from>
                    <xdr:col>19</xdr:col>
                    <xdr:colOff>104775</xdr:colOff>
                    <xdr:row>35</xdr:row>
                    <xdr:rowOff>0</xdr:rowOff>
                  </from>
                  <to>
                    <xdr:col>20</xdr:col>
                    <xdr:colOff>0</xdr:colOff>
                    <xdr:row>36</xdr:row>
                    <xdr:rowOff>19050</xdr:rowOff>
                  </to>
                </anchor>
              </controlPr>
            </control>
          </ns1:Choice>
        </ns1:AlternateContent>
        <ns1:AlternateContent>
          <ns1:Choice Requires="x14">
            <control shapeId="6408" r:id="rId71" name="chk_BT_800">
              <controlPr defaultSize="0" autoFill="0" autoLine="0" autoPict="0">
                <anchor moveWithCells="1">
                  <from>
                    <xdr:col>19</xdr:col>
                    <xdr:colOff>104775</xdr:colOff>
                    <xdr:row>58</xdr:row>
                    <xdr:rowOff>171450</xdr:rowOff>
                  </from>
                  <to>
                    <xdr:col>20</xdr:col>
                    <xdr:colOff>0</xdr:colOff>
                    <xdr:row>59</xdr:row>
                    <xdr:rowOff>190500</xdr:rowOff>
                  </to>
                </anchor>
              </controlPr>
            </control>
          </ns1:Choice>
        </ns1:AlternateContent>
        <ns1:AlternateContent>
          <ns1:Choice Requires="x14">
            <control shapeId="6426" r:id="rId72" name="chk_RW_137">
              <controlPr defaultSize="0" autoFill="0" autoLine="0" autoPict="0">
                <anchor moveWithCells="1">
                  <from>
                    <xdr:col>18</xdr:col>
                    <xdr:colOff>104775</xdr:colOff>
                    <xdr:row>18</xdr:row>
                    <xdr:rowOff>180975</xdr:rowOff>
                  </from>
                  <to>
                    <xdr:col>19</xdr:col>
                    <xdr:colOff>0</xdr:colOff>
                    <xdr:row>20</xdr:row>
                    <xdr:rowOff>0</xdr:rowOff>
                  </to>
                </anchor>
              </controlPr>
            </control>
          </ns1:Choice>
        </ns1:AlternateContent>
        <ns1:AlternateContent>
          <ns1:Choice Requires="x14">
            <control shapeId="6427" r:id="rId73" name="chk_BT_137">
              <controlPr defaultSize="0" autoFill="0" autoLine="0" autoPict="0">
                <anchor moveWithCells="1">
                  <from>
                    <xdr:col>19</xdr:col>
                    <xdr:colOff>104775</xdr:colOff>
                    <xdr:row>18</xdr:row>
                    <xdr:rowOff>180975</xdr:rowOff>
                  </from>
                  <to>
                    <xdr:col>20</xdr:col>
                    <xdr:colOff>0</xdr:colOff>
                    <xdr:row>20</xdr:row>
                    <xdr:rowOff>0</xdr:rowOff>
                  </to>
                </anchor>
              </controlPr>
            </control>
          </ns1:Choice>
        </ns1:AlternateContent>
        <ns1:AlternateContent>
          <ns1:Choice Requires="x14">
            <control shapeId="6428" r:id="rId74" name="chk_RW_144">
              <controlPr defaultSize="0" autoFill="0" autoLine="0" autoPict="0">
                <anchor moveWithCells="1">
                  <from>
                    <xdr:col>18</xdr:col>
                    <xdr:colOff>104775</xdr:colOff>
                    <xdr:row>21</xdr:row>
                    <xdr:rowOff>180975</xdr:rowOff>
                  </from>
                  <to>
                    <xdr:col>19</xdr:col>
                    <xdr:colOff>0</xdr:colOff>
                    <xdr:row>26</xdr:row>
                    <xdr:rowOff>19050</xdr:rowOff>
                  </to>
                </anchor>
              </controlPr>
            </control>
          </ns1:Choice>
        </ns1:AlternateContent>
        <ns1:AlternateContent>
          <ns1:Choice Requires="x14">
            <control shapeId="6429" r:id="rId75" name="chk_BT_144">
              <controlPr defaultSize="0" autoFill="0" autoLine="0" autoPict="0">
                <anchor moveWithCells="1">
                  <from>
                    <xdr:col>19</xdr:col>
                    <xdr:colOff>104775</xdr:colOff>
                    <xdr:row>21</xdr:row>
                    <xdr:rowOff>190500</xdr:rowOff>
                  </from>
                  <to>
                    <xdr:col>20</xdr:col>
                    <xdr:colOff>0</xdr:colOff>
                    <xdr:row>26</xdr:row>
                    <xdr:rowOff>19050</xdr:rowOff>
                  </to>
                </anchor>
              </controlPr>
            </control>
          </ns1:Choice>
        </ns1:AlternateContent>
        <ns1:AlternateContent>
          <ns1:Choice Requires="x14">
            <control shapeId="6430" r:id="rId76" name="chk_RW_148">
              <controlPr defaultSize="0" autoFill="0" autoLine="0" autoPict="0">
                <anchor moveWithCells="1">
                  <from>
                    <xdr:col>18</xdr:col>
                    <xdr:colOff>104775</xdr:colOff>
                    <xdr:row>22</xdr:row>
                    <xdr:rowOff>190500</xdr:rowOff>
                  </from>
                  <to>
                    <xdr:col>19</xdr:col>
                    <xdr:colOff>0</xdr:colOff>
                    <xdr:row>26</xdr:row>
                    <xdr:rowOff>19050</xdr:rowOff>
                  </to>
                </anchor>
              </controlPr>
            </control>
          </ns1:Choice>
        </ns1:AlternateContent>
        <ns1:AlternateContent>
          <ns1:Choice Requires="x14">
            <control shapeId="6431" r:id="rId77" name="chk_BT_148">
              <controlPr defaultSize="0" autoFill="0" autoLine="0" autoPict="0">
                <anchor moveWithCells="1">
                  <from>
                    <xdr:col>19</xdr:col>
                    <xdr:colOff>104775</xdr:colOff>
                    <xdr:row>22</xdr:row>
                    <xdr:rowOff>190500</xdr:rowOff>
                  </from>
                  <to>
                    <xdr:col>20</xdr:col>
                    <xdr:colOff>0</xdr:colOff>
                    <xdr:row>26</xdr:row>
                    <xdr:rowOff>19050</xdr:rowOff>
                  </to>
                </anchor>
              </controlPr>
            </control>
          </ns1:Choice>
        </ns1:AlternateContent>
        <ns1:AlternateContent>
          <ns1:Choice Requires="x14">
            <control shapeId="6445" r:id="rId78" name="cmdRinderkategorien">
              <controlPr defaultSize="0" print="0" autoFill="0" autoLine="0" autoPict="0" macro="[0]!DlgGVE_Zeigen">
                <anchor moveWithCells="1" sizeWithCells="1">
                  <from>
                    <xdr:col>11</xdr:col>
                    <xdr:colOff>9525</xdr:colOff>
                    <xdr:row>0</xdr:row>
                    <xdr:rowOff>57150</xdr:rowOff>
                  </from>
                  <to>
                    <xdr:col>15</xdr:col>
                    <xdr:colOff>276225</xdr:colOff>
                    <xdr:row>1</xdr:row>
                    <xdr:rowOff>85725</xdr:rowOff>
                  </to>
                </anchor>
              </controlPr>
            </control>
          </ns1:Choice>
        </ns1:AlternateContent>
        <ns1:AlternateContent>
          <ns1:Choice Requires="x14">
            <control shapeId="6634" r:id="rId79" name="chk_RW_270">
              <controlPr defaultSize="0" autoFill="0" autoLine="0" autoPict="0">
                <anchor moveWithCells="1">
                  <from>
                    <xdr:col>18</xdr:col>
                    <xdr:colOff>104775</xdr:colOff>
                    <xdr:row>36</xdr:row>
                    <xdr:rowOff>171450</xdr:rowOff>
                  </from>
                  <to>
                    <xdr:col>19</xdr:col>
                    <xdr:colOff>0</xdr:colOff>
                    <xdr:row>37</xdr:row>
                    <xdr:rowOff>190500</xdr:rowOff>
                  </to>
                </anchor>
              </controlPr>
            </control>
          </ns1:Choice>
        </ns1:AlternateContent>
        <ns1:AlternateContent>
          <ns1:Choice Requires="x14">
            <control shapeId="6643" r:id="rId80" name="chk_RW_670">
              <controlPr defaultSize="0" autoFill="0" autoLine="0" autoPict="0">
                <anchor moveWithCells="1">
                  <from>
                    <xdr:col>18</xdr:col>
                    <xdr:colOff>104775</xdr:colOff>
                    <xdr:row>69</xdr:row>
                    <xdr:rowOff>190500</xdr:rowOff>
                  </from>
                  <to>
                    <xdr:col>19</xdr:col>
                    <xdr:colOff>0</xdr:colOff>
                    <xdr:row>71</xdr:row>
                    <xdr:rowOff>9525</xdr:rowOff>
                  </to>
                </anchor>
              </controlPr>
            </control>
          </ns1:Choice>
        </ns1:AlternateContent>
        <ns1:AlternateContent>
          <ns1:Choice Requires="x14">
            <control shapeId="6644" r:id="rId81" name="chk_BT_670">
              <controlPr defaultSize="0" autoFill="0" autoLine="0" autoPict="0">
                <anchor moveWithCells="1">
                  <from>
                    <xdr:col>19</xdr:col>
                    <xdr:colOff>104775</xdr:colOff>
                    <xdr:row>69</xdr:row>
                    <xdr:rowOff>190500</xdr:rowOff>
                  </from>
                  <to>
                    <xdr:col>20</xdr:col>
                    <xdr:colOff>0</xdr:colOff>
                    <xdr:row>71</xdr:row>
                    <xdr:rowOff>9525</xdr:rowOff>
                  </to>
                </anchor>
              </controlPr>
            </control>
          </ns1:Choice>
        </ns1:AlternateContent>
        <ns1:AlternateContent>
          <ns1:Choice Requires="x14">
            <control shapeId="6646" r:id="rId82" name="chk_BT_660">
              <controlPr defaultSize="0" autoFill="0" autoLine="0" autoPict="0">
                <anchor moveWithCells="1">
                  <from>
                    <xdr:col>19</xdr:col>
                    <xdr:colOff>104775</xdr:colOff>
                    <xdr:row>68</xdr:row>
                    <xdr:rowOff>190500</xdr:rowOff>
                  </from>
                  <to>
                    <xdr:col>20</xdr:col>
                    <xdr:colOff>0</xdr:colOff>
                    <xdr:row>70</xdr:row>
                    <xdr:rowOff>9525</xdr:rowOff>
                  </to>
                </anchor>
              </controlPr>
            </control>
          </ns1:Choice>
        </ns1:AlternateContent>
        <ns1:AlternateContent>
          <ns1:Choice Requires="x14">
            <control shapeId="6708" r:id="rId83" name="chk_RW_108">
              <controlPr defaultSize="0" autoFill="0" autoLine="0" autoPict="0">
                <anchor moveWithCells="1">
                  <from>
                    <xdr:col>18</xdr:col>
                    <xdr:colOff>104775</xdr:colOff>
                    <xdr:row>9</xdr:row>
                    <xdr:rowOff>180975</xdr:rowOff>
                  </from>
                  <to>
                    <xdr:col>19</xdr:col>
                    <xdr:colOff>0</xdr:colOff>
                    <xdr:row>11</xdr:row>
                    <xdr:rowOff>0</xdr:rowOff>
                  </to>
                </anchor>
              </controlPr>
            </control>
          </ns1:Choice>
        </ns1:AlternateContent>
        <ns1:AlternateContent>
          <ns1:Choice Requires="x14">
            <control shapeId="6711" r:id="rId84" name="chk_RW_116">
              <controlPr defaultSize="0" autoFill="0" autoLine="0" autoPict="0">
                <anchor moveWithCells="1">
                  <from>
                    <xdr:col>18</xdr:col>
                    <xdr:colOff>104775</xdr:colOff>
                    <xdr:row>11</xdr:row>
                    <xdr:rowOff>190500</xdr:rowOff>
                  </from>
                  <to>
                    <xdr:col>19</xdr:col>
                    <xdr:colOff>0</xdr:colOff>
                    <xdr:row>13</xdr:row>
                    <xdr:rowOff>9525</xdr:rowOff>
                  </to>
                </anchor>
              </controlPr>
            </control>
          </ns1:Choice>
        </ns1:AlternateContent>
        <ns1:AlternateContent>
          <ns1:Choice Requires="x14">
            <control shapeId="6712" r:id="rId85" name="chk_BT_116">
              <controlPr defaultSize="0" autoFill="0" autoLine="0" autoPict="0">
                <anchor moveWithCells="1">
                  <from>
                    <xdr:col>19</xdr:col>
                    <xdr:colOff>104775</xdr:colOff>
                    <xdr:row>11</xdr:row>
                    <xdr:rowOff>190500</xdr:rowOff>
                  </from>
                  <to>
                    <xdr:col>20</xdr:col>
                    <xdr:colOff>0</xdr:colOff>
                    <xdr:row>13</xdr:row>
                    <xdr:rowOff>9525</xdr:rowOff>
                  </to>
                </anchor>
              </controlPr>
            </control>
          </ns1:Choice>
        </ns1:AlternateContent>
        <ns1:AlternateContent>
          <ns1:Choice Requires="x14">
            <control shapeId="6713" r:id="rId86" name="Check Box 569">
              <controlPr defaultSize="0" autoFill="0" autoLine="0" autoPict="0">
                <anchor moveWithCells="1">
                  <from>
                    <xdr:col>18</xdr:col>
                    <xdr:colOff>104775</xdr:colOff>
                    <xdr:row>77</xdr:row>
                    <xdr:rowOff>0</xdr:rowOff>
                  </from>
                  <to>
                    <xdr:col>19</xdr:col>
                    <xdr:colOff>0</xdr:colOff>
                    <xdr:row>78</xdr:row>
                    <xdr:rowOff>19050</xdr:rowOff>
                  </to>
                </anchor>
              </controlPr>
            </control>
          </ns1:Choice>
        </ns1:AlternateContent>
        <ns1:AlternateContent>
          <ns1:Choice Requires="x14">
            <control shapeId="6714" r:id="rId87" name="Check Box 570">
              <controlPr defaultSize="0" autoFill="0" autoLine="0" autoPict="0">
                <anchor moveWithCells="1">
                  <from>
                    <xdr:col>18</xdr:col>
                    <xdr:colOff>104775</xdr:colOff>
                    <xdr:row>77</xdr:row>
                    <xdr:rowOff>190500</xdr:rowOff>
                  </from>
                  <to>
                    <xdr:col>19</xdr:col>
                    <xdr:colOff>0</xdr:colOff>
                    <xdr:row>79</xdr:row>
                    <xdr:rowOff>9525</xdr:rowOff>
                  </to>
                </anchor>
              </controlPr>
            </control>
          </ns1:Choice>
        </ns1:AlternateContent>
        <ns1:AlternateContent>
          <ns1:Choice Requires="x14">
            <control shapeId="6715" r:id="rId88" name="Check Box 571">
              <controlPr defaultSize="0" autoFill="0" autoLine="0" autoPict="0">
                <anchor moveWithCells="1">
                  <from>
                    <xdr:col>19</xdr:col>
                    <xdr:colOff>114300</xdr:colOff>
                    <xdr:row>76</xdr:row>
                    <xdr:rowOff>190500</xdr:rowOff>
                  </from>
                  <to>
                    <xdr:col>90</xdr:col>
                    <xdr:colOff>9525</xdr:colOff>
                    <xdr:row>78</xdr:row>
                    <xdr:rowOff>9525</xdr:rowOff>
                  </to>
                </anchor>
              </controlPr>
            </control>
          </ns1:Choice>
        </ns1:AlternateContent>
        <ns1:AlternateContent>
          <ns1:Choice Requires="x14">
            <control shapeId="6716" r:id="rId89" name="Check Box 572">
              <controlPr defaultSize="0" autoFill="0" autoLine="0" autoPict="0">
                <anchor moveWithCells="1">
                  <from>
                    <xdr:col>19</xdr:col>
                    <xdr:colOff>104775</xdr:colOff>
                    <xdr:row>77</xdr:row>
                    <xdr:rowOff>180975</xdr:rowOff>
                  </from>
                  <to>
                    <xdr:col>20</xdr:col>
                    <xdr:colOff>0</xdr:colOff>
                    <xdr:row>79</xdr:row>
                    <xdr:rowOff>0</xdr:rowOff>
                  </to>
                </anchor>
              </controlPr>
            </control>
          </ns1:Choice>
        </ns1:AlternateContent>
        <ns1:AlternateContent>
          <ns1:Choice Requires="x14">
            <control shapeId="6720" r:id="rId90" name="chk_RW_136">
              <controlPr defaultSize="0" autoFill="0" autoLine="0" autoPict="0">
                <anchor moveWithCells="1">
                  <from>
                    <xdr:col>18</xdr:col>
                    <xdr:colOff>104775</xdr:colOff>
                    <xdr:row>17</xdr:row>
                    <xdr:rowOff>190500</xdr:rowOff>
                  </from>
                  <to>
                    <xdr:col>19</xdr:col>
                    <xdr:colOff>0</xdr:colOff>
                    <xdr:row>19</xdr:row>
                    <xdr:rowOff>9525</xdr:rowOff>
                  </to>
                </anchor>
              </controlPr>
            </control>
          </ns1:Choice>
        </ns1:AlternateContent>
        <ns1:AlternateContent>
          <ns1:Choice Requires="x14">
            <control shapeId="6721" r:id="rId91" name="chk_BT_136">
              <controlPr defaultSize="0" autoFill="0" autoLine="0" autoPict="0">
                <anchor moveWithCells="1">
                  <from>
                    <xdr:col>19</xdr:col>
                    <xdr:colOff>104775</xdr:colOff>
                    <xdr:row>17</xdr:row>
                    <xdr:rowOff>190500</xdr:rowOff>
                  </from>
                  <to>
                    <xdr:col>20</xdr:col>
                    <xdr:colOff>0</xdr:colOff>
                    <xdr:row>19</xdr:row>
                    <xdr:rowOff>9525</xdr:rowOff>
                  </to>
                </anchor>
              </controlPr>
            </control>
          </ns1:Choice>
        </ns1:AlternateContent>
        <ns1:AlternateContent>
          <ns1:Choice Requires="x14">
            <control shapeId="6725" r:id="rId92" name="chk_RW_138">
              <controlPr defaultSize="0" autoFill="0" autoLine="0" autoPict="0">
                <anchor moveWithCells="1">
                  <from>
                    <xdr:col>18</xdr:col>
                    <xdr:colOff>104775</xdr:colOff>
                    <xdr:row>20</xdr:row>
                    <xdr:rowOff>0</xdr:rowOff>
                  </from>
                  <to>
                    <xdr:col>19</xdr:col>
                    <xdr:colOff>0</xdr:colOff>
                    <xdr:row>24</xdr:row>
                    <xdr:rowOff>19050</xdr:rowOff>
                  </to>
                </anchor>
              </controlPr>
            </control>
          </ns1:Choice>
        </ns1:AlternateContent>
        <ns1:AlternateContent>
          <ns1:Choice Requires="x14">
            <control shapeId="6726" r:id="rId93" name="chk_BT_138">
              <controlPr defaultSize="0" autoFill="0" autoLine="0" autoPict="0">
                <anchor moveWithCells="1">
                  <from>
                    <xdr:col>19</xdr:col>
                    <xdr:colOff>104775</xdr:colOff>
                    <xdr:row>20</xdr:row>
                    <xdr:rowOff>0</xdr:rowOff>
                  </from>
                  <to>
                    <xdr:col>20</xdr:col>
                    <xdr:colOff>0</xdr:colOff>
                    <xdr:row>24</xdr:row>
                    <xdr:rowOff>19050</xdr:rowOff>
                  </to>
                </anchor>
              </controlPr>
            </control>
          </ns1:Choice>
        </ns1:AlternateContent>
        <ns1:AlternateContent>
          <ns1:Choice Requires="x14">
            <control shapeId="6727" r:id="rId94" name="chk_RW_140">
              <controlPr defaultSize="0" autoFill="0" autoLine="0" autoPict="0">
                <anchor moveWithCells="1">
                  <from>
                    <xdr:col>18</xdr:col>
                    <xdr:colOff>104775</xdr:colOff>
                    <xdr:row>20</xdr:row>
                    <xdr:rowOff>190500</xdr:rowOff>
                  </from>
                  <to>
                    <xdr:col>19</xdr:col>
                    <xdr:colOff>0</xdr:colOff>
                    <xdr:row>26</xdr:row>
                    <xdr:rowOff>9525</xdr:rowOff>
                  </to>
                </anchor>
              </controlPr>
            </control>
          </ns1:Choice>
        </ns1:AlternateContent>
        <ns1:AlternateContent>
          <ns1:Choice Requires="x14">
            <control shapeId="6728" r:id="rId95" name="chk_BT_140">
              <controlPr defaultSize="0" autoFill="0" autoLine="0" autoPict="0">
                <anchor moveWithCells="1">
                  <from>
                    <xdr:col>19</xdr:col>
                    <xdr:colOff>104775</xdr:colOff>
                    <xdr:row>20</xdr:row>
                    <xdr:rowOff>190500</xdr:rowOff>
                  </from>
                  <to>
                    <xdr:col>20</xdr:col>
                    <xdr:colOff>0</xdr:colOff>
                    <xdr:row>26</xdr:row>
                    <xdr:rowOff>9525</xdr:rowOff>
                  </to>
                </anchor>
              </controlPr>
            </control>
          </ns1:Choice>
        </ns1:AlternateContent>
        <ns1:AlternateContent>
          <ns1:Choice Requires="x14">
            <control shapeId="6157" r:id="rId96" name="chk_RW_168">
              <controlPr defaultSize="0" autoFill="0" autoLine="0" autoPict="0">
                <anchor moveWithCells="1">
                  <from>
                    <xdr:col>18</xdr:col>
                    <xdr:colOff>104775</xdr:colOff>
                    <xdr:row>26</xdr:row>
                    <xdr:rowOff>190500</xdr:rowOff>
                  </from>
                  <to>
                    <xdr:col>19</xdr:col>
                    <xdr:colOff>0</xdr:colOff>
                    <xdr:row>28</xdr:row>
                    <xdr:rowOff>9525</xdr:rowOff>
                  </to>
                </anchor>
              </controlPr>
            </control>
          </ns1:Choice>
        </ns1:AlternateContent>
        <ns1:AlternateContent>
          <ns1:Choice Requires="x14">
            <control shapeId="6192" r:id="rId97" name="chk_BT_168">
              <controlPr defaultSize="0" autoFill="0" autoLine="0" autoPict="0">
                <anchor moveWithCells="1">
                  <from>
                    <xdr:col>19</xdr:col>
                    <xdr:colOff>95250</xdr:colOff>
                    <xdr:row>26</xdr:row>
                    <xdr:rowOff>190500</xdr:rowOff>
                  </from>
                  <to>
                    <xdr:col>20</xdr:col>
                    <xdr:colOff>0</xdr:colOff>
                    <xdr:row>28</xdr:row>
                    <xdr:rowOff>9525</xdr:rowOff>
                  </to>
                </anchor>
              </controlPr>
            </control>
          </ns1:Choice>
        </ns1:AlternateContent>
      </controls>
    </ns1:Choice>
  </ns1: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indexed="26"/>
    <pageSetUpPr fitToPage="1"/>
  </sheetPr>
  <dimension ref="B1:K69"/>
  <sheetViews>
    <sheetView showGridLines="0" showRowColHeaders="0" showZeros="0" workbookViewId="0">
      <selection activeCell="C46" sqref="C46"/>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7" customWidth="1"/>
    <col min="3" max="3" width="25.7109375" customWidth="1"/>
    <col min="4" max="5" width="12.7109375" customWidth="1"/>
    <col min="6" max="6" width="9.7109375" customWidth="1"/>
    <col min="7" max="7" width="14.42578125" customWidth="1"/>
    <col min="8" max="8" width="6.42578125" hidden="1" customWidth="1"/>
    <col min="9" max="9" width="14.42578125" customWidth="1"/>
    <col min="10" max="10" width="12.7109375" customWidth="1"/>
  </cols>
  <sheetData>
    <row r="1" spans="2:10" ht="42" customHeight="1">
      <c r="B1" s="19" t="str">
        <f>Q!NW_Tit</f>
        <v xml:space="preserve">                                   Nachweis</v>
      </c>
      <c r="C1" s="1"/>
      <c r="D1" s="1"/>
      <c r="E1" s="1"/>
      <c r="F1" s="1"/>
      <c r="G1" s="1"/>
      <c r="H1" s="1"/>
      <c r="I1" s="1"/>
      <c r="J1" s="20" t="str">
        <f>Q!F15</f>
        <v>Kennziffern Biodiversitätsförderflächen</v>
      </c>
    </row>
    <row r="2" spans="2:10" ht="11.1" customHeight="1" thickBot="1">
      <c r="B2" s="21"/>
      <c r="C2" s="21"/>
      <c r="D2" s="21"/>
      <c r="E2" s="21"/>
      <c r="F2" s="21"/>
      <c r="G2" s="21"/>
      <c r="H2" s="21"/>
      <c r="I2" s="44"/>
      <c r="J2" s="44"/>
    </row>
    <row r="3" spans="2:10" ht="17.45" customHeight="1">
      <c r="B3" s="1861" t="str">
        <f>Texte!A13</f>
        <v>Betrieb:</v>
      </c>
      <c r="C3" s="572" t="str">
        <f>Allg!$C$9&amp;""</f>
        <v>Imhof &amp; Zaehner Betriebsgemeinschaft</v>
      </c>
      <c r="D3" s="569"/>
      <c r="E3" s="1863" t="str">
        <f>Texte!A14</f>
        <v>Variante:</v>
      </c>
      <c r="F3" s="1433" t="str">
        <f>Allg!$G$7&amp;""</f>
        <v/>
      </c>
      <c r="G3" s="569"/>
      <c r="H3" s="569"/>
      <c r="I3" s="1863" t="str">
        <f>Texte!A15</f>
        <v>Jahr:</v>
      </c>
      <c r="J3" s="571" t="str">
        <f>Allg!$G$6&amp;""</f>
        <v>2026</v>
      </c>
    </row>
    <row r="4" spans="2:10" ht="3.75" customHeight="1">
      <c r="B4" s="57"/>
      <c r="C4" s="57"/>
      <c r="D4" s="57"/>
      <c r="E4" s="57"/>
      <c r="F4" s="57"/>
      <c r="G4" s="57"/>
      <c r="H4" s="57"/>
      <c r="I4" s="57"/>
      <c r="J4" s="1"/>
    </row>
    <row r="5" spans="2:10" ht="16.149999999999999" customHeight="1">
      <c r="B5" s="182" t="str">
        <f>Texte!A409</f>
        <v>Düngbare Fläche (DF)</v>
      </c>
      <c r="C5" s="57"/>
      <c r="D5" s="57"/>
      <c r="E5" s="57"/>
      <c r="F5" s="57"/>
      <c r="G5" s="57"/>
      <c r="H5" s="57"/>
      <c r="I5" s="197"/>
      <c r="J5" s="80"/>
    </row>
    <row r="6" spans="2:10" ht="12.95" customHeight="1">
      <c r="B6" s="57"/>
      <c r="C6" s="57"/>
      <c r="D6" s="57"/>
      <c r="E6" s="57"/>
      <c r="F6" s="57"/>
      <c r="G6" s="198" t="str">
        <f>Texte!A410</f>
        <v>Fläche ha</v>
      </c>
      <c r="H6" s="209"/>
      <c r="I6" s="30"/>
      <c r="J6" s="80"/>
    </row>
    <row r="7" spans="2:10" ht="12.95" customHeight="1">
      <c r="B7" s="57"/>
      <c r="C7" s="30"/>
      <c r="D7" s="57"/>
      <c r="E7" s="57"/>
      <c r="F7" s="199" t="str">
        <f>Texte!A322</f>
        <v>LN plus Bauland ohne Beitragsberechtigung</v>
      </c>
      <c r="G7" s="200">
        <f>IF(ISBLANK(Fläche!LNmitBauland),"",Fläche!LNmitBauland)</f>
        <v>137.40760000000003</v>
      </c>
      <c r="H7" s="209"/>
      <c r="I7" s="30"/>
      <c r="J7" s="80"/>
    </row>
    <row r="8" spans="2:10" ht="12.95" customHeight="1">
      <c r="B8" s="57" t="str">
        <f>Texte!A413</f>
        <v>minus:</v>
      </c>
      <c r="C8" s="57" t="str">
        <f>Texte!A414</f>
        <v>Extensive Wiesen, ohne Weiden</v>
      </c>
      <c r="D8" s="57"/>
      <c r="E8" s="57"/>
      <c r="F8" s="57"/>
      <c r="G8" s="200">
        <f>Fläche!N10</f>
        <v>14.054399999999999</v>
      </c>
      <c r="H8" s="209"/>
      <c r="I8" s="30"/>
      <c r="J8" s="80"/>
    </row>
    <row r="9" spans="2:10" ht="12.95" customHeight="1">
      <c r="B9" s="57" t="str">
        <f>Texte!A413</f>
        <v>minus:</v>
      </c>
      <c r="C9" s="57" t="str">
        <f>Texte!A415</f>
        <v>Übrige Wiesen mit Düngeverbot</v>
      </c>
      <c r="D9" s="57"/>
      <c r="E9" s="57"/>
      <c r="F9" s="57"/>
      <c r="G9" s="200">
        <f>Fläche!N12</f>
        <v>0</v>
      </c>
      <c r="H9" s="209"/>
      <c r="I9" s="30"/>
      <c r="J9" s="80"/>
    </row>
    <row r="10" spans="2:10" ht="12.95" customHeight="1">
      <c r="B10" s="57" t="str">
        <f>Texte!A413</f>
        <v>minus:</v>
      </c>
      <c r="C10" s="57" t="str">
        <f>Texte!A416</f>
        <v>Buntbrache</v>
      </c>
      <c r="D10" s="57"/>
      <c r="E10" s="57"/>
      <c r="F10" s="57"/>
      <c r="G10" s="200">
        <f>Fläche!E53</f>
        <v>0</v>
      </c>
      <c r="H10" s="209"/>
      <c r="I10" s="30"/>
      <c r="J10" s="80"/>
    </row>
    <row r="11" spans="2:10" ht="12.95" customHeight="1">
      <c r="B11" s="57" t="str">
        <f>Texte!A413</f>
        <v>minus:</v>
      </c>
      <c r="C11" s="57" t="str">
        <f>Texte!A417</f>
        <v>Rotationsbrache</v>
      </c>
      <c r="D11" s="57"/>
      <c r="E11" s="57"/>
      <c r="F11" s="57"/>
      <c r="G11" s="200">
        <f>Fläche!E52</f>
        <v>0</v>
      </c>
      <c r="H11" s="209"/>
      <c r="I11" s="30"/>
      <c r="J11" s="80"/>
    </row>
    <row r="12" spans="2:10" ht="12.95" customHeight="1">
      <c r="B12" s="57" t="str">
        <f>Texte!A413</f>
        <v>minus:</v>
      </c>
      <c r="C12" s="57" t="str">
        <f>Texte!A419</f>
        <v>Säume auf Ackerflächen und Nützlingsstreifen (oAF)</v>
      </c>
      <c r="D12" s="57"/>
      <c r="E12" s="57"/>
      <c r="F12" s="57"/>
      <c r="G12" s="200">
        <f>SUM(Fläche!E54,Fläche!E56)</f>
        <v>0.1658</v>
      </c>
      <c r="H12" s="209"/>
      <c r="I12" s="30"/>
      <c r="J12" s="80"/>
    </row>
    <row r="13" spans="2:10" ht="12.95" customHeight="1">
      <c r="B13" s="57" t="str">
        <f>Texte!A413</f>
        <v>minus:</v>
      </c>
      <c r="C13" s="57" t="str">
        <f>Texte!A420</f>
        <v>Streue-, Torfland</v>
      </c>
      <c r="D13" s="57"/>
      <c r="E13" s="57"/>
      <c r="F13" s="57"/>
      <c r="G13" s="200">
        <f>Fläche!N34</f>
        <v>0.502</v>
      </c>
      <c r="H13" s="209"/>
      <c r="I13" s="30"/>
      <c r="J13" s="80"/>
    </row>
    <row r="14" spans="2:10" ht="12.95" customHeight="1">
      <c r="B14" s="57" t="str">
        <f>Texte!A413</f>
        <v>minus:</v>
      </c>
      <c r="C14" s="57" t="str">
        <f>Texte!A421</f>
        <v>Hecken, Feld- und Ufergehölze</v>
      </c>
      <c r="D14" s="57"/>
      <c r="E14" s="57"/>
      <c r="F14" s="57"/>
      <c r="G14" s="200">
        <f>Fläche!N35+Fläche!N36</f>
        <v>5.4763999999999999</v>
      </c>
      <c r="H14" s="209"/>
      <c r="I14" s="30"/>
      <c r="J14" s="80"/>
    </row>
    <row r="15" spans="2:10" ht="12.95" customHeight="1">
      <c r="B15" s="57" t="str">
        <f>Texte!A413</f>
        <v>minus:</v>
      </c>
      <c r="C15" s="57" t="str">
        <f>Texte!A422</f>
        <v>Uferwiese, ohne Weiden</v>
      </c>
      <c r="D15" s="57"/>
      <c r="E15" s="57"/>
      <c r="F15" s="57"/>
      <c r="G15" s="200">
        <f>Fläche!N37</f>
        <v>0.1232</v>
      </c>
      <c r="H15" s="209"/>
      <c r="I15" s="30"/>
      <c r="J15" s="80"/>
    </row>
    <row r="16" spans="2:10" ht="12.95" customHeight="1">
      <c r="B16" s="57" t="str">
        <f>Texte!A413</f>
        <v>minus:</v>
      </c>
      <c r="C16" s="57" t="str">
        <f>Texte!A423</f>
        <v>Pufferstreifen entlang Gewässern, Wäldern, Hecken, Feld- u. Ufergehölzen</v>
      </c>
      <c r="D16" s="57"/>
      <c r="E16" s="57"/>
      <c r="F16" s="57"/>
      <c r="G16" s="201"/>
      <c r="H16" s="209"/>
      <c r="I16" s="30"/>
      <c r="J16" s="80"/>
    </row>
    <row r="17" spans="2:11" ht="12.95" customHeight="1">
      <c r="B17" s="57" t="str">
        <f>Texte!A413</f>
        <v>minus:</v>
      </c>
      <c r="C17" s="57" t="str">
        <f>Texte!A424</f>
        <v>Übrige</v>
      </c>
      <c r="D17" s="57"/>
      <c r="E17" s="57"/>
      <c r="F17" s="57"/>
      <c r="G17" s="201"/>
      <c r="H17" s="209"/>
      <c r="I17" s="30"/>
      <c r="J17" s="80"/>
    </row>
    <row r="18" spans="2:11" ht="12.95" customHeight="1">
      <c r="B18" s="57"/>
      <c r="C18" s="30"/>
      <c r="D18" s="57"/>
      <c r="E18" s="57"/>
      <c r="F18" s="199" t="str">
        <f>Texte!A425</f>
        <v>Düngbare Fläche (DF)</v>
      </c>
      <c r="G18" s="200">
        <f>G7-SUM(G8:G17)</f>
        <v>117.08580000000003</v>
      </c>
      <c r="H18" s="209"/>
      <c r="I18" s="30"/>
      <c r="J18" s="80"/>
    </row>
    <row r="19" spans="2:11" ht="4.7" customHeight="1">
      <c r="B19" s="57"/>
      <c r="C19" s="57"/>
      <c r="D19" s="57"/>
      <c r="E19" s="57"/>
      <c r="F19" s="57"/>
      <c r="G19" s="57"/>
      <c r="H19" s="209"/>
      <c r="I19" s="30"/>
      <c r="J19" s="80"/>
    </row>
    <row r="20" spans="2:11" ht="16.149999999999999" customHeight="1">
      <c r="B20" s="182" t="str">
        <f>Texte!A426</f>
        <v xml:space="preserve">Anteil Biodiversitätsförderflächen an Spezialkulturen und an übriger LN </v>
      </c>
      <c r="C20" s="57"/>
      <c r="D20" s="57"/>
      <c r="E20" s="57"/>
      <c r="F20" s="1"/>
      <c r="G20" s="1"/>
      <c r="H20" s="1"/>
      <c r="I20" s="1"/>
      <c r="J20" s="80"/>
    </row>
    <row r="21" spans="2:11" ht="12.95" customHeight="1">
      <c r="B21" s="57" t="str">
        <f>Texte!A427</f>
        <v xml:space="preserve">  [Für eine detaillierte Erfassung separates Agridea-Formular benützen!]</v>
      </c>
      <c r="C21" s="57"/>
      <c r="D21" s="57"/>
      <c r="E21" s="57"/>
      <c r="F21" s="57"/>
      <c r="G21" s="202" t="str">
        <f>Texte!A428</f>
        <v>Resultat Ihres Betriebes</v>
      </c>
      <c r="H21" s="2693"/>
      <c r="I21" s="203"/>
      <c r="J21" s="3105"/>
      <c r="K21" s="772"/>
    </row>
    <row r="22" spans="2:11" ht="12.95" customHeight="1">
      <c r="B22" s="57"/>
      <c r="C22" s="57"/>
      <c r="D22" s="57"/>
      <c r="E22" s="57"/>
      <c r="F22" s="57"/>
      <c r="G22" s="139" t="str">
        <f>Texte!A429</f>
        <v>Fläche</v>
      </c>
      <c r="H22" s="139" t="str">
        <f>Texte!A430</f>
        <v xml:space="preserve">% der </v>
      </c>
      <c r="I22" s="204" t="str">
        <f>Texte!A430</f>
        <v xml:space="preserve">% der </v>
      </c>
      <c r="J22" s="204" t="str">
        <f>Texte!A431</f>
        <v xml:space="preserve">% der </v>
      </c>
      <c r="K22" s="772"/>
    </row>
    <row r="23" spans="2:11" ht="12.95" customHeight="1">
      <c r="B23" s="57"/>
      <c r="C23" s="57"/>
      <c r="D23" s="57"/>
      <c r="E23" s="57"/>
      <c r="F23" s="57"/>
      <c r="G23" s="205" t="str">
        <f>Texte!A432</f>
        <v>in ha</v>
      </c>
      <c r="H23" s="206" t="str">
        <f>Texte!A433</f>
        <v>Ackerfläche</v>
      </c>
      <c r="I23" s="206" t="str">
        <f>Texte!A434</f>
        <v>Spez.kulturen</v>
      </c>
      <c r="J23" s="300" t="str">
        <f>Texte!A436</f>
        <v>übrigen Fläche</v>
      </c>
      <c r="K23" s="772"/>
    </row>
    <row r="24" spans="2:11" ht="15" customHeight="1">
      <c r="B24" s="1"/>
      <c r="C24" s="1"/>
      <c r="D24" s="1"/>
      <c r="E24" s="1"/>
      <c r="F24" s="1"/>
      <c r="G24" s="207"/>
      <c r="H24" s="1835">
        <f>Ff!D51</f>
        <v>74.797499999999999</v>
      </c>
      <c r="I24" s="1835">
        <f>SUM(Fläche!Spezialkulturen)</f>
        <v>45.884499999999996</v>
      </c>
      <c r="J24" s="3106">
        <f>Fläche!LNmitBauland-Fläche!Bauzone-SUM(Fläche!Spezialkulturen)</f>
        <v>91.523100000000028</v>
      </c>
      <c r="K24" s="772"/>
    </row>
    <row r="25" spans="2:11" ht="12.95" customHeight="1">
      <c r="B25" s="57" t="str">
        <f>Texte!A437</f>
        <v>Extensiv genutzte Wiesen (Typ 1): davon BFF</v>
      </c>
      <c r="C25" s="1"/>
      <c r="D25" s="57"/>
      <c r="E25" s="57"/>
      <c r="F25" s="208"/>
      <c r="G25" s="200">
        <f>IF(OR(ISBLANK(F25),F25&gt;Fläche!N10),Fläche!N10,F25)</f>
        <v>14.054399999999999</v>
      </c>
      <c r="H25" s="209"/>
      <c r="I25" s="209"/>
      <c r="J25" s="138"/>
    </row>
    <row r="26" spans="2:11" ht="12.95" customHeight="1">
      <c r="B26" s="57" t="str">
        <f>Texte!A438</f>
        <v>Wenig intensiv genutzte Wiesen (Typ 4): davon BFF</v>
      </c>
      <c r="C26" s="1"/>
      <c r="D26" s="57"/>
      <c r="E26" s="57"/>
      <c r="F26" s="208"/>
      <c r="G26" s="200">
        <f>IF(OR(ISBLANK(F26),F26&gt;Fläche!N11),Fläche!N11,F26)</f>
        <v>19.454699999999999</v>
      </c>
      <c r="H26" s="209"/>
      <c r="I26" s="209"/>
      <c r="J26" s="138"/>
    </row>
    <row r="27" spans="2:11" ht="12.95" customHeight="1">
      <c r="B27" s="57" t="str">
        <f>Texte!A439</f>
        <v>Streueflächen (Typ 5)</v>
      </c>
      <c r="C27" s="1"/>
      <c r="D27" s="57"/>
      <c r="E27" s="57"/>
      <c r="F27" s="57"/>
      <c r="G27" s="200">
        <f>Fläche!N34</f>
        <v>0.502</v>
      </c>
      <c r="H27" s="209"/>
      <c r="I27" s="209"/>
      <c r="J27" s="138"/>
    </row>
    <row r="28" spans="2:11" ht="12.95" customHeight="1">
      <c r="B28" s="57" t="str">
        <f>Texte!A440</f>
        <v>Extensiv genutzte Weiden (Typ 2): davon BFF</v>
      </c>
      <c r="C28" s="1"/>
      <c r="D28" s="57"/>
      <c r="E28" s="57"/>
      <c r="F28" s="208"/>
      <c r="G28" s="200">
        <f>IF(OR(ISBLANK(F28),F28&gt;Fläche!N15),Fläche!N15,F28)</f>
        <v>2.2204000000000002</v>
      </c>
      <c r="H28" s="209"/>
      <c r="I28" s="209"/>
      <c r="J28" s="138"/>
    </row>
    <row r="29" spans="2:11" ht="12.95" customHeight="1">
      <c r="B29" s="57" t="str">
        <f>Texte!A441</f>
        <v>Waldweiden (Wytweiden, Selven) (Typ 3): davon BFF</v>
      </c>
      <c r="C29" s="1"/>
      <c r="D29" s="57"/>
      <c r="E29" s="57"/>
      <c r="F29" s="208"/>
      <c r="G29" s="200">
        <f>IF(OR(ISBLANK(F29),F29&gt;Fläche!N14+Fläche!E67),Fläche!N14+Fläche!E67,F29)</f>
        <v>0</v>
      </c>
      <c r="H29" s="209"/>
      <c r="I29" s="209"/>
      <c r="J29" s="80"/>
    </row>
    <row r="30" spans="2:11" ht="12.95" customHeight="1">
      <c r="B30" s="57" t="str">
        <f>Texte!A442</f>
        <v>Ackerschonstreifen (Typ 6)</v>
      </c>
      <c r="C30" s="1"/>
      <c r="D30" s="57"/>
      <c r="E30" s="57"/>
      <c r="F30" s="57"/>
      <c r="G30" s="3395"/>
      <c r="H30" s="209"/>
      <c r="I30" s="209"/>
      <c r="J30" s="80"/>
    </row>
    <row r="31" spans="2:11" ht="12.95" customHeight="1">
      <c r="B31" s="57" t="str">
        <f>Texte!A443</f>
        <v>Buntbrache (Typ 7A)</v>
      </c>
      <c r="C31" s="1"/>
      <c r="D31" s="57"/>
      <c r="E31" s="57"/>
      <c r="F31" s="57"/>
      <c r="G31" s="200">
        <f>Fläche!E53</f>
        <v>0</v>
      </c>
      <c r="H31" s="209"/>
      <c r="I31" s="209"/>
      <c r="J31" s="80"/>
    </row>
    <row r="32" spans="2:11" ht="12.95" customHeight="1">
      <c r="B32" s="57" t="str">
        <f>Texte!A444</f>
        <v>Rotationsbrache (Typ 7B)</v>
      </c>
      <c r="C32" s="1"/>
      <c r="D32" s="57"/>
      <c r="E32" s="57"/>
      <c r="F32" s="57"/>
      <c r="G32" s="200">
        <f>Fläche!E52</f>
        <v>0</v>
      </c>
      <c r="H32" s="209"/>
      <c r="I32" s="209"/>
      <c r="J32" s="80"/>
    </row>
    <row r="33" spans="2:10" ht="12.95" customHeight="1">
      <c r="B33" s="57" t="str">
        <f>Texte!A445</f>
        <v>Säume auf Ackerflächen</v>
      </c>
      <c r="C33" s="1"/>
      <c r="D33" s="57"/>
      <c r="E33" s="57"/>
      <c r="F33" s="57"/>
      <c r="G33" s="200">
        <f>Fläche!E54</f>
        <v>0.1658</v>
      </c>
      <c r="H33" s="209"/>
      <c r="I33" s="209"/>
      <c r="J33" s="80"/>
    </row>
    <row r="34" spans="2:10" ht="12.95" customHeight="1">
      <c r="B34" s="57" t="str">
        <f>Texte!A446</f>
        <v>Nützlingsstreifen (oAF)</v>
      </c>
      <c r="C34" s="1"/>
      <c r="D34" s="57"/>
      <c r="E34" s="57"/>
      <c r="F34" s="57"/>
      <c r="G34" s="200">
        <f>Fläche!E56</f>
        <v>0</v>
      </c>
      <c r="H34" s="209"/>
      <c r="I34" s="209"/>
      <c r="J34" s="80"/>
    </row>
    <row r="35" spans="2:10" ht="12.95" hidden="1" customHeight="1">
      <c r="B35" s="57" t="str">
        <f>Texte!A448</f>
        <v>Getreide in weiter Reihe</v>
      </c>
      <c r="C35" s="1"/>
      <c r="D35" s="3123">
        <f>IF(F35&gt;0,Texte!A449,0)</f>
        <v>0</v>
      </c>
      <c r="E35" s="3124">
        <f>IF(F35&gt;0,IF(H48=0,"0 ha",ROUND(Ff!$D$51*0.0175,5)),0)</f>
        <v>0</v>
      </c>
      <c r="F35" s="198">
        <f>Fläche!$N$56</f>
        <v>0</v>
      </c>
      <c r="G35" s="3116">
        <f>MIN(IF(AND(OR(Allg!KlickZonenEintlg=Texte!A4955,Allg!KlickZonenEintlg=Texte!A4956),SUM(Fläche!offeneAckerfläche)&gt;3),F35,0),E35,F35)</f>
        <v>0</v>
      </c>
      <c r="H35" s="209"/>
      <c r="I35" s="3311"/>
      <c r="J35" s="80"/>
    </row>
    <row r="36" spans="2:10" ht="12.95" customHeight="1">
      <c r="B36" s="57" t="str">
        <f>Texte!A450</f>
        <v>Hochstamm-Feldobstbäume (Typ 8), 1 Are pro Baum</v>
      </c>
      <c r="C36" s="1"/>
      <c r="D36" s="57"/>
      <c r="E36" s="3104" t="str">
        <f>IF(G45=0,0,Texte!A449)</f>
        <v>maximal</v>
      </c>
      <c r="F36" s="198">
        <f>Fläche!N54/100</f>
        <v>0</v>
      </c>
      <c r="G36" s="200">
        <f>MIN(Fläche!N54/100,ROUNDDOWN($G$45*0.5,2))</f>
        <v>0</v>
      </c>
      <c r="H36" s="209"/>
      <c r="I36" s="209"/>
      <c r="J36" s="80"/>
    </row>
    <row r="37" spans="2:10" ht="12.95" customHeight="1">
      <c r="B37" s="57" t="str">
        <f>Texte!A451</f>
        <v>Einheimische  Einzelbäume (Typ 9), 1 Are pro Baum</v>
      </c>
      <c r="C37" s="1"/>
      <c r="D37" s="57"/>
      <c r="E37" s="646">
        <f>ROUNDDOWN($G$45*0.5,2)</f>
        <v>4</v>
      </c>
      <c r="F37" s="200">
        <f>Fläche!N55/100</f>
        <v>0</v>
      </c>
      <c r="G37" s="200">
        <f>IF(F37&lt;&gt;0,MIN(F37,ROUNDDOWN($G$45*0.5,2)-G36),0)</f>
        <v>0</v>
      </c>
      <c r="H37" s="209"/>
      <c r="I37" s="209"/>
      <c r="J37" s="80"/>
    </row>
    <row r="38" spans="2:10" ht="12.95" customHeight="1">
      <c r="B38" s="57" t="str">
        <f>Texte!A452</f>
        <v>Hecken, Feld- und Ufergehölze (Typ 10)</v>
      </c>
      <c r="C38" s="1"/>
      <c r="D38" s="57"/>
      <c r="E38" s="57"/>
      <c r="F38" s="57"/>
      <c r="G38" s="200">
        <f>Fläche!N35</f>
        <v>2.4763999999999999</v>
      </c>
      <c r="H38" s="209"/>
      <c r="I38" s="209"/>
      <c r="J38" s="80"/>
    </row>
    <row r="39" spans="2:10" ht="12.95" customHeight="1">
      <c r="B39" s="57" t="str">
        <f>Texte!A453</f>
        <v>Uferwiese, ohne Weiden</v>
      </c>
      <c r="C39" s="1"/>
      <c r="D39" s="57"/>
      <c r="E39" s="57"/>
      <c r="F39" s="57"/>
      <c r="G39" s="200">
        <f>Fläche!N37</f>
        <v>0.1232</v>
      </c>
      <c r="H39" s="209"/>
      <c r="I39" s="209"/>
      <c r="J39" s="80"/>
    </row>
    <row r="40" spans="2:10" ht="12.95" customHeight="1">
      <c r="B40" s="57" t="str">
        <f>Texte!A454</f>
        <v>Nützlingsstreifen (DK)</v>
      </c>
      <c r="C40" s="1"/>
      <c r="D40" s="57"/>
      <c r="E40" s="57"/>
      <c r="F40" s="57"/>
      <c r="G40" s="201"/>
      <c r="H40" s="209"/>
      <c r="I40" s="209"/>
      <c r="J40" s="80"/>
    </row>
    <row r="41" spans="2:10" ht="12.95" customHeight="1">
      <c r="B41" s="57" t="str">
        <f>Texte!A455</f>
        <v>Rebflächen mit natürlicher Artenvielfalt (Typ 15)</v>
      </c>
      <c r="C41" s="1"/>
      <c r="D41" s="57"/>
      <c r="E41" s="57"/>
      <c r="F41" s="57"/>
      <c r="G41" s="201"/>
      <c r="H41" s="209"/>
      <c r="I41" s="209"/>
      <c r="J41" s="80"/>
    </row>
    <row r="42" spans="2:10" ht="12.95" customHeight="1">
      <c r="B42" s="57" t="str">
        <f>Texte!A456</f>
        <v>Übrige Biodiversitätsförderflächen (Typen 11-13)</v>
      </c>
      <c r="C42" s="1"/>
      <c r="D42" s="57"/>
      <c r="E42" s="57"/>
      <c r="F42" s="57"/>
      <c r="G42" s="201"/>
      <c r="H42" s="209"/>
      <c r="I42" s="209"/>
      <c r="J42" s="80"/>
    </row>
    <row r="43" spans="2:10" ht="12.95" customHeight="1">
      <c r="B43" s="57" t="str">
        <f>Texte!A457</f>
        <v>Weitere Biodiversitätsförderflächen (Typ 16 gemäss sep. Agridea-Formular)</v>
      </c>
      <c r="C43" s="1"/>
      <c r="D43" s="57"/>
      <c r="E43" s="57"/>
      <c r="F43" s="57"/>
      <c r="G43" s="201"/>
      <c r="H43" s="970"/>
      <c r="I43" s="125"/>
      <c r="J43" s="80"/>
    </row>
    <row r="44" spans="2:10" ht="12.95" customHeight="1">
      <c r="B44" s="30"/>
      <c r="C44" s="57"/>
      <c r="D44" s="57"/>
      <c r="E44" s="57"/>
      <c r="F44" s="199" t="str">
        <f>Texte!A458</f>
        <v>Total Ihres Betriebes</v>
      </c>
      <c r="G44" s="172">
        <f>SUM(G25:G43)</f>
        <v>38.996899999999989</v>
      </c>
      <c r="H44" s="216"/>
      <c r="I44" s="1832">
        <f>IF(Fläche!LNmitBauland-Fläche!Bauzone=0,"",G44/(Fläche!LNmitBauland-Fläche!Bauzone)*100)</f>
        <v>28.380453482922331</v>
      </c>
      <c r="J44" s="1833"/>
    </row>
    <row r="45" spans="2:10" ht="12.95" customHeight="1">
      <c r="B45" s="30"/>
      <c r="C45" s="57"/>
      <c r="D45" s="57"/>
      <c r="E45" s="57"/>
      <c r="F45" s="199" t="str">
        <f>Texte!A459</f>
        <v xml:space="preserve">Mindestfläche für den ökologischen Leistungsnachweis </v>
      </c>
      <c r="G45" s="210">
        <f>I46/100*I24+J46/100*J24</f>
        <v>8.012574500000003</v>
      </c>
      <c r="H45" s="216"/>
      <c r="I45" s="1832">
        <f>IF(Fläche!LNmitBauland-Fläche!Bauzone=0,0,G45/(Fläche!LNmitBauland-Fläche!Bauzone)*100)</f>
        <v>5.8312455060709896</v>
      </c>
      <c r="J45" s="1834"/>
    </row>
    <row r="46" spans="2:10" ht="12.95" customHeight="1">
      <c r="B46" s="182"/>
      <c r="C46" s="57"/>
      <c r="D46" s="57"/>
      <c r="E46" s="57"/>
      <c r="F46" s="199"/>
      <c r="G46" s="198"/>
      <c r="H46" s="3107"/>
      <c r="I46" s="211">
        <v>3.5</v>
      </c>
      <c r="J46" s="212">
        <v>7</v>
      </c>
    </row>
    <row r="47" spans="2:10" ht="12.95" hidden="1" customHeight="1">
      <c r="B47" s="30"/>
      <c r="C47" s="57"/>
      <c r="D47" s="57"/>
      <c r="E47" s="57"/>
      <c r="F47" s="199" t="str">
        <f>Texte!A460</f>
        <v>Acker-Biodiversitätsförderflächen</v>
      </c>
      <c r="G47" s="3117">
        <f>SUM(G30:G35)</f>
        <v>0.1658</v>
      </c>
      <c r="H47" s="3312">
        <f>IF(Ff!$D$51&gt;0,G47/Ff!$D$51*100,0)</f>
        <v>0.22166516260570204</v>
      </c>
    </row>
    <row r="48" spans="2:10" ht="12.95" hidden="1" customHeight="1">
      <c r="B48" s="30"/>
      <c r="C48" s="57"/>
      <c r="D48" s="57"/>
      <c r="E48" s="57"/>
      <c r="F48" s="199" t="str">
        <f>Texte!A461</f>
        <v>Mindestfläche Acker-BFF</v>
      </c>
      <c r="G48" s="3117">
        <f>IF(H48&gt;0,Ff!$D$51*0.035,0)</f>
        <v>2.6179125000000001</v>
      </c>
      <c r="H48" s="3118">
        <f>IF(AND(OR(Allg!KlickZonenEintlg=Texte!A4955,Allg!KlickZonenEintlg=Texte!A4956),SUM(Fläche!offeneAckerfläche)&gt;3),3.5,0)</f>
        <v>3.5</v>
      </c>
    </row>
    <row r="49" spans="2:10" ht="4.7" customHeight="1">
      <c r="B49" s="1"/>
      <c r="C49" s="1"/>
      <c r="D49" s="1"/>
      <c r="E49" s="1"/>
      <c r="F49" s="1"/>
      <c r="G49" s="1"/>
      <c r="H49" s="1"/>
      <c r="I49" s="1"/>
      <c r="J49" s="1"/>
    </row>
    <row r="50" spans="2:10" ht="16.149999999999999" customHeight="1">
      <c r="B50" s="182" t="str">
        <f>Texte!A462</f>
        <v>Differenzierte Grünlandbewirtschaftung</v>
      </c>
      <c r="C50" s="57"/>
      <c r="D50" s="57"/>
      <c r="E50" s="57"/>
      <c r="F50" s="57"/>
      <c r="G50" s="57"/>
      <c r="H50" s="57"/>
      <c r="I50" s="197"/>
      <c r="J50" s="80"/>
    </row>
    <row r="51" spans="2:10" ht="12.75" customHeight="1">
      <c r="B51" s="57" t="str">
        <f>Texte!A463</f>
        <v>Anteil "extensiver" Elemente an der Grünland- und Streuefläche</v>
      </c>
      <c r="C51" s="57"/>
      <c r="D51" s="57"/>
      <c r="E51" s="57"/>
      <c r="F51" s="57"/>
      <c r="G51" s="57"/>
      <c r="H51" s="57"/>
      <c r="I51" s="197"/>
      <c r="J51" s="80"/>
    </row>
    <row r="52" spans="2:10" ht="12.95" customHeight="1">
      <c r="B52" s="57"/>
      <c r="C52" s="57"/>
      <c r="D52" s="57"/>
      <c r="E52" s="57"/>
      <c r="F52" s="199" t="str">
        <f>Texte!A464</f>
        <v>Grünland- und Streuefläche (ha)</v>
      </c>
      <c r="G52" s="198">
        <f>SUM(Fläche!N10:N11,Fläche!N12:N22,Fläche!N34)</f>
        <v>55.351499999999994</v>
      </c>
      <c r="H52" s="2382"/>
      <c r="I52" s="185"/>
      <c r="J52" s="80"/>
    </row>
    <row r="53" spans="2:10" ht="12.95" customHeight="1">
      <c r="B53" s="57"/>
      <c r="C53" s="57"/>
      <c r="D53" s="57"/>
      <c r="E53" s="57"/>
      <c r="F53" s="57"/>
      <c r="G53" s="214" t="str">
        <f>Texte!A465</f>
        <v>Resultat Ihres Betriebes</v>
      </c>
      <c r="H53" s="221"/>
      <c r="I53" s="3101"/>
      <c r="J53" s="80"/>
    </row>
    <row r="54" spans="2:10" ht="12.95" customHeight="1">
      <c r="B54" s="57"/>
      <c r="C54" s="57"/>
      <c r="D54" s="57"/>
      <c r="E54" s="57"/>
      <c r="F54" s="57"/>
      <c r="G54" s="215"/>
      <c r="H54" s="215"/>
      <c r="I54" s="216" t="str">
        <f>Texte!A467</f>
        <v>% d. Grünland-</v>
      </c>
      <c r="J54" s="80"/>
    </row>
    <row r="55" spans="2:10" ht="12.95" customHeight="1">
      <c r="B55" s="57"/>
      <c r="C55" s="57"/>
      <c r="D55" s="57"/>
      <c r="E55" s="57"/>
      <c r="F55" s="57"/>
      <c r="G55" s="175" t="str">
        <f>Texte!A466</f>
        <v>Fläche ha</v>
      </c>
      <c r="H55" s="175"/>
      <c r="I55" s="200" t="str">
        <f>Texte!A468</f>
        <v xml:space="preserve"> + Streuefläche</v>
      </c>
      <c r="J55" s="80"/>
    </row>
    <row r="56" spans="2:10" ht="12.95" customHeight="1">
      <c r="B56" s="57" t="str">
        <f>Texte!A469</f>
        <v>Extensives Wies- und Weideland (Typ 1A, 1B, 2): davon BFF</v>
      </c>
      <c r="C56" s="57"/>
      <c r="D56" s="57"/>
      <c r="E56" s="57"/>
      <c r="F56" s="208"/>
      <c r="G56" s="200">
        <f>IF(OR(ISBLANK(F56),F56&gt;Fläche!N10+Fläche!N15),Fläche!N10+Fläche!N15,F56)</f>
        <v>16.274799999999999</v>
      </c>
      <c r="H56" s="209"/>
      <c r="I56" s="217"/>
      <c r="J56" s="80"/>
    </row>
    <row r="57" spans="2:10" ht="12.95" customHeight="1">
      <c r="B57" s="57" t="str">
        <f>Texte!A470</f>
        <v>Waldweiden (Typ 3)</v>
      </c>
      <c r="C57" s="57"/>
      <c r="D57" s="57"/>
      <c r="E57" s="57"/>
      <c r="F57" s="208"/>
      <c r="G57" s="200">
        <f>IF(OR(ISBLANK(F57),F57&gt;Fläche!N14+Fläche!E67),Fläche!N14+Fläche!E67,F57)</f>
        <v>0</v>
      </c>
      <c r="H57" s="209"/>
      <c r="I57" s="217"/>
      <c r="J57" s="80"/>
    </row>
    <row r="58" spans="2:10" ht="12.95" customHeight="1">
      <c r="B58" s="57" t="str">
        <f>Texte!A471</f>
        <v>Wenig intensiv genutzte Wiesen (Typ 4): davon BFF</v>
      </c>
      <c r="C58" s="57"/>
      <c r="D58" s="57"/>
      <c r="E58" s="57"/>
      <c r="F58" s="208"/>
      <c r="G58" s="200">
        <f>IF(OR(ISBLANK(F58),F58&gt;Fläche!N11),Fläche!N11,F58)</f>
        <v>19.454699999999999</v>
      </c>
      <c r="H58" s="209"/>
      <c r="I58" s="217"/>
      <c r="J58" s="80"/>
    </row>
    <row r="59" spans="2:10" ht="12.95" customHeight="1">
      <c r="B59" s="57" t="str">
        <f>Texte!A472</f>
        <v>Streue-, Torfland (Typ 5)</v>
      </c>
      <c r="C59" s="57"/>
      <c r="D59" s="57"/>
      <c r="E59" s="57"/>
      <c r="F59" s="57"/>
      <c r="G59" s="200">
        <f>Fläche!N34</f>
        <v>0.502</v>
      </c>
      <c r="H59" s="209"/>
      <c r="I59" s="217"/>
      <c r="J59" s="80"/>
    </row>
    <row r="60" spans="2:10" ht="12.95" customHeight="1">
      <c r="B60" s="30"/>
      <c r="C60" s="57"/>
      <c r="D60" s="57"/>
      <c r="E60" s="57"/>
      <c r="F60" s="199" t="str">
        <f>Texte!A473</f>
        <v>Total Ihres Betriebes</v>
      </c>
      <c r="G60" s="172">
        <f>SUM(G56:G59)</f>
        <v>36.231500000000004</v>
      </c>
      <c r="H60" s="172"/>
      <c r="I60" s="211">
        <f>IF(G52=0,0,G60/G52*100)</f>
        <v>65.457124016512665</v>
      </c>
      <c r="J60" s="80"/>
    </row>
    <row r="61" spans="2:10" ht="12.95" customHeight="1">
      <c r="B61" s="57"/>
      <c r="C61" s="57"/>
      <c r="D61" s="57"/>
      <c r="E61" s="57"/>
      <c r="F61" s="57"/>
      <c r="G61" s="209"/>
      <c r="H61" s="209"/>
      <c r="I61" s="209"/>
      <c r="J61" s="80"/>
    </row>
    <row r="62" spans="2:10" ht="12.95" customHeight="1">
      <c r="B62" s="30"/>
      <c r="C62" s="57"/>
      <c r="D62" s="57"/>
      <c r="E62" s="57"/>
      <c r="F62" s="199" t="str">
        <f>Texte!A474</f>
        <v xml:space="preserve"> Bio-Mindestfläche</v>
      </c>
      <c r="G62" s="210">
        <f>5/100*G52</f>
        <v>2.7675749999999999</v>
      </c>
      <c r="H62" s="210"/>
      <c r="I62" s="212">
        <v>5</v>
      </c>
      <c r="J62" s="80"/>
    </row>
    <row r="63" spans="2:10" ht="12.95" customHeight="1">
      <c r="B63" s="57"/>
      <c r="C63" s="57"/>
      <c r="D63" s="57"/>
      <c r="E63" s="57"/>
      <c r="F63" s="57"/>
      <c r="G63" s="57"/>
      <c r="H63" s="57"/>
      <c r="I63" s="57"/>
      <c r="J63" s="80"/>
    </row>
    <row r="64" spans="2:10" ht="12.95" customHeight="1">
      <c r="B64" s="182" t="str">
        <f>Texte!A475</f>
        <v>RGVE-Besatz, DGVE-Belastung</v>
      </c>
      <c r="C64" s="57"/>
      <c r="D64" s="57"/>
      <c r="E64" s="57"/>
      <c r="F64" s="57"/>
      <c r="G64" s="57"/>
      <c r="H64" s="57"/>
      <c r="I64" s="57"/>
      <c r="J64" s="80"/>
    </row>
    <row r="65" spans="2:10" ht="12.95" customHeight="1">
      <c r="B65" s="57"/>
      <c r="C65" s="57"/>
      <c r="D65" s="202" t="str">
        <f>Texte!A477</f>
        <v>RGVE total</v>
      </c>
      <c r="E65" s="218" t="str">
        <f>Texte!A478</f>
        <v>RGVE / ha Grünl.</v>
      </c>
      <c r="F65" s="219" t="str">
        <f>Texte!A479</f>
        <v>DGVE total</v>
      </c>
      <c r="G65" s="219" t="str">
        <f>Texte!A480</f>
        <v>DGVE pro ha LN</v>
      </c>
      <c r="H65" s="219"/>
      <c r="I65" s="220" t="str">
        <f>Texte!A481</f>
        <v>DGVE pro ha DF</v>
      </c>
      <c r="J65" s="80"/>
    </row>
    <row r="66" spans="2:10" ht="12.95" customHeight="1">
      <c r="B66" s="57" t="str">
        <f>Texte!A482</f>
        <v>Betrieb</v>
      </c>
      <c r="C66" s="57"/>
      <c r="D66" s="641">
        <f>SUM(Tierb!M9:M31)+SUM(Tierb!M33:M38)+SUM(Tierb!M40:M49)+SUM(Tierb!M52:M61)</f>
        <v>78.13000000000001</v>
      </c>
      <c r="E66" s="172">
        <f>IF(Fläche!N9=0,0,D66/Fläche!N9)</f>
        <v>1.4212509118162293</v>
      </c>
      <c r="F66" s="222">
        <f>IF(AND('SB1'!Q41=0,'SB1'!S41=0),0,('SB1'!Q41/105+'SB1'!S41/35)/2)</f>
        <v>58.32295238095238</v>
      </c>
      <c r="G66" s="172">
        <f>IF(Fläche!LNmitBauland-Fläche!Bauzone=0,0,F66/(Fläche!LNmitBauland-Fläche!Bauzone))</f>
        <v>0.42445215825727517</v>
      </c>
      <c r="H66" s="172"/>
      <c r="I66" s="200">
        <f>IF(G18=0,0,F66/G18)</f>
        <v>0.49812148339894646</v>
      </c>
      <c r="J66" s="80"/>
    </row>
    <row r="67" spans="2:10" ht="12.95" customHeight="1">
      <c r="B67" s="57" t="str">
        <f>Texte!A483</f>
        <v>Hofdüngerzu-, wegfuhr</v>
      </c>
      <c r="C67" s="57"/>
      <c r="D67" s="223"/>
      <c r="E67" s="197"/>
      <c r="F67" s="173"/>
      <c r="G67" s="222">
        <f>IF(Fläche!LNmitBauland-Fläche!Bauzone=0,0,F67/(Fläche!LNmitBauland-Fläche!Bauzone))</f>
        <v>0</v>
      </c>
      <c r="H67" s="222"/>
      <c r="I67" s="186">
        <f>IF(G18=0,0,F67/G18)</f>
        <v>0</v>
      </c>
      <c r="J67" s="80"/>
    </row>
    <row r="68" spans="2:10" ht="12.95" customHeight="1">
      <c r="B68" s="57" t="str">
        <f>Texte!A484</f>
        <v>Total</v>
      </c>
      <c r="C68" s="57"/>
      <c r="D68" s="642">
        <f>D66</f>
        <v>78.13000000000001</v>
      </c>
      <c r="E68" s="210">
        <f>E66</f>
        <v>1.4212509118162293</v>
      </c>
      <c r="F68" s="222">
        <f>SUM(F66:F67)</f>
        <v>58.32295238095238</v>
      </c>
      <c r="G68" s="172">
        <f>SUM(G66:G67)</f>
        <v>0.42445215825727517</v>
      </c>
      <c r="H68" s="172"/>
      <c r="I68" s="200">
        <f>SUM(I66:I67)</f>
        <v>0.49812148339894646</v>
      </c>
      <c r="J68" s="80"/>
    </row>
    <row r="69" spans="2:10">
      <c r="F69" s="1204" t="str">
        <f>IF(AND(Tierb!M80&lt;&gt;0,'SB1'!Q41=0),Texte!A485,"")</f>
        <v/>
      </c>
    </row>
  </sheetData>
  <sheetProtection algorithmName="SHA-512" hashValue="tH5iO2UedMBRn20xOBaDF33AhU27P6t1dnWF/EUQLPhGhQa6YVZGfVSf2UTzvtQDBqb/74vkeq3i8XMh6LEyOQ==" saltValue="seCLslj6m/KwitgfySI2NA==" spinCount="100000" sheet="1" objects="1" scenarios="1"/>
  <phoneticPr fontId="65" type="noConversion"/>
  <pageMargins left="0.69" right="0.19685039370078741" top="0.59055118110236227" bottom="0.59055118110236227" header="0" footer="0.39370078740157483"/>
  <pageSetup paperSize="9" scale="93" orientation="portrait" r:id="rId1"/>
  <headerFooter alignWithMargins="0">
    <oddFooter>&amp;C&amp;9&amp;F&amp;R&amp;"Arial,Standard"&amp;9Seite &amp;P&amp;L&amp;"Arial,Fett"&amp;11AGRIDEA &amp;"Arial,Standard"&amp;9 Nachweis Version 9.9</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indexed="26"/>
    <pageSetUpPr fitToPage="1"/>
  </sheetPr>
  <dimension ref="A1:N51"/>
  <sheetViews>
    <sheetView showGridLines="0" showRowColHeaders="0" showZeros="0" workbookViewId="0">
      <selection activeCell="C17" sqref="C1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1.28515625" customWidth="1"/>
    <col min="3" max="12" width="10.7109375" customWidth="1"/>
  </cols>
  <sheetData>
    <row r="1" spans="1:14" ht="42" customHeight="1">
      <c r="A1" s="1"/>
      <c r="B1" s="19" t="str">
        <f>Q!NW_Tit</f>
        <v xml:space="preserve">                                   Nachweis</v>
      </c>
      <c r="C1" s="225"/>
      <c r="D1" s="1"/>
      <c r="E1" s="1"/>
      <c r="F1" s="1"/>
      <c r="G1" s="1"/>
      <c r="H1" s="1"/>
      <c r="I1" s="1"/>
      <c r="J1" s="1"/>
      <c r="K1" s="1"/>
      <c r="L1" s="20" t="str">
        <f>Q!F16</f>
        <v>Kennziffern Biolandbau</v>
      </c>
      <c r="M1" s="1"/>
      <c r="N1" s="1"/>
    </row>
    <row r="2" spans="1:14" ht="11.1" customHeight="1" thickBot="1">
      <c r="A2" s="1"/>
      <c r="B2" s="21"/>
      <c r="C2" s="226"/>
      <c r="D2" s="21"/>
      <c r="E2" s="21"/>
      <c r="F2" s="21"/>
      <c r="G2" s="21"/>
      <c r="H2" s="21"/>
      <c r="I2" s="21"/>
      <c r="J2" s="21"/>
      <c r="K2" s="21"/>
      <c r="L2" s="44"/>
      <c r="M2" s="1"/>
      <c r="N2" s="1"/>
    </row>
    <row r="3" spans="1:14" ht="21.95" customHeight="1">
      <c r="A3" s="1"/>
      <c r="B3" s="1861" t="str">
        <f>Texte!A13</f>
        <v>Betrieb:</v>
      </c>
      <c r="C3" s="572" t="str">
        <f>Allg!$C$9&amp;""</f>
        <v>Imhof &amp; Zaehner Betriebsgemeinschaft</v>
      </c>
      <c r="D3" s="46"/>
      <c r="E3" s="569"/>
      <c r="F3" s="569"/>
      <c r="G3" s="569"/>
      <c r="H3" s="1863" t="str">
        <f>Texte!A14</f>
        <v>Variante:</v>
      </c>
      <c r="I3" s="1433" t="str">
        <f>Allg!$G$7&amp;""</f>
        <v/>
      </c>
      <c r="J3" s="569"/>
      <c r="K3" s="1863" t="str">
        <f>Texte!A15</f>
        <v>Jahr:</v>
      </c>
      <c r="L3" s="571" t="str">
        <f>Allg!$G$6&amp;""</f>
        <v>2026</v>
      </c>
      <c r="M3" s="1"/>
      <c r="N3" s="1"/>
    </row>
    <row r="4" spans="1:14" ht="6" customHeight="1">
      <c r="A4" s="1"/>
      <c r="B4" s="57"/>
      <c r="C4" s="227"/>
      <c r="D4" s="57"/>
      <c r="E4" s="57"/>
      <c r="F4" s="57"/>
      <c r="G4" s="57"/>
      <c r="H4" s="57"/>
      <c r="I4" s="57"/>
      <c r="J4" s="57"/>
      <c r="K4" s="57"/>
      <c r="L4" s="57"/>
      <c r="M4" s="1"/>
      <c r="N4" s="1"/>
    </row>
    <row r="5" spans="1:14" ht="12.75">
      <c r="A5" s="1"/>
      <c r="B5" s="57"/>
      <c r="C5" s="227"/>
      <c r="D5" s="57"/>
      <c r="E5" s="57"/>
      <c r="F5" s="57"/>
      <c r="G5" s="57"/>
      <c r="H5" s="57"/>
      <c r="I5" s="57"/>
      <c r="J5" s="57"/>
      <c r="K5" s="57"/>
      <c r="L5" s="197"/>
      <c r="M5" s="1"/>
      <c r="N5" s="1"/>
    </row>
    <row r="6" spans="1:14" ht="18" customHeight="1">
      <c r="A6" s="1"/>
      <c r="B6" s="228" t="str">
        <f>Texte!A487</f>
        <v>Ackerflächenanteile</v>
      </c>
      <c r="C6" s="229"/>
      <c r="D6" s="57"/>
      <c r="E6" s="57"/>
      <c r="F6" s="57" t="str">
        <f>Texte!A488</f>
        <v>Bemerkungen:</v>
      </c>
      <c r="G6" s="57"/>
      <c r="H6" s="57"/>
      <c r="I6" s="57"/>
      <c r="J6" s="57"/>
      <c r="K6" s="57"/>
      <c r="L6" s="197"/>
      <c r="M6" s="1"/>
      <c r="N6" s="1"/>
    </row>
    <row r="7" spans="1:14" ht="18" customHeight="1">
      <c r="A7" s="1"/>
      <c r="B7" s="230">
        <f>IF(Ff!D51=0,"",Fläche!E9/Ff!$D$51)</f>
        <v>0.17992178882984058</v>
      </c>
      <c r="C7" s="1" t="str">
        <f>Texte!A489</f>
        <v>Getreide</v>
      </c>
      <c r="D7" s="1"/>
      <c r="E7" s="1"/>
      <c r="F7" s="231"/>
      <c r="G7" s="233"/>
      <c r="H7" s="232"/>
      <c r="I7" s="232"/>
      <c r="J7" s="232"/>
      <c r="K7" s="232"/>
      <c r="L7" s="232"/>
      <c r="M7" s="1"/>
      <c r="N7" s="1"/>
    </row>
    <row r="8" spans="1:14" ht="18" customHeight="1">
      <c r="A8" s="1"/>
      <c r="B8" s="230">
        <f>IF(Ff!D51=0,"",((Fläche!E25-Fläche!E33-Fläche!E34-Fläche!E35)+Fläche!N26)/Ff!$D$51)</f>
        <v>0.22659179785420638</v>
      </c>
      <c r="C8" s="1" t="str">
        <f>Texte!A490</f>
        <v>Hackfrüchte ohne Freilandgemüse</v>
      </c>
      <c r="D8" s="1"/>
      <c r="E8" s="1"/>
      <c r="F8" s="231"/>
      <c r="G8" s="233"/>
      <c r="H8" s="232"/>
      <c r="I8" s="232"/>
      <c r="J8" s="232"/>
      <c r="K8" s="232"/>
      <c r="L8" s="232"/>
      <c r="M8" s="1"/>
      <c r="N8" s="1"/>
    </row>
    <row r="9" spans="1:14" ht="18" customHeight="1">
      <c r="A9" s="1"/>
      <c r="B9" s="230">
        <f>IF(Ff!D51=0,"",(Fläche!E39+Fläche!E40)/Ff!$D$51)</f>
        <v>0.58825495504528891</v>
      </c>
      <c r="C9" s="1" t="str">
        <f>Texte!A491</f>
        <v>Freilandgemüse</v>
      </c>
      <c r="D9" s="1"/>
      <c r="E9" s="1"/>
      <c r="F9" s="231"/>
      <c r="G9" s="233"/>
      <c r="H9" s="232"/>
      <c r="I9" s="232"/>
      <c r="J9" s="232"/>
      <c r="K9" s="232"/>
      <c r="L9" s="232"/>
      <c r="M9" s="1"/>
      <c r="N9" s="1"/>
    </row>
    <row r="10" spans="1:14" ht="18" customHeight="1">
      <c r="A10" s="1"/>
      <c r="B10" s="230">
        <f>IF(Ff!D51=0,"",SUM(Fläche!E33:E35)/Ff!$D$51)</f>
        <v>0</v>
      </c>
      <c r="C10" s="1" t="str">
        <f>Texte!A492</f>
        <v>Körnerleguminosen</v>
      </c>
      <c r="D10" s="1"/>
      <c r="E10" s="1"/>
      <c r="F10" s="231"/>
      <c r="G10" s="233"/>
      <c r="H10" s="232"/>
      <c r="I10" s="232"/>
      <c r="J10" s="232"/>
      <c r="K10" s="232"/>
      <c r="L10" s="232"/>
      <c r="M10" s="1"/>
      <c r="N10" s="1"/>
    </row>
    <row r="11" spans="1:14" ht="18" customHeight="1">
      <c r="A11" s="1"/>
      <c r="B11" s="230">
        <f>IF(Ff!D51=0,"",(SUM(Fläche!N21:N22)+Fläche!E52)/Ff!$D$51)</f>
        <v>0</v>
      </c>
      <c r="C11" s="1" t="str">
        <f>Texte!A493</f>
        <v>Kunstwiesen und Rotationsbrache</v>
      </c>
      <c r="D11" s="1"/>
      <c r="E11" s="1"/>
      <c r="F11" s="231"/>
      <c r="G11" s="233"/>
      <c r="H11" s="232"/>
      <c r="I11" s="232"/>
      <c r="J11" s="232"/>
      <c r="K11" s="232"/>
      <c r="L11" s="232"/>
      <c r="M11" s="1"/>
      <c r="N11" s="1"/>
    </row>
    <row r="12" spans="1:14" ht="18" customHeight="1">
      <c r="A12" s="1"/>
      <c r="B12" s="230">
        <f>IF(Ff!D51=0,"",(Fläche!E38-Fläche!E39-Fläche!E40-Fläche!E52)/Ff!$D$51)</f>
        <v>5.2314582706640463E-3</v>
      </c>
      <c r="C12" s="1" t="str">
        <f>Texte!A494</f>
        <v>übrige Kulturen</v>
      </c>
      <c r="D12" s="1"/>
      <c r="E12" s="1"/>
      <c r="F12" s="231"/>
      <c r="G12" s="233"/>
      <c r="H12" s="232"/>
      <c r="I12" s="232"/>
      <c r="J12" s="232"/>
      <c r="K12" s="232"/>
      <c r="L12" s="232"/>
      <c r="M12" s="1"/>
      <c r="N12" s="1"/>
    </row>
    <row r="13" spans="1:14" ht="18" customHeight="1">
      <c r="A13" s="1"/>
      <c r="B13" s="230">
        <f>IF(Ff!D51=0,"",SUM(Fläche!N44:N52)/Ff!$D$51)</f>
        <v>0</v>
      </c>
      <c r="C13" s="1" t="str">
        <f>Texte!A495</f>
        <v>Zwischenfrüchte und Gründüngung</v>
      </c>
      <c r="D13" s="1"/>
      <c r="E13" s="1"/>
      <c r="F13" s="231"/>
      <c r="G13" s="233"/>
      <c r="H13" s="232"/>
      <c r="I13" s="232"/>
      <c r="J13" s="232"/>
      <c r="K13" s="232"/>
      <c r="L13" s="232"/>
      <c r="M13" s="1"/>
      <c r="N13" s="1"/>
    </row>
    <row r="14" spans="1:14" ht="18" customHeight="1">
      <c r="A14" s="1"/>
      <c r="B14" s="1"/>
      <c r="C14" s="224"/>
      <c r="D14" s="1"/>
      <c r="E14" s="1"/>
      <c r="F14" s="1"/>
      <c r="G14" s="1"/>
      <c r="H14" s="1"/>
      <c r="I14" s="1"/>
      <c r="J14" s="1"/>
      <c r="K14" s="1"/>
      <c r="L14" s="1"/>
      <c r="M14" s="1"/>
      <c r="N14" s="1"/>
    </row>
    <row r="15" spans="1:14" ht="18" customHeight="1">
      <c r="A15" s="1"/>
      <c r="B15" s="234" t="str">
        <f>Texte!A496</f>
        <v>Fruchtfolgen</v>
      </c>
      <c r="C15" s="224"/>
      <c r="D15" s="1"/>
      <c r="E15" s="1"/>
      <c r="F15" s="1"/>
      <c r="G15" s="1"/>
      <c r="H15" s="1"/>
      <c r="I15" s="1"/>
      <c r="J15" s="1"/>
      <c r="K15" s="1"/>
      <c r="L15" s="1"/>
      <c r="M15" s="1"/>
      <c r="N15" s="1"/>
    </row>
    <row r="16" spans="1:14" ht="18" customHeight="1">
      <c r="A16" s="1"/>
      <c r="B16" s="235"/>
      <c r="C16" s="236" t="str">
        <f>Texte!A498</f>
        <v>1. Jahr</v>
      </c>
      <c r="D16" s="236" t="str">
        <f>Texte!A499</f>
        <v>2. Jahr</v>
      </c>
      <c r="E16" s="236" t="str">
        <f>Texte!A500</f>
        <v>3. Jahr</v>
      </c>
      <c r="F16" s="236" t="str">
        <f>Texte!A501</f>
        <v>4. Jahr</v>
      </c>
      <c r="G16" s="236" t="str">
        <f>Texte!A502</f>
        <v>5. Jahr</v>
      </c>
      <c r="H16" s="236" t="str">
        <f>Texte!A503</f>
        <v>6. Jahr</v>
      </c>
      <c r="I16" s="236" t="str">
        <f>Texte!A504</f>
        <v>7. Jahr</v>
      </c>
      <c r="J16" s="236" t="str">
        <f>Texte!A505</f>
        <v>8. Jahr</v>
      </c>
      <c r="K16" s="236" t="str">
        <f>Texte!A506</f>
        <v>9. Jahr</v>
      </c>
      <c r="L16" s="236" t="str">
        <f>Texte!A507</f>
        <v>10. Jahr</v>
      </c>
      <c r="M16" s="1"/>
      <c r="N16" s="1"/>
    </row>
    <row r="17" spans="1:14" ht="18" customHeight="1">
      <c r="A17" s="1"/>
      <c r="B17" s="235" t="s">
        <v>1803</v>
      </c>
      <c r="C17" s="237"/>
      <c r="D17" s="237"/>
      <c r="E17" s="237"/>
      <c r="F17" s="237"/>
      <c r="G17" s="237"/>
      <c r="H17" s="237"/>
      <c r="I17" s="237"/>
      <c r="J17" s="237"/>
      <c r="K17" s="237"/>
      <c r="L17" s="237"/>
      <c r="M17" s="1"/>
      <c r="N17" s="1"/>
    </row>
    <row r="18" spans="1:14" ht="18" customHeight="1">
      <c r="A18" s="1"/>
      <c r="B18" s="235" t="s">
        <v>1804</v>
      </c>
      <c r="C18" s="237"/>
      <c r="D18" s="237"/>
      <c r="E18" s="237"/>
      <c r="F18" s="237"/>
      <c r="G18" s="237"/>
      <c r="H18" s="237"/>
      <c r="I18" s="237"/>
      <c r="J18" s="237"/>
      <c r="K18" s="237"/>
      <c r="L18" s="237"/>
      <c r="M18" s="1"/>
      <c r="N18" s="1"/>
    </row>
    <row r="19" spans="1:14" ht="18" customHeight="1">
      <c r="A19" s="1"/>
      <c r="B19" s="1"/>
      <c r="C19" s="224"/>
      <c r="D19" s="1"/>
      <c r="E19" s="1"/>
      <c r="F19" s="1"/>
      <c r="G19" s="1"/>
      <c r="H19" s="1"/>
      <c r="I19" s="1"/>
      <c r="J19" s="1"/>
      <c r="K19" s="1"/>
      <c r="L19" s="1"/>
      <c r="M19" s="1"/>
      <c r="N19" s="1"/>
    </row>
    <row r="20" spans="1:14" ht="18" customHeight="1">
      <c r="A20" s="1"/>
      <c r="B20" s="228" t="str">
        <f>Texte!A508</f>
        <v>Nährstoff-Haushalt, Futterbau-Intensität, Güllelagerung</v>
      </c>
      <c r="C20" s="224"/>
      <c r="D20" s="1"/>
      <c r="E20" s="1"/>
      <c r="F20" s="1"/>
      <c r="G20" s="1"/>
      <c r="H20" s="1"/>
      <c r="I20" s="1" t="str">
        <f>Texte!A488</f>
        <v>Bemerkungen:</v>
      </c>
      <c r="J20" s="1"/>
      <c r="K20" s="1"/>
      <c r="L20" s="1"/>
      <c r="M20" s="1"/>
      <c r="N20" s="1"/>
    </row>
    <row r="21" spans="1:14" ht="18" customHeight="1">
      <c r="A21" s="1"/>
      <c r="B21" s="238">
        <f>IF(SUM((Tierb!M9:M31),(Tierb!M33:M38),(Tierb!M40:M49),(Tierb!M52:M61))=0,"",'SB1'!O97/SUM((Tierb!M9:M31),(Tierb!M33:M38),(Tierb!M40:M49),(Tierb!M52:M61)))</f>
        <v>46.335018558812244</v>
      </c>
      <c r="C21" s="224" t="str">
        <f>Texte!A509</f>
        <v>dt TS Feldertrag pro RDGVE</v>
      </c>
      <c r="D21" s="1"/>
      <c r="E21" s="1"/>
      <c r="F21" s="231"/>
      <c r="G21" s="232"/>
      <c r="H21" s="232"/>
      <c r="I21" s="232"/>
      <c r="J21" s="232"/>
      <c r="K21" s="232"/>
      <c r="L21" s="232"/>
      <c r="M21" s="1"/>
      <c r="N21" s="1"/>
    </row>
    <row r="22" spans="1:14" ht="18" customHeight="1">
      <c r="A22" s="1"/>
      <c r="B22" s="238">
        <f>IF(SUM((Tierb!M9:M31),(Tierb!M33:M38),(Tierb!M40:M49),(Tierb!M52:M61))=0,,100*(Fläche!N9+Fläche!N26)/SUM((Tierb!M9:M31),(Tierb!M33:M38),(Tierb!M40:M49),(Tierb!M52:M61)))</f>
        <v>72.920389095097903</v>
      </c>
      <c r="C22" s="224" t="str">
        <f>Texte!A510</f>
        <v>a Hauptfutterfläche pro RDGVE</v>
      </c>
      <c r="D22" s="1"/>
      <c r="E22" s="1"/>
      <c r="F22" s="231"/>
      <c r="G22" s="232"/>
      <c r="H22" s="232"/>
      <c r="I22" s="232"/>
      <c r="J22" s="232"/>
      <c r="K22" s="232"/>
      <c r="L22" s="232"/>
      <c r="M22" s="1"/>
      <c r="N22" s="1"/>
    </row>
    <row r="23" spans="1:14" ht="18" customHeight="1">
      <c r="A23" s="1"/>
      <c r="B23" s="239">
        <f>IF('SB1'!Q41&lt;&gt;0,('SB1'!Q41/105+'SB1'!S41/35)/2,Tierb!M80)</f>
        <v>58.32295238095238</v>
      </c>
      <c r="C23" s="224" t="str">
        <f>Texte!A511</f>
        <v>DGVE Tiere eigen</v>
      </c>
      <c r="D23" s="1"/>
      <c r="E23" s="1"/>
      <c r="F23" s="231"/>
      <c r="G23" s="232"/>
      <c r="H23" s="232"/>
      <c r="I23" s="232"/>
      <c r="J23" s="232"/>
      <c r="K23" s="232"/>
      <c r="L23" s="232"/>
      <c r="M23" s="1"/>
      <c r="N23" s="1"/>
    </row>
    <row r="24" spans="1:14" ht="18" customHeight="1">
      <c r="A24" s="1"/>
      <c r="B24" s="239">
        <f>IF(AND(SUM('SB2'!H116:H118)=0,SUM('SB2'!J116:J118)=0),0,IF(ABS(SUM('SB2'!H116:H118)/89)&gt;ABS(SUM('SB2'!J116:J118)/35),SUM('SB2'!H116:H118)/89,SUM('SB2'!J116:J118)/35))</f>
        <v>71.938977978869374</v>
      </c>
      <c r="C24" s="224" t="str">
        <f>Texte!A512</f>
        <v>Dünger zugeführt (in DGVE)</v>
      </c>
      <c r="D24" s="1"/>
      <c r="E24" s="1"/>
      <c r="F24" s="231"/>
      <c r="G24" s="232"/>
      <c r="H24" s="232"/>
      <c r="I24" s="232"/>
      <c r="J24" s="232"/>
      <c r="K24" s="232"/>
      <c r="L24" s="232"/>
      <c r="M24" s="1"/>
      <c r="N24" s="1"/>
    </row>
    <row r="25" spans="1:14" ht="18" customHeight="1">
      <c r="A25" s="1"/>
      <c r="B25" s="239">
        <f>SUM(B23:B24)</f>
        <v>130.26193035982175</v>
      </c>
      <c r="C25" s="224" t="str">
        <f>Texte!A513</f>
        <v>DGVE Total</v>
      </c>
      <c r="D25" s="1"/>
      <c r="E25" s="1"/>
      <c r="F25" s="231"/>
      <c r="G25" s="232"/>
      <c r="H25" s="232"/>
      <c r="I25" s="232"/>
      <c r="J25" s="232"/>
      <c r="K25" s="232"/>
      <c r="L25" s="232"/>
      <c r="M25" s="1"/>
      <c r="N25" s="1"/>
    </row>
    <row r="26" spans="1:14" ht="18" customHeight="1">
      <c r="A26" s="1"/>
      <c r="B26" s="239">
        <f>IF(Fläche!N38=0,"",B25/Fläche!N38)</f>
        <v>0.94799654720569837</v>
      </c>
      <c r="C26" s="224" t="str">
        <f>Texte!A514</f>
        <v>DGVE / ha LN</v>
      </c>
      <c r="D26" s="1"/>
      <c r="E26" s="1"/>
      <c r="F26" s="231"/>
      <c r="G26" s="232"/>
      <c r="H26" s="232"/>
      <c r="I26" s="232"/>
      <c r="J26" s="232"/>
      <c r="K26" s="232"/>
      <c r="L26" s="232"/>
      <c r="M26" s="1"/>
      <c r="N26" s="1"/>
    </row>
    <row r="27" spans="1:14" ht="18" customHeight="1">
      <c r="A27" s="1"/>
      <c r="B27" s="239">
        <f>IF(Kennz!G18=0,"",B25/Kennz!G18)</f>
        <v>1.1125339738877107</v>
      </c>
      <c r="C27" s="224" t="str">
        <f>Texte!A515</f>
        <v>DGVE / ha düngbare Fläche</v>
      </c>
      <c r="D27" s="1"/>
      <c r="E27" s="1"/>
      <c r="F27" s="231"/>
      <c r="G27" s="232"/>
      <c r="H27" s="232"/>
      <c r="I27" s="232"/>
      <c r="J27" s="232"/>
      <c r="K27" s="232"/>
      <c r="L27" s="232"/>
      <c r="M27" s="1"/>
      <c r="N27" s="1"/>
    </row>
    <row r="28" spans="1:14" ht="18" customHeight="1">
      <c r="A28" s="1"/>
      <c r="B28" s="1" t="str">
        <f>Texte!A516</f>
        <v>Nährstoffhaushalt Gesamtbilanz pro ha DF</v>
      </c>
      <c r="C28" s="224"/>
      <c r="D28" s="1"/>
      <c r="E28" s="1"/>
      <c r="F28" s="235" t="str">
        <f>Texte!A517</f>
        <v>Stickstoff</v>
      </c>
      <c r="G28" s="240">
        <f>'SB2'!R120</f>
        <v>-32.598927063739332</v>
      </c>
      <c r="H28" s="890">
        <f>'SB2'!I120</f>
        <v>68.146688556337665</v>
      </c>
      <c r="I28" s="1"/>
      <c r="J28" s="235" t="str">
        <f>Texte!A518</f>
        <v>Phosphor</v>
      </c>
      <c r="K28" s="241">
        <f>'SB2'!S120</f>
        <v>-11.463786624851176</v>
      </c>
      <c r="L28" s="890">
        <f>'SB2'!K120</f>
        <v>73.88722945854721</v>
      </c>
      <c r="M28" s="1"/>
      <c r="N28" s="1"/>
    </row>
    <row r="29" spans="1:14" ht="5.0999999999999996" customHeight="1">
      <c r="A29" s="1"/>
      <c r="B29" s="1"/>
      <c r="C29" s="224"/>
      <c r="D29" s="1"/>
      <c r="E29" s="1"/>
      <c r="F29" s="1"/>
      <c r="G29" s="242"/>
      <c r="H29" s="243"/>
      <c r="I29" s="1"/>
      <c r="J29" s="1"/>
      <c r="K29" s="244"/>
      <c r="L29" s="243"/>
      <c r="M29" s="1"/>
      <c r="N29" s="1"/>
    </row>
    <row r="30" spans="1:14" ht="18" customHeight="1">
      <c r="A30" s="1"/>
      <c r="B30" s="245" t="str">
        <f>IF((Hd!StartZelle+Hd!$N$5)=0,"",Hd!N37/(Hd!StartZelle+Hd!$N$5))</f>
        <v/>
      </c>
      <c r="C30" s="224" t="str">
        <f>Texte!A519</f>
        <v>Gülleanfall pro Monat unverdünnt</v>
      </c>
      <c r="D30" s="1"/>
      <c r="E30" s="1"/>
      <c r="F30" s="231"/>
      <c r="G30" s="233"/>
      <c r="H30" s="233"/>
      <c r="I30" s="233"/>
      <c r="J30" s="233"/>
      <c r="K30" s="233"/>
      <c r="L30" s="233"/>
      <c r="M30" s="1"/>
      <c r="N30" s="1"/>
    </row>
    <row r="31" spans="1:14" ht="18" customHeight="1">
      <c r="A31" s="1"/>
      <c r="B31" s="245" t="str">
        <f>IF((Hd!StartZelle+Hd!$N$5)=0,"",Hd!N63/(Hd!StartZelle+Hd!$N$5))</f>
        <v/>
      </c>
      <c r="C31" s="224" t="str">
        <f>Texte!A520</f>
        <v>Gülleanfall pro Monat verdünnt</v>
      </c>
      <c r="D31" s="1"/>
      <c r="E31" s="1"/>
      <c r="F31" s="231"/>
      <c r="G31" s="233"/>
      <c r="H31" s="233"/>
      <c r="I31" s="233"/>
      <c r="J31" s="233"/>
      <c r="K31" s="233"/>
      <c r="L31" s="233"/>
      <c r="M31" s="1"/>
      <c r="N31" s="1"/>
    </row>
    <row r="32" spans="1:14" ht="18" customHeight="1">
      <c r="A32" s="1"/>
      <c r="B32" s="245">
        <f>Hd!N64</f>
        <v>0</v>
      </c>
      <c r="C32" s="224" t="str">
        <f>Texte!A521</f>
        <v xml:space="preserve">vorhandener Güllelagerraum reicht für </v>
      </c>
      <c r="D32" s="1"/>
      <c r="E32" s="1"/>
      <c r="F32" s="246"/>
      <c r="G32" s="247" t="str">
        <f>IF(OR(B31="",B31=0),Texte!A522,B32/B31)</f>
        <v>Angabe Gülleanfall fehlt!</v>
      </c>
      <c r="H32" s="248"/>
      <c r="I32" s="231"/>
      <c r="J32" s="233"/>
      <c r="K32" s="233"/>
      <c r="L32" s="233"/>
      <c r="M32" s="1"/>
      <c r="N32" s="1"/>
    </row>
    <row r="33" spans="1:14" ht="18" customHeight="1">
      <c r="A33" s="1"/>
      <c r="B33" s="1"/>
      <c r="C33" s="224"/>
      <c r="D33" s="1"/>
      <c r="E33" s="1"/>
      <c r="F33" s="1"/>
      <c r="G33" s="249"/>
      <c r="H33" s="1"/>
      <c r="I33" s="1"/>
      <c r="J33" s="1"/>
      <c r="K33" s="1"/>
      <c r="L33" s="1"/>
      <c r="M33" s="1"/>
      <c r="N33" s="1"/>
    </row>
    <row r="34" spans="1:14" ht="18" customHeight="1">
      <c r="A34" s="1"/>
      <c r="B34" s="228" t="str">
        <f>Texte!A523</f>
        <v>Futter- und Strohbilanz</v>
      </c>
      <c r="C34" s="224"/>
      <c r="D34" s="1"/>
      <c r="E34" s="1"/>
      <c r="F34" s="1"/>
      <c r="G34" s="1"/>
      <c r="H34" s="1" t="str">
        <f>Texte!A488</f>
        <v>Bemerkungen:</v>
      </c>
      <c r="I34" s="1"/>
      <c r="J34" s="1"/>
      <c r="K34" s="1"/>
      <c r="L34" s="1"/>
      <c r="M34" s="1"/>
      <c r="N34" s="1"/>
    </row>
    <row r="35" spans="1:14" ht="18" customHeight="1">
      <c r="A35" s="1"/>
      <c r="B35" s="1" t="str">
        <f>Texte!A524</f>
        <v>Strohüberschuss (+),-bedarf(-)</v>
      </c>
      <c r="C35" s="224"/>
      <c r="D35" s="1"/>
      <c r="E35" s="250">
        <f>Hd!L31-Hd!L32</f>
        <v>0</v>
      </c>
      <c r="F35" s="1"/>
      <c r="G35" s="1"/>
      <c r="H35" s="231"/>
      <c r="I35" s="233"/>
      <c r="J35" s="233"/>
      <c r="K35" s="233"/>
      <c r="L35" s="233"/>
      <c r="M35" s="1"/>
      <c r="N35" s="1"/>
    </row>
    <row r="36" spans="1:14" ht="18" customHeight="1">
      <c r="A36" s="1"/>
      <c r="B36" s="43" t="str">
        <f>Texte!A525</f>
        <v>Futterzukauf %</v>
      </c>
      <c r="C36" s="224"/>
      <c r="D36" s="1"/>
      <c r="E36" s="2" t="str">
        <f>Texte!A526</f>
        <v>konv.</v>
      </c>
      <c r="F36" s="2" t="str">
        <f>Texte!A527</f>
        <v>bio</v>
      </c>
      <c r="G36" s="2" t="str">
        <f>Texte!A528</f>
        <v>total</v>
      </c>
      <c r="H36" s="251"/>
      <c r="I36" s="251"/>
      <c r="J36" s="251"/>
      <c r="K36" s="251"/>
      <c r="L36" s="251"/>
      <c r="M36" s="1"/>
      <c r="N36" s="1"/>
    </row>
    <row r="37" spans="1:14" ht="18" customHeight="1">
      <c r="A37" s="1"/>
      <c r="B37" s="43" t="str">
        <f>Texte!A529</f>
        <v>Raufutterverzehrer</v>
      </c>
      <c r="C37" s="224"/>
      <c r="D37" s="1"/>
      <c r="E37" s="942">
        <f>Fzukauf!M6</f>
        <v>0</v>
      </c>
      <c r="F37" s="942">
        <f>Fzukauf!N6</f>
        <v>0</v>
      </c>
      <c r="G37" s="942">
        <f>Fzukauf!O6</f>
        <v>0</v>
      </c>
      <c r="H37" s="251"/>
      <c r="I37" s="251"/>
      <c r="J37" s="251"/>
      <c r="K37" s="251"/>
      <c r="L37" s="251"/>
      <c r="M37" s="1"/>
      <c r="N37" s="1"/>
    </row>
    <row r="38" spans="1:14" ht="18" customHeight="1">
      <c r="A38" s="1"/>
      <c r="B38" s="1" t="str">
        <f>Texte!A530</f>
        <v>Milchkühe und Aufzucht</v>
      </c>
      <c r="C38" s="224"/>
      <c r="D38" s="1"/>
      <c r="E38" s="252">
        <f>Fzukauf!M7</f>
        <v>0</v>
      </c>
      <c r="F38" s="252">
        <f>Fzukauf!N7</f>
        <v>0</v>
      </c>
      <c r="G38" s="252" t="str">
        <f>Fzukauf!O7</f>
        <v/>
      </c>
      <c r="H38" s="231"/>
      <c r="I38" s="233"/>
      <c r="J38" s="233"/>
      <c r="K38" s="233"/>
      <c r="L38" s="233"/>
      <c r="M38" s="1"/>
      <c r="N38" s="1"/>
    </row>
    <row r="39" spans="1:14" ht="18" customHeight="1">
      <c r="A39" s="1"/>
      <c r="B39" s="1" t="str">
        <f>Texte!A531</f>
        <v>Mutterkühe und Mastvieh</v>
      </c>
      <c r="C39" s="224"/>
      <c r="D39" s="1"/>
      <c r="E39" s="252">
        <f>Fzukauf!M15</f>
        <v>0</v>
      </c>
      <c r="F39" s="252">
        <f>Fzukauf!N15</f>
        <v>0</v>
      </c>
      <c r="G39" s="252">
        <f>Fzukauf!O15</f>
        <v>0</v>
      </c>
      <c r="H39" s="231"/>
      <c r="I39" s="233"/>
      <c r="J39" s="233"/>
      <c r="K39" s="233"/>
      <c r="L39" s="233"/>
      <c r="M39" s="1"/>
      <c r="N39" s="1"/>
    </row>
    <row r="40" spans="1:14" ht="18" customHeight="1" thickBot="1">
      <c r="A40" s="1"/>
      <c r="B40" s="1" t="str">
        <f>Texte!A532</f>
        <v>übrige RGVE</v>
      </c>
      <c r="C40" s="224"/>
      <c r="D40" s="1"/>
      <c r="E40" s="252">
        <f>Fzukauf!M23</f>
        <v>0</v>
      </c>
      <c r="F40" s="252">
        <f>Fzukauf!N23</f>
        <v>0</v>
      </c>
      <c r="G40" s="252">
        <f>Fzukauf!O23</f>
        <v>0</v>
      </c>
      <c r="H40" s="231"/>
      <c r="I40" s="233"/>
      <c r="J40" s="233"/>
      <c r="K40" s="233"/>
      <c r="L40" s="233"/>
      <c r="M40" s="1"/>
      <c r="N40" s="1"/>
    </row>
    <row r="41" spans="1:14" ht="18" customHeight="1" thickTop="1">
      <c r="A41" s="1"/>
      <c r="B41" s="43" t="str">
        <f>Texte!A533</f>
        <v>Übrige Tiere</v>
      </c>
      <c r="C41" s="224"/>
      <c r="D41" s="1"/>
      <c r="E41" s="954">
        <f>Fzukauf!M31</f>
        <v>0</v>
      </c>
      <c r="F41" s="954">
        <f>Fzukauf!N31</f>
        <v>0</v>
      </c>
      <c r="G41" s="954">
        <f>Fzukauf!O31</f>
        <v>0</v>
      </c>
      <c r="H41" s="955"/>
      <c r="I41" s="956"/>
      <c r="J41" s="956"/>
      <c r="K41" s="956"/>
      <c r="L41" s="956"/>
      <c r="M41" s="1"/>
      <c r="N41" s="1"/>
    </row>
    <row r="42" spans="1:14" ht="18" customHeight="1">
      <c r="A42" s="1"/>
      <c r="B42" s="1" t="str">
        <f>Texte!A534</f>
        <v>Zuchtschweine und Ferkel</v>
      </c>
      <c r="C42" s="224"/>
      <c r="D42" s="1"/>
      <c r="E42" s="252">
        <f>Fzukauf!M32</f>
        <v>0</v>
      </c>
      <c r="F42" s="252">
        <f>Fzukauf!N32</f>
        <v>0</v>
      </c>
      <c r="G42" s="252">
        <f>Fzukauf!O32</f>
        <v>0</v>
      </c>
      <c r="H42" s="231"/>
      <c r="I42" s="233"/>
      <c r="J42" s="233"/>
      <c r="K42" s="233"/>
      <c r="L42" s="233"/>
      <c r="M42" s="1"/>
      <c r="N42" s="1"/>
    </row>
    <row r="43" spans="1:14" ht="18" customHeight="1">
      <c r="A43" s="1"/>
      <c r="B43" s="1" t="str">
        <f>Texte!A535</f>
        <v>Mastschweine</v>
      </c>
      <c r="C43" s="224"/>
      <c r="D43" s="1"/>
      <c r="E43" s="252">
        <f>Fzukauf!M40</f>
        <v>0</v>
      </c>
      <c r="F43" s="252">
        <f>Fzukauf!N40</f>
        <v>0</v>
      </c>
      <c r="G43" s="252">
        <f>Fzukauf!O40</f>
        <v>0</v>
      </c>
      <c r="H43" s="231"/>
      <c r="I43" s="233"/>
      <c r="J43" s="233"/>
      <c r="K43" s="233"/>
      <c r="L43" s="233"/>
      <c r="M43" s="1"/>
      <c r="N43" s="1"/>
    </row>
    <row r="44" spans="1:14" ht="18" customHeight="1">
      <c r="A44" s="1"/>
      <c r="B44" s="1" t="str">
        <f>Texte!A536</f>
        <v>Legehennen</v>
      </c>
      <c r="C44" s="224"/>
      <c r="D44" s="1"/>
      <c r="E44" s="252">
        <f>Fzukauf!M48</f>
        <v>0</v>
      </c>
      <c r="F44" s="252">
        <f>Fzukauf!N48</f>
        <v>0</v>
      </c>
      <c r="G44" s="252">
        <f>Fzukauf!O48</f>
        <v>0</v>
      </c>
      <c r="H44" s="231"/>
      <c r="I44" s="233"/>
      <c r="J44" s="233"/>
      <c r="K44" s="233"/>
      <c r="L44" s="233"/>
      <c r="M44" s="1"/>
      <c r="N44" s="1"/>
    </row>
    <row r="45" spans="1:14" ht="18" customHeight="1">
      <c r="A45" s="1"/>
      <c r="B45" s="1" t="str">
        <f>Texte!A537</f>
        <v>Mastgeflügel</v>
      </c>
      <c r="C45" s="224"/>
      <c r="D45" s="1"/>
      <c r="E45" s="252">
        <f>Fzukauf!M56</f>
        <v>0</v>
      </c>
      <c r="F45" s="252">
        <f>Fzukauf!N56</f>
        <v>0</v>
      </c>
      <c r="G45" s="252">
        <f>Fzukauf!O56</f>
        <v>0</v>
      </c>
      <c r="H45" s="231"/>
      <c r="I45" s="233"/>
      <c r="J45" s="233"/>
      <c r="K45" s="233"/>
      <c r="L45" s="233"/>
      <c r="M45" s="1"/>
      <c r="N45" s="1"/>
    </row>
    <row r="46" spans="1:14" ht="18" customHeight="1">
      <c r="A46" s="1"/>
      <c r="B46" s="1" t="str">
        <f>Texte!A538</f>
        <v>Gesamtbetrieb</v>
      </c>
      <c r="C46" s="224"/>
      <c r="D46" s="1"/>
      <c r="E46" s="252">
        <f>Fzukauf!M65</f>
        <v>0</v>
      </c>
      <c r="F46" s="252">
        <f>Fzukauf!N65</f>
        <v>0</v>
      </c>
      <c r="G46" s="252">
        <f>Fzukauf!O65</f>
        <v>0</v>
      </c>
      <c r="H46" s="231"/>
      <c r="I46" s="233"/>
      <c r="J46" s="233"/>
      <c r="K46" s="233"/>
      <c r="L46" s="233"/>
      <c r="M46" s="1"/>
      <c r="N46" s="1"/>
    </row>
    <row r="47" spans="1:14" ht="18" customHeight="1">
      <c r="A47" s="1"/>
      <c r="B47" s="1"/>
      <c r="C47" s="224"/>
      <c r="D47" s="1"/>
      <c r="E47" s="1"/>
      <c r="F47" s="1"/>
      <c r="G47" s="1"/>
      <c r="H47" s="1"/>
      <c r="I47" s="1"/>
      <c r="J47" s="1"/>
      <c r="K47" s="1"/>
      <c r="L47" s="1"/>
      <c r="M47" s="1"/>
      <c r="N47" s="1"/>
    </row>
    <row r="48" spans="1:14" ht="18" customHeight="1">
      <c r="A48" s="1"/>
      <c r="B48" s="43" t="str">
        <f>Texte!A539</f>
        <v>Biodiversitätsförderung</v>
      </c>
      <c r="C48" s="224"/>
      <c r="D48" s="1"/>
      <c r="E48" s="1" t="str">
        <f>Texte!A488</f>
        <v>Bemerkungen:</v>
      </c>
      <c r="F48" s="1"/>
      <c r="G48" s="1"/>
      <c r="H48" s="1"/>
      <c r="I48" s="1"/>
      <c r="J48" s="1"/>
      <c r="K48" s="1"/>
      <c r="L48" s="1"/>
      <c r="M48" s="1"/>
      <c r="N48" s="1"/>
    </row>
    <row r="49" spans="1:14" ht="18" customHeight="1">
      <c r="A49" s="1"/>
      <c r="B49" s="253">
        <f>Kennz!I44</f>
        <v>28.380453482922331</v>
      </c>
      <c r="C49" s="224" t="str">
        <f>Texte!A540</f>
        <v>BFF an der LN</v>
      </c>
      <c r="D49" s="1"/>
      <c r="E49" s="231"/>
      <c r="F49" s="233"/>
      <c r="G49" s="233"/>
      <c r="H49" s="233"/>
      <c r="I49" s="233"/>
      <c r="J49" s="233"/>
      <c r="K49" s="233"/>
      <c r="L49" s="233"/>
      <c r="M49" s="1"/>
      <c r="N49" s="1"/>
    </row>
    <row r="50" spans="1:14" ht="18" customHeight="1">
      <c r="A50" s="1"/>
      <c r="B50" s="253">
        <f>Kennz!I60</f>
        <v>65.457124016512665</v>
      </c>
      <c r="C50" s="224" t="str">
        <f>Texte!A541</f>
        <v>BFF Grünland</v>
      </c>
      <c r="D50" s="1"/>
      <c r="E50" s="231"/>
      <c r="F50" s="233"/>
      <c r="G50" s="233"/>
      <c r="H50" s="233"/>
      <c r="I50" s="233"/>
      <c r="J50" s="233"/>
      <c r="K50" s="233"/>
      <c r="L50" s="233"/>
      <c r="M50" s="1"/>
      <c r="N50" s="1"/>
    </row>
    <row r="51" spans="1:14" ht="18" customHeight="1">
      <c r="A51" s="1"/>
      <c r="B51" s="1"/>
      <c r="C51" s="1"/>
      <c r="D51" s="1"/>
      <c r="E51" s="1"/>
      <c r="F51" s="1"/>
      <c r="G51" s="1"/>
      <c r="H51" s="1"/>
      <c r="I51" s="1"/>
      <c r="J51" s="1"/>
      <c r="K51" s="1"/>
      <c r="L51" s="1"/>
      <c r="M51" s="1"/>
      <c r="N51" s="1"/>
    </row>
  </sheetData>
  <sheetProtection algorithmName="SHA-512" hashValue="hPLieo2AdqQ+0L+Gx0LrZPSzf0180GTU2EtwXmk1lhkE3zjKEMYlSfZOXcLnhm58YZ5L5ohZ/95YFuycuJH27Q==" saltValue="K/j1ojunh0cF+BRjnmE3xg==" spinCount="100000" sheet="1" objects="1" scenarios="1"/>
  <phoneticPr fontId="65" type="noConversion"/>
  <pageMargins left="0.73" right="0.13" top="0.59055118110236227" bottom="0.59055118110236227" header="0" footer="0.39370078740157483"/>
  <pageSetup paperSize="9" scale="88" orientation="portrait" r:id="rId1"/>
  <headerFooter alignWithMargins="0">
    <oddFooter>&amp;C&amp;9&amp;F&amp;R&amp;"Arial,Standard"&amp;9Seite &amp;P&amp;L&amp;"Arial,Fett"&amp;11AGRIDEA &amp;"Arial,Standard"&amp;9 Nachweis Version 9.9</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indexed="26"/>
    <pageSetUpPr fitToPage="1"/>
  </sheetPr>
  <dimension ref="A1:O65"/>
  <sheetViews>
    <sheetView showGridLines="0" showRowColHeaders="0" showZeros="0" topLeftCell="A22"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5.7109375" customWidth="1"/>
    <col min="3" max="3" width="20.7109375" customWidth="1"/>
    <col min="4" max="4" width="9.28515625" customWidth="1"/>
    <col min="9" max="9" width="13.28515625" customWidth="1"/>
    <col min="12" max="12" width="13" customWidth="1"/>
  </cols>
  <sheetData>
    <row r="1" spans="1:15" ht="42" customHeight="1">
      <c r="A1" s="1"/>
      <c r="B1" s="19" t="str">
        <f>Q!NW_Tit</f>
        <v xml:space="preserve">                                   Nachweis</v>
      </c>
      <c r="C1" s="1"/>
      <c r="D1" s="254"/>
      <c r="E1" s="255"/>
      <c r="F1" s="255"/>
      <c r="G1" s="255"/>
      <c r="H1" s="257" t="str">
        <f>Q!F17</f>
        <v>Futterzukauf</v>
      </c>
      <c r="I1" s="257"/>
      <c r="J1" s="1"/>
      <c r="K1" s="1"/>
      <c r="L1" s="258" t="str">
        <f>Texte!A543</f>
        <v>Futterverzehr Kontrollspalten</v>
      </c>
      <c r="M1" s="259"/>
      <c r="N1" s="259"/>
      <c r="O1" s="259"/>
    </row>
    <row r="2" spans="1:15" ht="11.1" customHeight="1" thickBot="1">
      <c r="A2" s="1"/>
      <c r="B2" s="21"/>
      <c r="C2" s="21"/>
      <c r="D2" s="260"/>
      <c r="E2" s="261"/>
      <c r="F2" s="261"/>
      <c r="G2" s="261"/>
      <c r="H2" s="262"/>
      <c r="I2" s="256"/>
      <c r="J2" s="1"/>
      <c r="K2" s="1"/>
      <c r="L2" s="263"/>
      <c r="M2" s="259"/>
      <c r="N2" s="1"/>
      <c r="O2" s="259"/>
    </row>
    <row r="3" spans="1:15" ht="21.95" customHeight="1">
      <c r="A3" s="1"/>
      <c r="B3" s="1861" t="str">
        <f>Texte!A13</f>
        <v>Betrieb:</v>
      </c>
      <c r="C3" s="572" t="str">
        <f>Allg!$C$9&amp;""</f>
        <v>Imhof &amp; Zaehner Betriebsgemeinschaft</v>
      </c>
      <c r="D3" s="1864" t="str">
        <f>Texte!A14</f>
        <v>Variante:</v>
      </c>
      <c r="E3" s="1865" t="str">
        <f>Allg!$G$7&amp;""</f>
        <v/>
      </c>
      <c r="F3" s="1865"/>
      <c r="G3" s="1866" t="str">
        <f>Texte!A15</f>
        <v>Jahr:</v>
      </c>
      <c r="H3" s="1867" t="str">
        <f>Allg!$G$6&amp;""</f>
        <v>2026</v>
      </c>
      <c r="I3" s="1867"/>
      <c r="J3" s="1"/>
      <c r="K3" s="1"/>
      <c r="L3" s="263"/>
      <c r="M3" s="259"/>
      <c r="N3" s="259"/>
      <c r="O3" s="259"/>
    </row>
    <row r="4" spans="1:15" ht="9.9499999999999993" customHeight="1">
      <c r="A4" s="1"/>
      <c r="B4" s="80"/>
      <c r="C4" s="80"/>
      <c r="D4" s="264"/>
      <c r="E4" s="265"/>
      <c r="F4" s="265"/>
      <c r="G4" s="265"/>
      <c r="H4" s="265"/>
      <c r="I4" s="265"/>
      <c r="J4" s="1"/>
      <c r="K4" s="1"/>
      <c r="L4" s="263"/>
      <c r="M4" s="259"/>
      <c r="N4" s="259"/>
      <c r="O4" s="259"/>
    </row>
    <row r="5" spans="1:15" ht="39" thickBot="1">
      <c r="A5" s="1"/>
      <c r="B5" s="266" t="str">
        <f>Texte!A544</f>
        <v>Futtermittel</v>
      </c>
      <c r="C5" s="12"/>
      <c r="D5" s="533" t="str">
        <f>Texte!A545</f>
        <v>% TS</v>
      </c>
      <c r="E5" s="957" t="str">
        <f>Texte!A546</f>
        <v>Futter-menge 
dt FS</v>
      </c>
      <c r="F5" s="957" t="str">
        <f>Texte!A547</f>
        <v>Futter-menge 
dt TS</v>
      </c>
      <c r="G5" s="957" t="str">
        <f>Texte!A548</f>
        <v>davon konv. dt TS</v>
      </c>
      <c r="H5" s="957" t="str">
        <f>Texte!A549</f>
        <v>davon bio   dt TS</v>
      </c>
      <c r="I5" s="958" t="str">
        <f>Texte!A550</f>
        <v>Futterverzehr dt TS</v>
      </c>
      <c r="J5" s="1"/>
      <c r="K5" s="1"/>
      <c r="L5" s="267" t="str">
        <f>Texte!A551</f>
        <v>Futterverzehr nach DGVE (Bio Suisse)</v>
      </c>
      <c r="M5" s="268" t="str">
        <f>Texte!A552</f>
        <v>Futter-zukauf konv %</v>
      </c>
      <c r="N5" s="268" t="str">
        <f>Texte!A553</f>
        <v>Futter-zukauf bio %</v>
      </c>
      <c r="O5" s="268" t="str">
        <f>Texte!A554</f>
        <v>Futter-zukauf total %</v>
      </c>
    </row>
    <row r="6" spans="1:15" ht="15.75" thickBot="1">
      <c r="A6" s="1"/>
      <c r="B6" s="938" t="str">
        <f>Texte!A555</f>
        <v>Raufutterverzehrer</v>
      </c>
      <c r="C6" s="12"/>
      <c r="D6" s="939"/>
      <c r="E6" s="940"/>
      <c r="F6" s="953">
        <f>F7+F15+F23</f>
        <v>0</v>
      </c>
      <c r="G6" s="953">
        <f>G7+G15+G23</f>
        <v>0</v>
      </c>
      <c r="H6" s="953">
        <f>H7+H15+H23</f>
        <v>0</v>
      </c>
      <c r="I6" s="953">
        <f>L6</f>
        <v>8324.8000000000011</v>
      </c>
      <c r="J6" s="1"/>
      <c r="K6" s="1"/>
      <c r="L6" s="941">
        <f>L7+L15+L23</f>
        <v>8324.8000000000011</v>
      </c>
      <c r="M6" s="274">
        <f>IF($L6=0,,(G6/$L6))</f>
        <v>0</v>
      </c>
      <c r="N6" s="274">
        <f>IF($L6=0,,(H6/$L6))</f>
        <v>0</v>
      </c>
      <c r="O6" s="274">
        <f>IF($L6=0,"",(F6/$L6))</f>
        <v>0</v>
      </c>
    </row>
    <row r="7" spans="1:15" ht="13.5" thickBot="1">
      <c r="A7" s="1"/>
      <c r="B7" s="269" t="str">
        <f>Texte!A556</f>
        <v>Milchkühe und Aufzucht</v>
      </c>
      <c r="C7" s="270"/>
      <c r="D7" s="271"/>
      <c r="E7" s="272"/>
      <c r="F7" s="951">
        <f>SUM(F8:F14)</f>
        <v>0</v>
      </c>
      <c r="G7" s="951">
        <f>SUM(G8:G14)</f>
        <v>0</v>
      </c>
      <c r="H7" s="951">
        <f>SUM(H8:H14)</f>
        <v>0</v>
      </c>
      <c r="I7" s="952">
        <f>L7</f>
        <v>0</v>
      </c>
      <c r="J7" s="1"/>
      <c r="K7" s="1"/>
      <c r="L7" s="273">
        <f>(Tierb!MiKuh*(1+(Tierb!MilchMenge-5000)*0.0001)+SUM(Tierb!M11:M14))*55</f>
        <v>0</v>
      </c>
      <c r="M7" s="274">
        <f>IF($L7=0,,(G7/$L7))</f>
        <v>0</v>
      </c>
      <c r="N7" s="274">
        <f>IF($L7=0,,(H7/$L7))</f>
        <v>0</v>
      </c>
      <c r="O7" s="274" t="str">
        <f>IF($L7=0,"",(F7/$L7))</f>
        <v/>
      </c>
    </row>
    <row r="8" spans="1:15" ht="12.75">
      <c r="A8" s="1"/>
      <c r="B8" s="275"/>
      <c r="C8" s="276"/>
      <c r="D8" s="277"/>
      <c r="E8" s="943"/>
      <c r="F8" s="944">
        <f t="shared" ref="F8:F14" si="0">+E8*D8</f>
        <v>0</v>
      </c>
      <c r="G8" s="945"/>
      <c r="H8" s="946"/>
      <c r="I8" s="278"/>
      <c r="J8" s="1"/>
      <c r="K8" s="1"/>
      <c r="L8" s="280"/>
      <c r="M8" s="282"/>
      <c r="N8" s="282"/>
      <c r="O8" s="282"/>
    </row>
    <row r="9" spans="1:15" ht="12.75">
      <c r="A9" s="1"/>
      <c r="B9" s="275"/>
      <c r="C9" s="276"/>
      <c r="D9" s="277"/>
      <c r="E9" s="943"/>
      <c r="F9" s="947">
        <f t="shared" si="0"/>
        <v>0</v>
      </c>
      <c r="G9" s="943"/>
      <c r="H9" s="948"/>
      <c r="I9" s="278"/>
      <c r="J9" s="1"/>
      <c r="K9" s="1"/>
      <c r="L9" s="279"/>
      <c r="M9" s="281"/>
      <c r="N9" s="281"/>
      <c r="O9" s="281"/>
    </row>
    <row r="10" spans="1:15" ht="12.75">
      <c r="A10" s="1"/>
      <c r="B10" s="275"/>
      <c r="C10" s="276"/>
      <c r="D10" s="277"/>
      <c r="E10" s="943"/>
      <c r="F10" s="947">
        <f t="shared" si="0"/>
        <v>0</v>
      </c>
      <c r="G10" s="943"/>
      <c r="H10" s="948"/>
      <c r="I10" s="278"/>
      <c r="J10" s="1"/>
      <c r="K10" s="1"/>
      <c r="L10" s="279"/>
      <c r="M10" s="281"/>
      <c r="N10" s="281"/>
      <c r="O10" s="281"/>
    </row>
    <row r="11" spans="1:15" ht="12.75">
      <c r="A11" s="1"/>
      <c r="B11" s="275"/>
      <c r="C11" s="276"/>
      <c r="D11" s="277"/>
      <c r="E11" s="943"/>
      <c r="F11" s="947">
        <f t="shared" si="0"/>
        <v>0</v>
      </c>
      <c r="G11" s="943"/>
      <c r="H11" s="948"/>
      <c r="I11" s="278"/>
      <c r="J11" s="1"/>
      <c r="K11" s="1"/>
      <c r="L11" s="279"/>
      <c r="M11" s="281"/>
      <c r="N11" s="281"/>
      <c r="O11" s="281"/>
    </row>
    <row r="12" spans="1:15" ht="12.75">
      <c r="A12" s="1"/>
      <c r="B12" s="275"/>
      <c r="C12" s="276"/>
      <c r="D12" s="277"/>
      <c r="E12" s="943"/>
      <c r="F12" s="947">
        <f t="shared" si="0"/>
        <v>0</v>
      </c>
      <c r="G12" s="943"/>
      <c r="H12" s="948"/>
      <c r="I12" s="278"/>
      <c r="J12" s="1"/>
      <c r="K12" s="1"/>
      <c r="L12" s="279"/>
      <c r="M12" s="281"/>
      <c r="N12" s="281"/>
      <c r="O12" s="281"/>
    </row>
    <row r="13" spans="1:15" ht="12.75">
      <c r="A13" s="1"/>
      <c r="B13" s="275"/>
      <c r="C13" s="276"/>
      <c r="D13" s="277"/>
      <c r="E13" s="943"/>
      <c r="F13" s="947">
        <f t="shared" si="0"/>
        <v>0</v>
      </c>
      <c r="G13" s="943"/>
      <c r="H13" s="948"/>
      <c r="I13" s="278"/>
      <c r="J13" s="1"/>
      <c r="K13" s="1"/>
      <c r="L13" s="279"/>
      <c r="M13" s="281"/>
      <c r="N13" s="281"/>
      <c r="O13" s="281"/>
    </row>
    <row r="14" spans="1:15" ht="13.5" thickBot="1">
      <c r="A14" s="1"/>
      <c r="B14" s="283"/>
      <c r="C14" s="284"/>
      <c r="D14" s="285"/>
      <c r="E14" s="949"/>
      <c r="F14" s="947">
        <f t="shared" si="0"/>
        <v>0</v>
      </c>
      <c r="G14" s="949"/>
      <c r="H14" s="950"/>
      <c r="I14" s="278"/>
      <c r="J14" s="1"/>
      <c r="K14" s="1"/>
      <c r="L14" s="286"/>
      <c r="M14" s="287"/>
      <c r="N14" s="287"/>
      <c r="O14" s="287"/>
    </row>
    <row r="15" spans="1:15" ht="13.5" thickBot="1">
      <c r="A15" s="1"/>
      <c r="B15" s="269" t="str">
        <f>Texte!A557</f>
        <v>Mutterkühe und Mastvieh</v>
      </c>
      <c r="C15" s="270"/>
      <c r="D15" s="271"/>
      <c r="E15" s="272"/>
      <c r="F15" s="951">
        <f>SUM(F16:F22)</f>
        <v>0</v>
      </c>
      <c r="G15" s="951">
        <f>SUM(G16:G22)</f>
        <v>0</v>
      </c>
      <c r="H15" s="951">
        <f>SUM(H16:H22)</f>
        <v>0</v>
      </c>
      <c r="I15" s="952">
        <f>L15</f>
        <v>0</v>
      </c>
      <c r="J15" s="1"/>
      <c r="K15" s="1"/>
      <c r="L15" s="288">
        <f>SUM(Tierb!M15:M31)*55</f>
        <v>0</v>
      </c>
      <c r="M15" s="274">
        <f>IF($L15=0,,(G15/$L15))</f>
        <v>0</v>
      </c>
      <c r="N15" s="274">
        <f>IF($L15=0,,(H15/$L15))</f>
        <v>0</v>
      </c>
      <c r="O15" s="274">
        <f>IF($L15=0,,(F15/$L15))</f>
        <v>0</v>
      </c>
    </row>
    <row r="16" spans="1:15" ht="12.75">
      <c r="A16" s="1"/>
      <c r="B16" s="275"/>
      <c r="C16" s="276"/>
      <c r="D16" s="277"/>
      <c r="E16" s="943"/>
      <c r="F16" s="944">
        <f t="shared" ref="F16:F22" si="1">+E16*D16</f>
        <v>0</v>
      </c>
      <c r="G16" s="945"/>
      <c r="H16" s="946"/>
      <c r="I16" s="278"/>
      <c r="J16" s="1"/>
      <c r="K16" s="1"/>
      <c r="L16" s="280"/>
      <c r="M16" s="282"/>
      <c r="N16" s="282"/>
      <c r="O16" s="282"/>
    </row>
    <row r="17" spans="1:15" ht="12.75">
      <c r="A17" s="1"/>
      <c r="B17" s="275"/>
      <c r="C17" s="276"/>
      <c r="D17" s="277"/>
      <c r="E17" s="943"/>
      <c r="F17" s="947">
        <f t="shared" si="1"/>
        <v>0</v>
      </c>
      <c r="G17" s="943"/>
      <c r="H17" s="948"/>
      <c r="I17" s="278"/>
      <c r="J17" s="1"/>
      <c r="K17" s="1"/>
      <c r="L17" s="279"/>
      <c r="M17" s="281"/>
      <c r="N17" s="281"/>
      <c r="O17" s="281"/>
    </row>
    <row r="18" spans="1:15" ht="12.75">
      <c r="A18" s="1"/>
      <c r="B18" s="275"/>
      <c r="C18" s="276"/>
      <c r="D18" s="277"/>
      <c r="E18" s="943"/>
      <c r="F18" s="947">
        <f t="shared" si="1"/>
        <v>0</v>
      </c>
      <c r="G18" s="943"/>
      <c r="H18" s="948"/>
      <c r="I18" s="278"/>
      <c r="J18" s="1"/>
      <c r="K18" s="1"/>
      <c r="L18" s="279"/>
      <c r="M18" s="281"/>
      <c r="N18" s="281"/>
      <c r="O18" s="281"/>
    </row>
    <row r="19" spans="1:15" ht="12.75">
      <c r="A19" s="1"/>
      <c r="B19" s="275"/>
      <c r="C19" s="276"/>
      <c r="D19" s="277"/>
      <c r="E19" s="943"/>
      <c r="F19" s="947">
        <f t="shared" si="1"/>
        <v>0</v>
      </c>
      <c r="G19" s="943"/>
      <c r="H19" s="948"/>
      <c r="I19" s="278"/>
      <c r="J19" s="1"/>
      <c r="K19" s="1"/>
      <c r="L19" s="279"/>
      <c r="M19" s="281"/>
      <c r="N19" s="281"/>
      <c r="O19" s="281"/>
    </row>
    <row r="20" spans="1:15" ht="12.75">
      <c r="A20" s="1"/>
      <c r="B20" s="275"/>
      <c r="C20" s="276"/>
      <c r="D20" s="277"/>
      <c r="E20" s="943"/>
      <c r="F20" s="947">
        <f t="shared" si="1"/>
        <v>0</v>
      </c>
      <c r="G20" s="943"/>
      <c r="H20" s="948"/>
      <c r="I20" s="278"/>
      <c r="J20" s="1"/>
      <c r="K20" s="1"/>
      <c r="L20" s="279"/>
      <c r="M20" s="281"/>
      <c r="N20" s="281"/>
      <c r="O20" s="281"/>
    </row>
    <row r="21" spans="1:15" ht="12.75">
      <c r="A21" s="1"/>
      <c r="B21" s="275"/>
      <c r="C21" s="276"/>
      <c r="D21" s="277"/>
      <c r="E21" s="943"/>
      <c r="F21" s="947">
        <f t="shared" si="1"/>
        <v>0</v>
      </c>
      <c r="G21" s="943"/>
      <c r="H21" s="948"/>
      <c r="I21" s="278"/>
      <c r="J21" s="1"/>
      <c r="K21" s="1"/>
      <c r="L21" s="279"/>
      <c r="M21" s="281"/>
      <c r="N21" s="281"/>
      <c r="O21" s="281"/>
    </row>
    <row r="22" spans="1:15" ht="13.5" thickBot="1">
      <c r="A22" s="1"/>
      <c r="B22" s="283"/>
      <c r="C22" s="284"/>
      <c r="D22" s="285"/>
      <c r="E22" s="949"/>
      <c r="F22" s="947">
        <f t="shared" si="1"/>
        <v>0</v>
      </c>
      <c r="G22" s="949"/>
      <c r="H22" s="950"/>
      <c r="I22" s="278"/>
      <c r="J22" s="1"/>
      <c r="K22" s="1"/>
      <c r="L22" s="286"/>
      <c r="M22" s="287"/>
      <c r="N22" s="287"/>
      <c r="O22" s="287"/>
    </row>
    <row r="23" spans="1:15" ht="13.5" thickBot="1">
      <c r="A23" s="1"/>
      <c r="B23" s="269" t="str">
        <f>Texte!A558</f>
        <v>übrige Raufutterverzehrer</v>
      </c>
      <c r="C23" s="270"/>
      <c r="D23" s="271"/>
      <c r="E23" s="272"/>
      <c r="F23" s="951">
        <f>SUM(F24:F30)</f>
        <v>0</v>
      </c>
      <c r="G23" s="951">
        <f>SUM(G24:G30)</f>
        <v>0</v>
      </c>
      <c r="H23" s="951">
        <f>SUM(H24:H30)</f>
        <v>0</v>
      </c>
      <c r="I23" s="952">
        <f>L23</f>
        <v>8324.8000000000011</v>
      </c>
      <c r="J23" s="1"/>
      <c r="K23" s="1"/>
      <c r="L23" s="288">
        <f>SUM(Tierb!M33:M61)*55</f>
        <v>8324.8000000000011</v>
      </c>
      <c r="M23" s="274">
        <f>IF($L23=0,,(G23/$L23))</f>
        <v>0</v>
      </c>
      <c r="N23" s="274">
        <f>IF($L23=0,,(H23/$L23))</f>
        <v>0</v>
      </c>
      <c r="O23" s="274">
        <f>IF($L23=0,,(F23/$L23))</f>
        <v>0</v>
      </c>
    </row>
    <row r="24" spans="1:15" ht="12.75">
      <c r="A24" s="1"/>
      <c r="B24" s="275"/>
      <c r="C24" s="276"/>
      <c r="D24" s="277"/>
      <c r="E24" s="943"/>
      <c r="F24" s="944">
        <f t="shared" ref="F24:F30" si="2">+E24*D24</f>
        <v>0</v>
      </c>
      <c r="G24" s="945"/>
      <c r="H24" s="946"/>
      <c r="I24" s="278"/>
      <c r="J24" s="1"/>
      <c r="K24" s="1"/>
      <c r="L24" s="280"/>
      <c r="M24" s="282"/>
      <c r="N24" s="282"/>
      <c r="O24" s="282"/>
    </row>
    <row r="25" spans="1:15" ht="12.75">
      <c r="A25" s="1"/>
      <c r="B25" s="275"/>
      <c r="C25" s="276"/>
      <c r="D25" s="277"/>
      <c r="E25" s="943"/>
      <c r="F25" s="947">
        <f t="shared" si="2"/>
        <v>0</v>
      </c>
      <c r="G25" s="943"/>
      <c r="H25" s="948"/>
      <c r="I25" s="278"/>
      <c r="J25" s="1"/>
      <c r="K25" s="1"/>
      <c r="L25" s="279"/>
      <c r="M25" s="281"/>
      <c r="N25" s="281"/>
      <c r="O25" s="281"/>
    </row>
    <row r="26" spans="1:15" ht="12.75">
      <c r="A26" s="1"/>
      <c r="B26" s="275"/>
      <c r="C26" s="276"/>
      <c r="D26" s="277"/>
      <c r="E26" s="943"/>
      <c r="F26" s="947">
        <f t="shared" si="2"/>
        <v>0</v>
      </c>
      <c r="G26" s="943"/>
      <c r="H26" s="948"/>
      <c r="I26" s="278"/>
      <c r="J26" s="1"/>
      <c r="K26" s="1"/>
      <c r="L26" s="279"/>
      <c r="M26" s="281"/>
      <c r="N26" s="281"/>
      <c r="O26" s="281"/>
    </row>
    <row r="27" spans="1:15" ht="12.75">
      <c r="A27" s="1"/>
      <c r="B27" s="275"/>
      <c r="C27" s="276"/>
      <c r="D27" s="277"/>
      <c r="E27" s="943"/>
      <c r="F27" s="947">
        <f t="shared" si="2"/>
        <v>0</v>
      </c>
      <c r="G27" s="943"/>
      <c r="H27" s="948"/>
      <c r="I27" s="278"/>
      <c r="J27" s="1"/>
      <c r="K27" s="1"/>
      <c r="L27" s="279"/>
      <c r="M27" s="281"/>
      <c r="N27" s="281"/>
      <c r="O27" s="281"/>
    </row>
    <row r="28" spans="1:15" ht="12.75">
      <c r="A28" s="1"/>
      <c r="B28" s="275"/>
      <c r="C28" s="276"/>
      <c r="D28" s="277"/>
      <c r="E28" s="943"/>
      <c r="F28" s="947">
        <f t="shared" si="2"/>
        <v>0</v>
      </c>
      <c r="G28" s="943"/>
      <c r="H28" s="948"/>
      <c r="I28" s="278"/>
      <c r="J28" s="1"/>
      <c r="K28" s="1"/>
      <c r="L28" s="279"/>
      <c r="M28" s="281"/>
      <c r="N28" s="281"/>
      <c r="O28" s="281"/>
    </row>
    <row r="29" spans="1:15" ht="12.75">
      <c r="A29" s="1"/>
      <c r="B29" s="275"/>
      <c r="C29" s="276"/>
      <c r="D29" s="277"/>
      <c r="E29" s="943"/>
      <c r="F29" s="947">
        <f t="shared" si="2"/>
        <v>0</v>
      </c>
      <c r="G29" s="943"/>
      <c r="H29" s="948"/>
      <c r="I29" s="278"/>
      <c r="J29" s="1"/>
      <c r="K29" s="1"/>
      <c r="L29" s="279"/>
      <c r="M29" s="281"/>
      <c r="N29" s="281"/>
      <c r="O29" s="281"/>
    </row>
    <row r="30" spans="1:15" ht="13.5" thickBot="1">
      <c r="A30" s="1"/>
      <c r="B30" s="283"/>
      <c r="C30" s="284"/>
      <c r="D30" s="285"/>
      <c r="E30" s="949"/>
      <c r="F30" s="947">
        <f t="shared" si="2"/>
        <v>0</v>
      </c>
      <c r="G30" s="949"/>
      <c r="H30" s="950"/>
      <c r="I30" s="278"/>
      <c r="J30" s="1"/>
      <c r="K30" s="1"/>
      <c r="L30" s="286"/>
      <c r="M30" s="287"/>
      <c r="N30" s="287"/>
      <c r="O30" s="287"/>
    </row>
    <row r="31" spans="1:15" ht="15.75" thickBot="1">
      <c r="A31" s="1"/>
      <c r="B31" s="938" t="str">
        <f>Texte!A559</f>
        <v>Übrige Tiere</v>
      </c>
      <c r="C31" s="12"/>
      <c r="D31" s="939"/>
      <c r="E31" s="940"/>
      <c r="F31" s="953">
        <f>F32+F40+F48+F56</f>
        <v>0</v>
      </c>
      <c r="G31" s="953">
        <f>G32+G40+G48+G56</f>
        <v>0</v>
      </c>
      <c r="H31" s="953">
        <f>H32+H40+H48+H56</f>
        <v>0</v>
      </c>
      <c r="I31" s="953">
        <f>I32+I40+I48+I56</f>
        <v>0</v>
      </c>
      <c r="J31" s="1"/>
      <c r="K31" s="1"/>
      <c r="L31" s="279">
        <f>L32+L40+L48+L56</f>
        <v>0</v>
      </c>
      <c r="M31" s="274">
        <f>IF($L31=0,,(G31/$L31))</f>
        <v>0</v>
      </c>
      <c r="N31" s="274">
        <f>IF($L31=0,,(H31/$L31))</f>
        <v>0</v>
      </c>
      <c r="O31" s="274">
        <f>IF($L31=0,,(F31/$L31))</f>
        <v>0</v>
      </c>
    </row>
    <row r="32" spans="1:15" ht="13.5" thickBot="1">
      <c r="A32" s="1"/>
      <c r="B32" s="269" t="str">
        <f>Texte!A560</f>
        <v>Zuchtschweine und Ferkel</v>
      </c>
      <c r="C32" s="270"/>
      <c r="D32" s="271"/>
      <c r="E32" s="272"/>
      <c r="F32" s="951">
        <f>SUM(F33:F39)</f>
        <v>0</v>
      </c>
      <c r="G32" s="951">
        <f>SUM(G33:G39)</f>
        <v>0</v>
      </c>
      <c r="H32" s="951">
        <f>SUM(H33:H39)</f>
        <v>0</v>
      </c>
      <c r="I32" s="952">
        <f>L32</f>
        <v>0</v>
      </c>
      <c r="J32" s="1"/>
      <c r="K32" s="1"/>
      <c r="L32" s="288">
        <f>(Tierb!M64+Tierb!M66+Tierb!M67+Tierb!M68+Tierb!M69+Tierb!M70)*38</f>
        <v>0</v>
      </c>
      <c r="M32" s="274">
        <f>IF($L32=0,,(G32/$L32))</f>
        <v>0</v>
      </c>
      <c r="N32" s="274">
        <f>IF($L32=0,,(H32/$L32))</f>
        <v>0</v>
      </c>
      <c r="O32" s="274">
        <f>IF($L32=0,,(F32/$L32))</f>
        <v>0</v>
      </c>
    </row>
    <row r="33" spans="1:15" ht="12.75">
      <c r="A33" s="1"/>
      <c r="B33" s="275"/>
      <c r="C33" s="276"/>
      <c r="D33" s="277"/>
      <c r="E33" s="943"/>
      <c r="F33" s="944">
        <f t="shared" ref="F33:F39" si="3">+E33*D33</f>
        <v>0</v>
      </c>
      <c r="G33" s="945"/>
      <c r="H33" s="946"/>
      <c r="I33" s="278"/>
      <c r="J33" s="1"/>
      <c r="K33" s="1"/>
      <c r="L33" s="280"/>
      <c r="M33" s="282"/>
      <c r="N33" s="282"/>
      <c r="O33" s="282"/>
    </row>
    <row r="34" spans="1:15" ht="12.75">
      <c r="A34" s="1"/>
      <c r="B34" s="275"/>
      <c r="C34" s="276"/>
      <c r="D34" s="277"/>
      <c r="E34" s="943"/>
      <c r="F34" s="947">
        <f t="shared" si="3"/>
        <v>0</v>
      </c>
      <c r="G34" s="943"/>
      <c r="H34" s="948"/>
      <c r="I34" s="278"/>
      <c r="J34" s="1"/>
      <c r="K34" s="1"/>
      <c r="L34" s="279"/>
      <c r="M34" s="281"/>
      <c r="N34" s="281"/>
      <c r="O34" s="281"/>
    </row>
    <row r="35" spans="1:15" ht="12.75">
      <c r="A35" s="1"/>
      <c r="B35" s="275"/>
      <c r="C35" s="276"/>
      <c r="D35" s="277"/>
      <c r="E35" s="943"/>
      <c r="F35" s="947">
        <f t="shared" si="3"/>
        <v>0</v>
      </c>
      <c r="G35" s="943"/>
      <c r="H35" s="948"/>
      <c r="I35" s="278"/>
      <c r="J35" s="1"/>
      <c r="K35" s="1"/>
      <c r="L35" s="279"/>
      <c r="M35" s="281"/>
      <c r="N35" s="281"/>
      <c r="O35" s="281"/>
    </row>
    <row r="36" spans="1:15" ht="12.75">
      <c r="A36" s="1"/>
      <c r="B36" s="275"/>
      <c r="C36" s="276"/>
      <c r="D36" s="277"/>
      <c r="E36" s="943"/>
      <c r="F36" s="947">
        <f t="shared" si="3"/>
        <v>0</v>
      </c>
      <c r="G36" s="943"/>
      <c r="H36" s="948"/>
      <c r="I36" s="278"/>
      <c r="J36" s="1"/>
      <c r="K36" s="1"/>
      <c r="L36" s="279"/>
      <c r="M36" s="281"/>
      <c r="N36" s="281"/>
      <c r="O36" s="281"/>
    </row>
    <row r="37" spans="1:15" ht="12.75">
      <c r="A37" s="1"/>
      <c r="B37" s="275"/>
      <c r="C37" s="276"/>
      <c r="D37" s="277"/>
      <c r="E37" s="943"/>
      <c r="F37" s="947">
        <f t="shared" si="3"/>
        <v>0</v>
      </c>
      <c r="G37" s="943"/>
      <c r="H37" s="948"/>
      <c r="I37" s="278"/>
      <c r="J37" s="1"/>
      <c r="K37" s="1"/>
      <c r="L37" s="279"/>
      <c r="M37" s="281"/>
      <c r="N37" s="281"/>
      <c r="O37" s="281"/>
    </row>
    <row r="38" spans="1:15" ht="12.75">
      <c r="A38" s="1"/>
      <c r="B38" s="275"/>
      <c r="C38" s="276"/>
      <c r="D38" s="277"/>
      <c r="E38" s="943"/>
      <c r="F38" s="947">
        <f t="shared" si="3"/>
        <v>0</v>
      </c>
      <c r="G38" s="943"/>
      <c r="H38" s="948"/>
      <c r="I38" s="278"/>
      <c r="J38" s="1"/>
      <c r="K38" s="1"/>
      <c r="L38" s="279"/>
      <c r="M38" s="281"/>
      <c r="N38" s="281"/>
      <c r="O38" s="281"/>
    </row>
    <row r="39" spans="1:15" ht="13.5" thickBot="1">
      <c r="A39" s="1"/>
      <c r="B39" s="283"/>
      <c r="C39" s="284"/>
      <c r="D39" s="285"/>
      <c r="E39" s="949"/>
      <c r="F39" s="947">
        <f t="shared" si="3"/>
        <v>0</v>
      </c>
      <c r="G39" s="949"/>
      <c r="H39" s="950"/>
      <c r="I39" s="278"/>
      <c r="J39" s="1"/>
      <c r="K39" s="1"/>
      <c r="L39" s="286"/>
      <c r="M39" s="287"/>
      <c r="N39" s="287"/>
      <c r="O39" s="287"/>
    </row>
    <row r="40" spans="1:15" ht="13.5" thickBot="1">
      <c r="A40" s="1"/>
      <c r="B40" s="269" t="str">
        <f>Texte!A561</f>
        <v>Mastschweine</v>
      </c>
      <c r="C40" s="270"/>
      <c r="D40" s="271"/>
      <c r="E40" s="272"/>
      <c r="F40" s="951">
        <f>SUM(F41:F47)</f>
        <v>0</v>
      </c>
      <c r="G40" s="951">
        <f>SUM(G41:G47)</f>
        <v>0</v>
      </c>
      <c r="H40" s="951">
        <f>SUM(H41:H47)</f>
        <v>0</v>
      </c>
      <c r="I40" s="952">
        <f>L40</f>
        <v>0</v>
      </c>
      <c r="J40" s="1"/>
      <c r="K40" s="1"/>
      <c r="L40" s="288">
        <f>(Tierb!M65)*40</f>
        <v>0</v>
      </c>
      <c r="M40" s="274">
        <f>IF($L40=0,,(G40/$L40))</f>
        <v>0</v>
      </c>
      <c r="N40" s="274">
        <f>IF($L40=0,,(H40/$L40))</f>
        <v>0</v>
      </c>
      <c r="O40" s="274">
        <f>IF($L40=0,,(F40/$L40))</f>
        <v>0</v>
      </c>
    </row>
    <row r="41" spans="1:15" ht="12.75">
      <c r="A41" s="1"/>
      <c r="B41" s="275"/>
      <c r="C41" s="276"/>
      <c r="D41" s="277"/>
      <c r="E41" s="943"/>
      <c r="F41" s="944">
        <f t="shared" ref="F41:F47" si="4">+E41*D41</f>
        <v>0</v>
      </c>
      <c r="G41" s="945"/>
      <c r="H41" s="946"/>
      <c r="I41" s="278"/>
      <c r="J41" s="1"/>
      <c r="K41" s="1"/>
      <c r="L41" s="280"/>
      <c r="M41" s="282"/>
      <c r="N41" s="282"/>
      <c r="O41" s="282"/>
    </row>
    <row r="42" spans="1:15" ht="12.75">
      <c r="A42" s="1"/>
      <c r="B42" s="275"/>
      <c r="C42" s="276"/>
      <c r="D42" s="277"/>
      <c r="E42" s="943"/>
      <c r="F42" s="947">
        <f t="shared" si="4"/>
        <v>0</v>
      </c>
      <c r="G42" s="943"/>
      <c r="H42" s="948"/>
      <c r="I42" s="278"/>
      <c r="J42" s="1"/>
      <c r="K42" s="1"/>
      <c r="L42" s="279"/>
      <c r="M42" s="281"/>
      <c r="N42" s="281"/>
      <c r="O42" s="281"/>
    </row>
    <row r="43" spans="1:15" ht="12.75">
      <c r="A43" s="1"/>
      <c r="B43" s="275"/>
      <c r="C43" s="276"/>
      <c r="D43" s="277"/>
      <c r="E43" s="943"/>
      <c r="F43" s="947">
        <f t="shared" si="4"/>
        <v>0</v>
      </c>
      <c r="G43" s="943"/>
      <c r="H43" s="948"/>
      <c r="I43" s="278"/>
      <c r="J43" s="1"/>
      <c r="K43" s="1"/>
      <c r="L43" s="279"/>
      <c r="M43" s="281"/>
      <c r="N43" s="281"/>
      <c r="O43" s="281"/>
    </row>
    <row r="44" spans="1:15" ht="12.75">
      <c r="A44" s="1"/>
      <c r="B44" s="275"/>
      <c r="C44" s="276"/>
      <c r="D44" s="277"/>
      <c r="E44" s="943"/>
      <c r="F44" s="947">
        <f t="shared" si="4"/>
        <v>0</v>
      </c>
      <c r="G44" s="943"/>
      <c r="H44" s="948"/>
      <c r="I44" s="278"/>
      <c r="J44" s="1"/>
      <c r="K44" s="1"/>
      <c r="L44" s="279"/>
      <c r="M44" s="281"/>
      <c r="N44" s="281"/>
      <c r="O44" s="281"/>
    </row>
    <row r="45" spans="1:15" ht="12.75">
      <c r="A45" s="1"/>
      <c r="B45" s="275"/>
      <c r="C45" s="276"/>
      <c r="D45" s="277"/>
      <c r="E45" s="943"/>
      <c r="F45" s="947">
        <f t="shared" si="4"/>
        <v>0</v>
      </c>
      <c r="G45" s="943"/>
      <c r="H45" s="948"/>
      <c r="I45" s="278"/>
      <c r="J45" s="1"/>
      <c r="K45" s="1"/>
      <c r="L45" s="279"/>
      <c r="M45" s="281"/>
      <c r="N45" s="281"/>
      <c r="O45" s="281"/>
    </row>
    <row r="46" spans="1:15" ht="12.75">
      <c r="A46" s="1"/>
      <c r="B46" s="275"/>
      <c r="C46" s="276"/>
      <c r="D46" s="277"/>
      <c r="E46" s="943"/>
      <c r="F46" s="947">
        <f t="shared" si="4"/>
        <v>0</v>
      </c>
      <c r="G46" s="943"/>
      <c r="H46" s="948"/>
      <c r="I46" s="278"/>
      <c r="J46" s="1"/>
      <c r="K46" s="1"/>
      <c r="L46" s="279"/>
      <c r="M46" s="281"/>
      <c r="N46" s="281"/>
      <c r="O46" s="281"/>
    </row>
    <row r="47" spans="1:15" ht="13.5" thickBot="1">
      <c r="A47" s="1"/>
      <c r="B47" s="283"/>
      <c r="C47" s="284"/>
      <c r="D47" s="285"/>
      <c r="E47" s="949"/>
      <c r="F47" s="947">
        <f t="shared" si="4"/>
        <v>0</v>
      </c>
      <c r="G47" s="949"/>
      <c r="H47" s="950"/>
      <c r="I47" s="278"/>
      <c r="J47" s="1"/>
      <c r="K47" s="1"/>
      <c r="L47" s="286"/>
      <c r="M47" s="287"/>
      <c r="N47" s="287"/>
      <c r="O47" s="287"/>
    </row>
    <row r="48" spans="1:15" ht="13.5" thickBot="1">
      <c r="A48" s="1"/>
      <c r="B48" s="289" t="str">
        <f>Texte!A562</f>
        <v>Lege- und Junghennen</v>
      </c>
      <c r="C48" s="270"/>
      <c r="D48" s="271"/>
      <c r="E48" s="272"/>
      <c r="F48" s="951">
        <f>SUM(F49:F55)</f>
        <v>0</v>
      </c>
      <c r="G48" s="951">
        <f>SUM(G49:G55)</f>
        <v>0</v>
      </c>
      <c r="H48" s="951">
        <f>SUM(H49:H55)</f>
        <v>0</v>
      </c>
      <c r="I48" s="952">
        <f>L48</f>
        <v>0</v>
      </c>
      <c r="J48" s="1"/>
      <c r="K48" s="1"/>
      <c r="L48" s="288">
        <f>(Tierb!M73+Tierb!M74)*40</f>
        <v>0</v>
      </c>
      <c r="M48" s="274">
        <f>IF($L48=0,,(G48/$L48))</f>
        <v>0</v>
      </c>
      <c r="N48" s="274">
        <f>IF($L48=0,,(H48/$L48))</f>
        <v>0</v>
      </c>
      <c r="O48" s="274">
        <f>IF($L48=0,,(F48/$L48))</f>
        <v>0</v>
      </c>
    </row>
    <row r="49" spans="1:15" ht="12.75">
      <c r="A49" s="1"/>
      <c r="B49" s="275"/>
      <c r="C49" s="276"/>
      <c r="D49" s="277"/>
      <c r="E49" s="943"/>
      <c r="F49" s="944">
        <f t="shared" ref="F49:F55" si="5">+E49*D49</f>
        <v>0</v>
      </c>
      <c r="G49" s="945"/>
      <c r="H49" s="946"/>
      <c r="I49" s="278"/>
      <c r="J49" s="1"/>
      <c r="K49" s="1"/>
      <c r="L49" s="280"/>
      <c r="M49" s="282"/>
      <c r="N49" s="282"/>
      <c r="O49" s="282"/>
    </row>
    <row r="50" spans="1:15" ht="12.75">
      <c r="A50" s="1"/>
      <c r="B50" s="275"/>
      <c r="C50" s="276"/>
      <c r="D50" s="277"/>
      <c r="E50" s="943"/>
      <c r="F50" s="947">
        <f t="shared" si="5"/>
        <v>0</v>
      </c>
      <c r="G50" s="943"/>
      <c r="H50" s="948"/>
      <c r="I50" s="278"/>
      <c r="J50" s="1"/>
      <c r="K50" s="1"/>
      <c r="L50" s="279"/>
      <c r="M50" s="281"/>
      <c r="N50" s="281"/>
      <c r="O50" s="281"/>
    </row>
    <row r="51" spans="1:15" ht="12.75">
      <c r="A51" s="1"/>
      <c r="B51" s="275"/>
      <c r="C51" s="276"/>
      <c r="D51" s="277"/>
      <c r="E51" s="943"/>
      <c r="F51" s="947">
        <f t="shared" si="5"/>
        <v>0</v>
      </c>
      <c r="G51" s="943"/>
      <c r="H51" s="948"/>
      <c r="I51" s="278"/>
      <c r="J51" s="1"/>
      <c r="K51" s="1"/>
      <c r="L51" s="279"/>
      <c r="M51" s="281"/>
      <c r="N51" s="281"/>
      <c r="O51" s="281"/>
    </row>
    <row r="52" spans="1:15" ht="12.75">
      <c r="A52" s="1"/>
      <c r="B52" s="275"/>
      <c r="C52" s="276"/>
      <c r="D52" s="277"/>
      <c r="E52" s="943"/>
      <c r="F52" s="947">
        <f t="shared" si="5"/>
        <v>0</v>
      </c>
      <c r="G52" s="943"/>
      <c r="H52" s="948"/>
      <c r="I52" s="278"/>
      <c r="J52" s="1"/>
      <c r="K52" s="1"/>
      <c r="L52" s="279"/>
      <c r="M52" s="281"/>
      <c r="N52" s="281"/>
      <c r="O52" s="281"/>
    </row>
    <row r="53" spans="1:15" ht="12.75">
      <c r="A53" s="1"/>
      <c r="B53" s="275"/>
      <c r="C53" s="276"/>
      <c r="D53" s="277"/>
      <c r="E53" s="943"/>
      <c r="F53" s="947">
        <f t="shared" si="5"/>
        <v>0</v>
      </c>
      <c r="G53" s="943"/>
      <c r="H53" s="948"/>
      <c r="I53" s="278"/>
      <c r="J53" s="1"/>
      <c r="K53" s="1"/>
      <c r="L53" s="279"/>
      <c r="M53" s="281"/>
      <c r="N53" s="281"/>
      <c r="O53" s="281"/>
    </row>
    <row r="54" spans="1:15" ht="12.75">
      <c r="A54" s="1"/>
      <c r="B54" s="275"/>
      <c r="C54" s="276"/>
      <c r="D54" s="277"/>
      <c r="E54" s="943"/>
      <c r="F54" s="947">
        <f t="shared" si="5"/>
        <v>0</v>
      </c>
      <c r="G54" s="943"/>
      <c r="H54" s="948"/>
      <c r="I54" s="278"/>
      <c r="J54" s="1"/>
      <c r="K54" s="1"/>
      <c r="L54" s="279"/>
      <c r="M54" s="281"/>
      <c r="N54" s="281"/>
      <c r="O54" s="281"/>
    </row>
    <row r="55" spans="1:15" ht="13.5" thickBot="1">
      <c r="A55" s="1"/>
      <c r="B55" s="283"/>
      <c r="C55" s="284"/>
      <c r="D55" s="285"/>
      <c r="E55" s="949"/>
      <c r="F55" s="947">
        <f t="shared" si="5"/>
        <v>0</v>
      </c>
      <c r="G55" s="949"/>
      <c r="H55" s="950"/>
      <c r="I55" s="278"/>
      <c r="J55" s="1"/>
      <c r="K55" s="1"/>
      <c r="L55" s="286"/>
      <c r="M55" s="287"/>
      <c r="N55" s="287"/>
      <c r="O55" s="287"/>
    </row>
    <row r="56" spans="1:15" ht="13.5" thickBot="1">
      <c r="A56" s="1"/>
      <c r="B56" s="289" t="str">
        <f>Texte!A563</f>
        <v>Mastgeflügel</v>
      </c>
      <c r="C56" s="270"/>
      <c r="D56" s="271"/>
      <c r="E56" s="272"/>
      <c r="F56" s="951">
        <f>SUM(F57:F63)</f>
        <v>0</v>
      </c>
      <c r="G56" s="951">
        <f>SUM(G57:G63)</f>
        <v>0</v>
      </c>
      <c r="H56" s="951">
        <f>SUM(H57:H63)</f>
        <v>0</v>
      </c>
      <c r="I56" s="952">
        <f>L56</f>
        <v>0</v>
      </c>
      <c r="J56" s="1"/>
      <c r="K56" s="1"/>
      <c r="L56" s="288">
        <f>Tierb!M75*74+Tierb!M76*62+Tierb!M79*84</f>
        <v>0</v>
      </c>
      <c r="M56" s="274">
        <f>IF($L56=0,,(G56/$L56))</f>
        <v>0</v>
      </c>
      <c r="N56" s="274">
        <f>IF($L56=0,,(H56/$L56))</f>
        <v>0</v>
      </c>
      <c r="O56" s="274">
        <f>IF($L56=0,,(F56/$L56))</f>
        <v>0</v>
      </c>
    </row>
    <row r="57" spans="1:15" ht="12.75">
      <c r="A57" s="1"/>
      <c r="B57" s="275"/>
      <c r="C57" s="276"/>
      <c r="D57" s="277"/>
      <c r="E57" s="943"/>
      <c r="F57" s="944">
        <f t="shared" ref="F57:F63" si="6">+E57*D57</f>
        <v>0</v>
      </c>
      <c r="G57" s="945"/>
      <c r="H57" s="946"/>
      <c r="I57" s="278"/>
      <c r="J57" s="1"/>
      <c r="K57" s="1"/>
      <c r="L57" s="280"/>
      <c r="M57" s="282"/>
      <c r="N57" s="282"/>
      <c r="O57" s="282"/>
    </row>
    <row r="58" spans="1:15" ht="12.75">
      <c r="A58" s="1"/>
      <c r="B58" s="275"/>
      <c r="C58" s="276"/>
      <c r="D58" s="277"/>
      <c r="E58" s="943"/>
      <c r="F58" s="947">
        <f t="shared" si="6"/>
        <v>0</v>
      </c>
      <c r="G58" s="943"/>
      <c r="H58" s="948"/>
      <c r="I58" s="278"/>
      <c r="J58" s="1"/>
      <c r="K58" s="1"/>
      <c r="L58" s="279"/>
      <c r="M58" s="281"/>
      <c r="N58" s="281"/>
      <c r="O58" s="281"/>
    </row>
    <row r="59" spans="1:15" ht="12.75">
      <c r="A59" s="1"/>
      <c r="B59" s="275"/>
      <c r="C59" s="276"/>
      <c r="D59" s="277"/>
      <c r="E59" s="943"/>
      <c r="F59" s="947">
        <f t="shared" si="6"/>
        <v>0</v>
      </c>
      <c r="G59" s="943"/>
      <c r="H59" s="948"/>
      <c r="I59" s="278"/>
      <c r="J59" s="1"/>
      <c r="K59" s="1"/>
      <c r="L59" s="279"/>
      <c r="M59" s="281"/>
      <c r="N59" s="281"/>
      <c r="O59" s="281"/>
    </row>
    <row r="60" spans="1:15" ht="12.75">
      <c r="A60" s="1"/>
      <c r="B60" s="275"/>
      <c r="C60" s="276"/>
      <c r="D60" s="277"/>
      <c r="E60" s="943"/>
      <c r="F60" s="947">
        <f t="shared" si="6"/>
        <v>0</v>
      </c>
      <c r="G60" s="943"/>
      <c r="H60" s="948"/>
      <c r="I60" s="278"/>
      <c r="J60" s="1"/>
      <c r="K60" s="1"/>
      <c r="L60" s="279"/>
      <c r="M60" s="281"/>
      <c r="N60" s="281"/>
      <c r="O60" s="281"/>
    </row>
    <row r="61" spans="1:15" ht="12.75">
      <c r="A61" s="1"/>
      <c r="B61" s="275"/>
      <c r="C61" s="276"/>
      <c r="D61" s="277"/>
      <c r="E61" s="943"/>
      <c r="F61" s="947">
        <f t="shared" si="6"/>
        <v>0</v>
      </c>
      <c r="G61" s="943"/>
      <c r="H61" s="948"/>
      <c r="I61" s="278"/>
      <c r="J61" s="1"/>
      <c r="K61" s="1"/>
      <c r="L61" s="279"/>
      <c r="M61" s="281"/>
      <c r="N61" s="281"/>
      <c r="O61" s="281"/>
    </row>
    <row r="62" spans="1:15" ht="12.75">
      <c r="A62" s="1"/>
      <c r="B62" s="275"/>
      <c r="C62" s="276"/>
      <c r="D62" s="277"/>
      <c r="E62" s="943"/>
      <c r="F62" s="947">
        <f t="shared" si="6"/>
        <v>0</v>
      </c>
      <c r="G62" s="943"/>
      <c r="H62" s="948"/>
      <c r="I62" s="278"/>
      <c r="J62" s="1"/>
      <c r="K62" s="1"/>
      <c r="L62" s="279"/>
      <c r="M62" s="281"/>
      <c r="N62" s="281"/>
      <c r="O62" s="281"/>
    </row>
    <row r="63" spans="1:15" ht="13.5" thickBot="1">
      <c r="A63" s="1"/>
      <c r="B63" s="275"/>
      <c r="C63" s="276"/>
      <c r="D63" s="277"/>
      <c r="E63" s="943"/>
      <c r="F63" s="947">
        <f t="shared" si="6"/>
        <v>0</v>
      </c>
      <c r="G63" s="943"/>
      <c r="H63" s="948"/>
      <c r="I63" s="290"/>
      <c r="J63" s="1"/>
      <c r="K63" s="1"/>
      <c r="L63" s="286"/>
      <c r="M63" s="287"/>
      <c r="N63" s="287"/>
      <c r="O63" s="287"/>
    </row>
    <row r="64" spans="1:15" ht="13.5" thickBot="1">
      <c r="A64" s="1"/>
      <c r="B64" s="1"/>
      <c r="C64" s="1"/>
      <c r="D64" s="254"/>
      <c r="E64" s="255"/>
      <c r="F64" s="255"/>
      <c r="G64" s="255"/>
      <c r="H64" s="255"/>
      <c r="I64" s="255"/>
      <c r="J64" s="1"/>
      <c r="K64" s="1"/>
      <c r="L64" s="263"/>
      <c r="M64" s="259"/>
      <c r="N64" s="259"/>
      <c r="O64" s="259"/>
    </row>
    <row r="65" spans="1:15" ht="13.5" thickBot="1">
      <c r="A65" s="1"/>
      <c r="B65" s="1"/>
      <c r="C65" s="1"/>
      <c r="D65" s="254"/>
      <c r="E65" s="255"/>
      <c r="F65" s="951">
        <f>F7+F15+F23+F32+F40+F48+F56</f>
        <v>0</v>
      </c>
      <c r="G65" s="951">
        <f>G7+G15+G23+G32+G40+G48+G56</f>
        <v>0</v>
      </c>
      <c r="H65" s="951">
        <f>H7+H15+H23+H32+H40+H48+H56</f>
        <v>0</v>
      </c>
      <c r="I65" s="951">
        <f>L65</f>
        <v>8324.8000000000011</v>
      </c>
      <c r="J65" s="1"/>
      <c r="K65" s="1"/>
      <c r="L65" s="291">
        <f>L7+L15+L23+L32+L40+L48+L56</f>
        <v>8324.8000000000011</v>
      </c>
      <c r="M65" s="292">
        <f>IF($L65=0,,(G65/$L65))</f>
        <v>0</v>
      </c>
      <c r="N65" s="292">
        <f>IF($L65=0,,(H65/$L65))</f>
        <v>0</v>
      </c>
      <c r="O65" s="292">
        <f>IF($L65=0,,(F65/$L65))</f>
        <v>0</v>
      </c>
    </row>
  </sheetData>
  <sheetProtection algorithmName="SHA-512" hashValue="eUyc2lbOHeGqQH7ZX3ClhJ6cA+wX7QesVbK2PuKB4w7z1e35GPnPoQWtC6JQrEkeVh6wTfIR7RQu3Dk4CvVX8A==" saltValue="r6Y/jUVX7nspwNh0uHrtRA==" spinCount="100000" sheet="1" objects="1" scenarios="1"/>
  <phoneticPr fontId="65" type="noConversion"/>
  <pageMargins left="0.78740157480314965" right="0.19685039370078741" top="0.59055118110236227" bottom="0.59055118110236227" header="0" footer="0.39370078740157483"/>
  <pageSetup paperSize="9" scale="92" orientation="portrait" r:id="rId1"/>
  <headerFooter alignWithMargins="0">
    <oddFooter>&amp;C&amp;9&amp;F&amp;R&amp;"Arial,Standard"&amp;9Seite &amp;P&amp;L&amp;"Arial,Fett"&amp;11AGRIDEA &amp;"Arial,Standard"&amp;9 Nachweis Version 9.9</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indexed="26"/>
    <pageSetUpPr fitToPage="1"/>
  </sheetPr>
  <dimension ref="B1:N80"/>
  <sheetViews>
    <sheetView showGridLines="0" showRowColHeaders="0" showZeros="0" topLeftCell="A16" workbookViewId="0">
      <selection activeCell="D27" sqref="D2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7109375" customWidth="1"/>
    <col min="3" max="3" width="18.85546875" customWidth="1"/>
    <col min="4" max="4" width="7.7109375" customWidth="1"/>
    <col min="5" max="5" width="10.28515625" customWidth="1"/>
    <col min="6" max="6" width="8.7109375" customWidth="1"/>
    <col min="7" max="7" width="13.28515625" customWidth="1"/>
    <col min="8" max="8" width="10.42578125" customWidth="1"/>
    <col min="9" max="10" width="8.7109375" customWidth="1"/>
  </cols>
  <sheetData>
    <row r="1" spans="2:14" ht="42" customHeight="1">
      <c r="B1" s="19" t="str">
        <f>Q!NW_Tit</f>
        <v xml:space="preserve">                                   Nachweis</v>
      </c>
      <c r="C1" s="1"/>
      <c r="D1" s="1"/>
      <c r="E1" s="1"/>
      <c r="F1" s="1"/>
      <c r="G1" s="1"/>
      <c r="H1" s="1"/>
      <c r="I1" s="1"/>
      <c r="J1" s="20" t="str">
        <f>Q!F18</f>
        <v>Fruchtfolge-Kennziffern</v>
      </c>
      <c r="K1" s="1" t="s">
        <v>4899</v>
      </c>
      <c r="L1" s="1"/>
      <c r="M1" s="1"/>
      <c r="N1" s="1"/>
    </row>
    <row r="2" spans="2:14" ht="11.1" customHeight="1" thickBot="1">
      <c r="B2" s="21"/>
      <c r="C2" s="21"/>
      <c r="D2" s="21"/>
      <c r="E2" s="21"/>
      <c r="F2" s="21"/>
      <c r="G2" s="21"/>
      <c r="H2" s="21"/>
      <c r="I2" s="21"/>
      <c r="J2" s="44"/>
      <c r="K2" s="1"/>
      <c r="L2" s="1"/>
      <c r="M2" s="1"/>
      <c r="N2" s="1"/>
    </row>
    <row r="3" spans="2:14" ht="15.75" customHeight="1">
      <c r="B3" s="1862" t="str">
        <f>Texte!A13</f>
        <v>Betrieb:</v>
      </c>
      <c r="C3" s="569" t="str">
        <f>Allg!$C$9&amp;""</f>
        <v>Imhof &amp; Zaehner Betriebsgemeinschaft</v>
      </c>
      <c r="D3" s="1860"/>
      <c r="E3" s="569"/>
      <c r="F3" s="1863" t="str">
        <f>Texte!A14</f>
        <v>Variante:</v>
      </c>
      <c r="G3" s="1433" t="str">
        <f>Allg!$G$7&amp;""</f>
        <v/>
      </c>
      <c r="H3" s="1860"/>
      <c r="I3" s="1858" t="str">
        <f>Texte!A15</f>
        <v>Jahr:</v>
      </c>
      <c r="J3" s="571" t="str">
        <f>Allg!$G$6&amp;""</f>
        <v>2026</v>
      </c>
      <c r="K3" s="1"/>
      <c r="L3" s="1"/>
      <c r="M3" s="1"/>
      <c r="N3" s="1"/>
    </row>
    <row r="4" spans="2:14" ht="4.7" customHeight="1">
      <c r="B4" s="43"/>
      <c r="C4" s="1"/>
      <c r="D4" s="295"/>
      <c r="E4" s="1"/>
      <c r="F4" s="3"/>
      <c r="G4" s="224"/>
      <c r="H4" s="295"/>
      <c r="I4" s="294"/>
      <c r="J4" s="293"/>
      <c r="K4" s="1"/>
      <c r="L4" s="1"/>
      <c r="M4" s="1"/>
      <c r="N4" s="1"/>
    </row>
    <row r="5" spans="2:14" ht="15" customHeight="1">
      <c r="B5" s="43" t="str">
        <f>Texte!A565</f>
        <v>Anzahl Kulturen und Kulturenanteile</v>
      </c>
      <c r="C5" s="43"/>
      <c r="D5" s="1"/>
      <c r="E5" s="1"/>
      <c r="F5" s="1"/>
      <c r="G5" s="1"/>
      <c r="H5" s="1"/>
      <c r="I5" s="196"/>
      <c r="J5" s="296"/>
      <c r="K5" s="1"/>
      <c r="L5" s="1"/>
      <c r="M5" s="1"/>
      <c r="N5" s="1"/>
    </row>
    <row r="6" spans="2:14" ht="15" customHeight="1">
      <c r="B6" s="2637"/>
      <c r="C6" s="2637"/>
      <c r="D6" s="2638" t="str">
        <f>Texte!A566</f>
        <v>Resultat Ihres Betriebes</v>
      </c>
      <c r="E6" s="2639"/>
      <c r="F6" s="2639"/>
      <c r="G6" s="2639"/>
      <c r="H6" s="2638" t="str">
        <f>Texte!A567</f>
        <v>ÖLN-Sollwert (&gt;1ha OA)</v>
      </c>
      <c r="I6" s="2639"/>
      <c r="J6" s="2640" t="str">
        <f>Texte!A583</f>
        <v>max.</v>
      </c>
      <c r="K6" s="1"/>
      <c r="L6" s="1"/>
      <c r="M6" s="1"/>
      <c r="N6" s="1"/>
    </row>
    <row r="7" spans="2:14" ht="12.75">
      <c r="B7" s="2625"/>
      <c r="C7" s="2626"/>
      <c r="D7" s="2608"/>
      <c r="E7" s="2608" t="str">
        <f>Texte!A570</f>
        <v>Anteil pro</v>
      </c>
      <c r="F7" s="2608"/>
      <c r="G7" s="2608" t="str">
        <f>Texte!A575</f>
        <v>Kumulation von</v>
      </c>
      <c r="H7" s="2608" t="str">
        <f>Texte!A578</f>
        <v>max. Anteil</v>
      </c>
      <c r="I7" s="2608" t="str">
        <f>Texte!A581</f>
        <v>Höchst-</v>
      </c>
      <c r="J7" s="2634" t="str">
        <f>Texte!A584</f>
        <v>Flächen-</v>
      </c>
      <c r="K7" s="1"/>
      <c r="L7" s="1"/>
      <c r="M7" s="1"/>
      <c r="N7" s="1"/>
    </row>
    <row r="8" spans="2:14" ht="12.75">
      <c r="B8" s="2610" t="str">
        <f>Texte!A568</f>
        <v>Kultur</v>
      </c>
      <c r="C8" s="2611"/>
      <c r="D8" s="2608" t="str">
        <f>Texte!A569</f>
        <v>Fläche</v>
      </c>
      <c r="E8" s="2608" t="str">
        <f>Texte!A571</f>
        <v>Ackerfläche</v>
      </c>
      <c r="F8" s="2608" t="str">
        <f>Texte!A573</f>
        <v>Anzahl</v>
      </c>
      <c r="G8" s="2608" t="str">
        <f>Texte!A576</f>
        <v>Flächen mit</v>
      </c>
      <c r="H8" s="2608" t="str">
        <f>Texte!A579</f>
        <v>pro Acker-</v>
      </c>
      <c r="I8" s="2608" t="str">
        <f>Texte!A582</f>
        <v>fläche</v>
      </c>
      <c r="J8" s="2634" t="str">
        <f>Texte!A585</f>
        <v>anteil</v>
      </c>
      <c r="K8" s="1"/>
      <c r="L8" s="1"/>
      <c r="M8" s="1"/>
      <c r="N8" s="1"/>
    </row>
    <row r="9" spans="2:14" ht="12.75" customHeight="1">
      <c r="B9" s="2627"/>
      <c r="C9" s="2579"/>
      <c r="D9" s="2608"/>
      <c r="E9" s="2608">
        <f>Texte!A572</f>
        <v>0</v>
      </c>
      <c r="F9" s="2608" t="str">
        <f>Texte!A574</f>
        <v>Kulturen</v>
      </c>
      <c r="G9" s="2608" t="str">
        <f>Texte!A577</f>
        <v>Anteil &lt; 10%</v>
      </c>
      <c r="H9" s="2608" t="str">
        <f>Texte!A580</f>
        <v>fläche</v>
      </c>
      <c r="I9" s="2635"/>
      <c r="J9" s="2634" t="str">
        <f>Texte!A586</f>
        <v>erfüllt?</v>
      </c>
      <c r="K9" s="1"/>
      <c r="L9" s="1"/>
      <c r="M9" s="1"/>
      <c r="N9" s="1"/>
    </row>
    <row r="10" spans="2:14" ht="13.5" thickBot="1">
      <c r="B10" s="2613"/>
      <c r="C10" s="2614"/>
      <c r="D10" s="2499"/>
      <c r="E10" s="2499" t="s">
        <v>1512</v>
      </c>
      <c r="F10" s="2499"/>
      <c r="G10" s="2499" t="s">
        <v>1512</v>
      </c>
      <c r="H10" s="2499" t="s">
        <v>1512</v>
      </c>
      <c r="I10" s="2499" t="s">
        <v>5675</v>
      </c>
      <c r="J10" s="2636" t="str">
        <f>Texte!A587</f>
        <v>ja / nein</v>
      </c>
      <c r="K10" s="1"/>
      <c r="L10" s="1"/>
      <c r="M10" s="1"/>
      <c r="N10" s="1"/>
    </row>
    <row r="11" spans="2:14" ht="13.5" thickBot="1">
      <c r="B11" s="2628" t="str">
        <f>Texte!A588</f>
        <v>Weizen, Dinkel; Körner</v>
      </c>
      <c r="C11" s="2629"/>
      <c r="D11" s="2107">
        <f>SUM(Fläche!E10:E12,Fläche!E19)</f>
        <v>11.836600000000001</v>
      </c>
      <c r="E11" s="2108">
        <f t="shared" ref="E11:E26" si="0">IF($D$51=0,0,ROUND(D11/$D$51*100,1))</f>
        <v>15.8</v>
      </c>
      <c r="F11" s="2109">
        <f t="shared" ref="F11:F16" si="1">IF(E11&gt;=10,1,"")</f>
        <v>1</v>
      </c>
      <c r="G11" s="2110" t="str">
        <f t="shared" ref="G11:G16" si="2">IF(E11&lt;10,E11,"")</f>
        <v/>
      </c>
      <c r="H11" s="322">
        <v>50</v>
      </c>
      <c r="I11" s="315">
        <f>IF(D11=0,0,H11*D$51/100)</f>
        <v>37.39875</v>
      </c>
      <c r="J11" s="318" t="str">
        <f>IF(AND(D11&lt;&gt;0,E11&gt;H11),Texte!A637,IF(AND(D11&lt;&gt;0,E11&lt;=H11),Texte!A636,""))</f>
        <v>ja</v>
      </c>
      <c r="K11" s="1"/>
      <c r="L11" s="1"/>
      <c r="M11" s="1"/>
      <c r="N11" s="1"/>
    </row>
    <row r="12" spans="2:14" ht="12.75">
      <c r="B12" s="2630" t="str">
        <f>Texte!A590</f>
        <v>Emmer, Einkorn</v>
      </c>
      <c r="C12" s="2631"/>
      <c r="D12" s="2115">
        <f>Fläche!E20</f>
        <v>0</v>
      </c>
      <c r="E12" s="2116">
        <f t="shared" si="0"/>
        <v>0</v>
      </c>
      <c r="F12" s="2117" t="str">
        <f t="shared" si="1"/>
        <v/>
      </c>
      <c r="G12" s="2118">
        <f t="shared" si="2"/>
        <v>0</v>
      </c>
      <c r="H12" s="308"/>
      <c r="I12" s="213"/>
      <c r="J12" s="138"/>
      <c r="K12" s="1"/>
      <c r="L12" s="1"/>
      <c r="M12" s="1"/>
      <c r="N12" s="1"/>
    </row>
    <row r="13" spans="2:14" ht="12.75">
      <c r="B13" s="2630" t="str">
        <f>Texte!A592</f>
        <v>Gerste</v>
      </c>
      <c r="C13" s="2631"/>
      <c r="D13" s="2115">
        <f>SUM(Fläche!E13:E14)</f>
        <v>0</v>
      </c>
      <c r="E13" s="2116">
        <f t="shared" si="0"/>
        <v>0</v>
      </c>
      <c r="F13" s="2117" t="str">
        <f t="shared" si="1"/>
        <v/>
      </c>
      <c r="G13" s="2118">
        <f t="shared" si="2"/>
        <v>0</v>
      </c>
      <c r="H13" s="308"/>
      <c r="I13" s="213"/>
      <c r="J13" s="138"/>
      <c r="K13" s="1"/>
      <c r="L13" s="1"/>
      <c r="M13" s="1"/>
      <c r="N13" s="1"/>
    </row>
    <row r="14" spans="2:14" ht="12.75">
      <c r="B14" s="2630" t="str">
        <f>Texte!A593</f>
        <v>Roggen</v>
      </c>
      <c r="C14" s="2631"/>
      <c r="D14" s="2115">
        <f>SUM(Fläche!E17:E18)</f>
        <v>0</v>
      </c>
      <c r="E14" s="2116">
        <f t="shared" si="0"/>
        <v>0</v>
      </c>
      <c r="F14" s="2117" t="str">
        <f t="shared" si="1"/>
        <v/>
      </c>
      <c r="G14" s="2118">
        <f t="shared" si="2"/>
        <v>0</v>
      </c>
      <c r="H14" s="308"/>
      <c r="I14" s="213"/>
      <c r="J14" s="138"/>
      <c r="K14" s="1"/>
      <c r="L14" s="1"/>
      <c r="M14" s="1"/>
      <c r="N14" s="1"/>
    </row>
    <row r="15" spans="2:14" ht="12.75">
      <c r="B15" s="2630" t="str">
        <f>Texte!A594</f>
        <v>Triticale</v>
      </c>
      <c r="C15" s="2631"/>
      <c r="D15" s="2115">
        <f>SUM(Fläche!E21:E22)</f>
        <v>0</v>
      </c>
      <c r="E15" s="2116">
        <f t="shared" si="0"/>
        <v>0</v>
      </c>
      <c r="F15" s="2117" t="str">
        <f t="shared" si="1"/>
        <v/>
      </c>
      <c r="G15" s="2118">
        <f t="shared" si="2"/>
        <v>0</v>
      </c>
      <c r="H15" s="308"/>
      <c r="I15" s="213"/>
      <c r="J15" s="138"/>
      <c r="K15" s="1"/>
      <c r="L15" s="1"/>
      <c r="M15" s="1"/>
      <c r="N15" s="1"/>
    </row>
    <row r="16" spans="2:14" ht="13.5" thickBot="1">
      <c r="B16" s="2621" t="str">
        <f>Texte!A595</f>
        <v>Getreide-Silage mit u. ohne Legumin.</v>
      </c>
      <c r="C16" s="2632"/>
      <c r="D16" s="2119">
        <f>SUM(Fläche!E23:E24)</f>
        <v>1.6211</v>
      </c>
      <c r="E16" s="2120">
        <f t="shared" si="0"/>
        <v>2.2000000000000002</v>
      </c>
      <c r="F16" s="2121" t="str">
        <f t="shared" si="1"/>
        <v/>
      </c>
      <c r="G16" s="2122">
        <f t="shared" si="2"/>
        <v>2.2000000000000002</v>
      </c>
      <c r="H16" s="308"/>
      <c r="I16" s="213"/>
      <c r="J16" s="138"/>
      <c r="K16" s="1"/>
      <c r="L16" s="1"/>
      <c r="M16" s="1"/>
      <c r="N16" s="1"/>
    </row>
    <row r="17" spans="2:14" ht="13.5" thickBot="1">
      <c r="B17" s="2623"/>
      <c r="C17" s="2624" t="str">
        <f>Texte!A596</f>
        <v>Getreide total; ohne Hafer, Hirse, Mais</v>
      </c>
      <c r="D17" s="309">
        <f>SUM(D11:D12,D13:D16)</f>
        <v>13.457700000000001</v>
      </c>
      <c r="E17" s="310">
        <f t="shared" si="0"/>
        <v>18</v>
      </c>
      <c r="F17" s="311"/>
      <c r="G17" s="319"/>
      <c r="H17" s="312">
        <v>66</v>
      </c>
      <c r="I17" s="313">
        <f t="shared" ref="I17:I25" si="3">IF(D17=0,0,H17*D$51/100)</f>
        <v>49.366350000000004</v>
      </c>
      <c r="J17" s="314" t="str">
        <f>IF(AND(D17&lt;&gt;0,E17&gt;H17),Texte!A637,IF(AND(D17&lt;&gt;0,E17&lt;=H17),Texte!A636,""))</f>
        <v>ja</v>
      </c>
      <c r="K17" s="1"/>
      <c r="L17" s="1"/>
      <c r="M17" s="1"/>
      <c r="N17" s="1"/>
    </row>
    <row r="18" spans="2:14" ht="13.5" thickBot="1">
      <c r="B18" s="2613" t="str">
        <f>Texte!A597</f>
        <v>Hafer</v>
      </c>
      <c r="C18" s="2614"/>
      <c r="D18" s="304">
        <f>SUM(Fläche!E15:E16)</f>
        <v>0</v>
      </c>
      <c r="E18" s="305">
        <f t="shared" si="0"/>
        <v>0</v>
      </c>
      <c r="F18" s="306" t="str">
        <f>IF(E18&gt;=10,1,"")</f>
        <v/>
      </c>
      <c r="G18" s="307">
        <f>IF(E18&lt;10,E18,"")</f>
        <v>0</v>
      </c>
      <c r="H18" s="308">
        <v>25</v>
      </c>
      <c r="I18" s="304">
        <f t="shared" si="3"/>
        <v>0</v>
      </c>
      <c r="J18" s="318" t="str">
        <f>IF(AND(D18&lt;&gt;0,E18&gt;H18),Texte!$A$637,IF(AND(D18&lt;&gt;0,E18&lt;=H18),Texte!$A$636,""))</f>
        <v/>
      </c>
      <c r="K18" s="1"/>
      <c r="L18" s="1"/>
      <c r="M18" s="1"/>
      <c r="N18" s="1"/>
    </row>
    <row r="19" spans="2:14" ht="13.5" thickBot="1">
      <c r="B19" s="2613" t="str">
        <f>Texte!A598</f>
        <v>Hirse</v>
      </c>
      <c r="C19" s="2614"/>
      <c r="D19" s="304">
        <f>Fläche!E36</f>
        <v>0</v>
      </c>
      <c r="E19" s="305">
        <f t="shared" si="0"/>
        <v>0</v>
      </c>
      <c r="F19" s="306" t="str">
        <f>IF(E19&gt;=10,1,"")</f>
        <v/>
      </c>
      <c r="G19" s="307">
        <f>IF(E19&lt;10,E19,"")</f>
        <v>0</v>
      </c>
      <c r="H19" s="317">
        <v>33</v>
      </c>
      <c r="I19" s="304">
        <f t="shared" si="3"/>
        <v>0</v>
      </c>
      <c r="J19" s="318" t="str">
        <f>IF(AND(D19&lt;&gt;0,E19&gt;H19),Texte!$A$637,IF(AND(D19&lt;&gt;0,E19&lt;=H19),Texte!$A$636,""))</f>
        <v/>
      </c>
      <c r="K19" s="1"/>
      <c r="L19" s="1"/>
      <c r="M19" s="1"/>
      <c r="N19" s="1"/>
    </row>
    <row r="20" spans="2:14" ht="13.5" thickBot="1">
      <c r="B20" s="2613" t="str">
        <f>Texte!A601</f>
        <v>Mais¹, Körner-, Silo-, …</v>
      </c>
      <c r="C20" s="2614"/>
      <c r="D20" s="304">
        <f>SUM(Fläche!E32,Fläche!N27,Fläche!N30:N31)</f>
        <v>2</v>
      </c>
      <c r="E20" s="305">
        <f t="shared" si="0"/>
        <v>2.7</v>
      </c>
      <c r="F20" s="306" t="str">
        <f t="shared" ref="F20:F26" si="4">IF(E20&gt;=10,1,"")</f>
        <v/>
      </c>
      <c r="G20" s="307">
        <f t="shared" ref="G20:G26" si="5">IF(E20&lt;10,E20,"")</f>
        <v>2.7</v>
      </c>
      <c r="H20" s="743">
        <f>J61</f>
        <v>40</v>
      </c>
      <c r="I20" s="304">
        <f t="shared" si="3"/>
        <v>29.919</v>
      </c>
      <c r="J20" s="318" t="str">
        <f>IF(AND(D20&lt;&gt;0,E20&gt;H20),Texte!A637,IF(AND(D20&lt;&gt;0,E20&lt;=H20),Texte!A636,""))</f>
        <v>ja</v>
      </c>
      <c r="K20" s="1"/>
      <c r="L20" s="1"/>
      <c r="M20" s="1"/>
      <c r="N20" s="1"/>
    </row>
    <row r="21" spans="2:14" ht="13.5" thickBot="1">
      <c r="B21" s="2613" t="str">
        <f>Texte!A599</f>
        <v>Ganzpflanzen-Sorghum</v>
      </c>
      <c r="C21" s="2614"/>
      <c r="D21" s="304">
        <f>Fläche!$N$28</f>
        <v>0</v>
      </c>
      <c r="E21" s="305">
        <f t="shared" si="0"/>
        <v>0</v>
      </c>
      <c r="F21" s="306" t="str">
        <f>IF(E21&gt;=10,1,"")</f>
        <v/>
      </c>
      <c r="G21" s="307">
        <f>IF(E21&lt;10,E21,"")</f>
        <v>0</v>
      </c>
      <c r="H21" s="317">
        <f>H19</f>
        <v>33</v>
      </c>
      <c r="I21" s="304">
        <f t="shared" si="3"/>
        <v>0</v>
      </c>
      <c r="J21" s="318" t="str">
        <f>IF(AND(D21&lt;&gt;0,E21&gt;H21),Texte!$A$637,IF(AND(D21&lt;&gt;0,E21&lt;=H21),Texte!$A$636,""))</f>
        <v/>
      </c>
      <c r="K21" s="1"/>
      <c r="L21" s="1"/>
      <c r="M21" s="1"/>
      <c r="N21" s="1"/>
    </row>
    <row r="22" spans="2:14" ht="13.5" thickBot="1">
      <c r="B22" s="2613" t="str">
        <f>Texte!A600</f>
        <v>Reis</v>
      </c>
      <c r="C22" s="2614"/>
      <c r="D22" s="304">
        <f>IF(Fläche!$B$37=Ff!$B$22,Fläche!$E$37,0)</f>
        <v>0</v>
      </c>
      <c r="E22" s="305">
        <f t="shared" si="0"/>
        <v>0</v>
      </c>
      <c r="F22" s="306" t="str">
        <f>IF(E22&gt;=10,1,"")</f>
        <v/>
      </c>
      <c r="G22" s="307">
        <f>IF(E22&lt;10,E22,"")</f>
        <v>0</v>
      </c>
      <c r="H22" s="317">
        <f>H19</f>
        <v>33</v>
      </c>
      <c r="I22" s="304">
        <f t="shared" si="3"/>
        <v>0</v>
      </c>
      <c r="J22" s="318" t="str">
        <f>IF(AND(D22&lt;&gt;0,E22&gt;H22),Texte!$A$637,IF(AND(D22&lt;&gt;0,E22&lt;=H22),Texte!$A$636,""))</f>
        <v/>
      </c>
      <c r="K22" s="1"/>
      <c r="L22" s="1"/>
      <c r="M22" s="1"/>
      <c r="N22" s="1"/>
    </row>
    <row r="23" spans="2:14" ht="13.5" thickBot="1">
      <c r="B23" s="2613" t="str">
        <f>Texte!A602</f>
        <v>Rüben, Zucker- u. Futter-</v>
      </c>
      <c r="C23" s="2614"/>
      <c r="D23" s="304">
        <f>SUM(Fläche!E31,Fläche!N29)</f>
        <v>0</v>
      </c>
      <c r="E23" s="305">
        <f t="shared" si="0"/>
        <v>0</v>
      </c>
      <c r="F23" s="306" t="str">
        <f t="shared" si="4"/>
        <v/>
      </c>
      <c r="G23" s="307">
        <f t="shared" si="5"/>
        <v>0</v>
      </c>
      <c r="H23" s="317">
        <v>25</v>
      </c>
      <c r="I23" s="315">
        <f t="shared" si="3"/>
        <v>0</v>
      </c>
      <c r="J23" s="318" t="str">
        <f>IF(AND(D23&lt;&gt;0,E23&gt;H23),Texte!A637,IF(AND(D23&lt;&gt;0,E23&lt;=H23),Texte!A636,""))</f>
        <v/>
      </c>
      <c r="K23" s="1"/>
      <c r="L23" s="1"/>
      <c r="M23" s="1"/>
      <c r="N23" s="1"/>
    </row>
    <row r="24" spans="2:14" ht="12.75" customHeight="1" thickBot="1">
      <c r="B24" s="2613" t="str">
        <f>Texte!A603</f>
        <v>Kartoffeln</v>
      </c>
      <c r="C24" s="2614"/>
      <c r="D24" s="304">
        <f>SUM(Fläche!E28:E30)</f>
        <v>14.182500000000001</v>
      </c>
      <c r="E24" s="305">
        <f t="shared" si="0"/>
        <v>19</v>
      </c>
      <c r="F24" s="306">
        <f>IF(E24&gt;=10,1,"")</f>
        <v>1</v>
      </c>
      <c r="G24" s="307" t="str">
        <f>IF(E24&lt;10,E24,"")</f>
        <v/>
      </c>
      <c r="H24" s="322">
        <v>25</v>
      </c>
      <c r="I24" s="304">
        <f t="shared" si="3"/>
        <v>18.699375</v>
      </c>
      <c r="J24" s="318" t="str">
        <f>IF(AND(D24&lt;&gt;0,E24&gt;H24),Texte!A637,IF(AND(D24&lt;&gt;0,E24&lt;=H24),Texte!A636,""))</f>
        <v>ja</v>
      </c>
      <c r="K24" s="1"/>
      <c r="L24" s="1"/>
      <c r="M24" s="1"/>
      <c r="N24" s="1"/>
    </row>
    <row r="25" spans="2:14" ht="13.5" thickBot="1">
      <c r="B25" s="2613" t="str">
        <f>Texte!A604</f>
        <v>Tabak</v>
      </c>
      <c r="C25" s="2614"/>
      <c r="D25" s="304">
        <f>SUM(Fläche!E50:E51)</f>
        <v>0</v>
      </c>
      <c r="E25" s="305">
        <f t="shared" si="0"/>
        <v>0</v>
      </c>
      <c r="F25" s="306" t="str">
        <f>IF(E25&gt;=10,1,"")</f>
        <v/>
      </c>
      <c r="G25" s="307">
        <f>IF(E25&lt;10,E25,"")</f>
        <v>0</v>
      </c>
      <c r="H25" s="322">
        <v>25</v>
      </c>
      <c r="I25" s="304">
        <f t="shared" si="3"/>
        <v>0</v>
      </c>
      <c r="J25" s="318" t="str">
        <f>IF(AND(D25&lt;&gt;0,E25&gt;H25),Texte!A637,IF(AND(D25&lt;&gt;0,E25&lt;=H25),Texte!A636,""))</f>
        <v/>
      </c>
      <c r="K25" s="1"/>
      <c r="L25" s="1"/>
      <c r="M25" s="1"/>
      <c r="N25" s="1"/>
    </row>
    <row r="26" spans="2:14" ht="12.75">
      <c r="B26" s="2628" t="str">
        <f>Texte!A605</f>
        <v>Eiweisserbsen</v>
      </c>
      <c r="C26" s="2629"/>
      <c r="D26" s="2107">
        <f>Fläche!E33</f>
        <v>0</v>
      </c>
      <c r="E26" s="2108">
        <f t="shared" si="0"/>
        <v>0</v>
      </c>
      <c r="F26" s="2109" t="str">
        <f t="shared" si="4"/>
        <v/>
      </c>
      <c r="G26" s="2110">
        <f t="shared" si="5"/>
        <v>0</v>
      </c>
      <c r="H26" s="746"/>
      <c r="I26" s="213"/>
      <c r="J26" s="138"/>
      <c r="K26" s="1"/>
      <c r="L26" s="1"/>
      <c r="M26" s="1"/>
      <c r="N26" s="1"/>
    </row>
    <row r="27" spans="2:14" ht="13.5" thickBot="1">
      <c r="B27" s="2621" t="str">
        <f>Texte!A606</f>
        <v>Drescherbsen</v>
      </c>
      <c r="C27" s="2632"/>
      <c r="D27" s="2111"/>
      <c r="E27" s="2112"/>
      <c r="F27" s="2113"/>
      <c r="G27" s="2114"/>
      <c r="H27" s="321"/>
      <c r="I27" s="747"/>
      <c r="J27" s="138"/>
      <c r="K27" s="1"/>
      <c r="L27" s="1"/>
      <c r="M27" s="1"/>
      <c r="N27" s="1"/>
    </row>
    <row r="28" spans="2:14" ht="13.5" thickBot="1">
      <c r="B28" s="2623"/>
      <c r="C28" s="2624" t="str">
        <f>Texte!A607</f>
        <v>Erbsen total</v>
      </c>
      <c r="D28" s="309">
        <f>SUM(D26:D27)</f>
        <v>0</v>
      </c>
      <c r="E28" s="310">
        <f t="shared" ref="E28:E44" si="6">IF($D$51=0,0,ROUND(D28/$D$51*100,1))</f>
        <v>0</v>
      </c>
      <c r="F28" s="2489"/>
      <c r="G28" s="2490"/>
      <c r="H28" s="312">
        <v>15</v>
      </c>
      <c r="I28" s="313">
        <f>IF(D28=0,0,H28*D$51/100)</f>
        <v>0</v>
      </c>
      <c r="J28" s="314" t="str">
        <f>IF(AND(D28&lt;&gt;0,E28&gt;H28),Texte!A637,IF(AND(D28&lt;&gt;0,E28&lt;=H28),Texte!A636,""))</f>
        <v/>
      </c>
      <c r="K28" s="1"/>
      <c r="L28" s="1"/>
      <c r="M28" s="1"/>
      <c r="N28" s="1"/>
    </row>
    <row r="29" spans="2:14" ht="13.5" thickBot="1">
      <c r="B29" s="2617" t="str">
        <f>Texte!A608</f>
        <v>Ackerbohnen</v>
      </c>
      <c r="C29" s="2618"/>
      <c r="D29" s="879">
        <f>Fläche!E34</f>
        <v>0</v>
      </c>
      <c r="E29" s="2484">
        <f t="shared" si="6"/>
        <v>0</v>
      </c>
      <c r="F29" s="401" t="str">
        <f>IF(E29&gt;=10,1,"")</f>
        <v/>
      </c>
      <c r="G29" s="2484">
        <f>IF(E29&lt;10,E29,"")</f>
        <v>0</v>
      </c>
      <c r="H29" s="338">
        <v>25</v>
      </c>
      <c r="I29" s="2106">
        <f>IF(D29=0,0,H29*D$51/100)</f>
        <v>0</v>
      </c>
      <c r="J29" s="318" t="str">
        <f>IF(AND(D29&lt;&gt;0,E29&gt;H29),Texte!A637,IF(AND(D29&lt;&gt;0,E29&lt;=H29),Texte!A636,""))</f>
        <v/>
      </c>
      <c r="K29" s="1"/>
      <c r="L29" s="1"/>
      <c r="M29" s="1"/>
      <c r="N29" s="1"/>
    </row>
    <row r="30" spans="2:14" ht="13.5" thickBot="1">
      <c r="B30" s="2617" t="str">
        <f>Texte!A609</f>
        <v>Soja</v>
      </c>
      <c r="C30" s="2618"/>
      <c r="D30" s="879">
        <f>Fläche!E35</f>
        <v>0</v>
      </c>
      <c r="E30" s="2484">
        <f t="shared" si="6"/>
        <v>0</v>
      </c>
      <c r="F30" s="401" t="str">
        <f>IF(E30&gt;=10,1,"")</f>
        <v/>
      </c>
      <c r="G30" s="2484">
        <f>IF(E30&lt;10,E30,"")</f>
        <v>0</v>
      </c>
      <c r="H30" s="338">
        <v>25</v>
      </c>
      <c r="I30" s="2106">
        <f>IF(D30=0,0,H30*D$51/100)</f>
        <v>0</v>
      </c>
      <c r="J30" s="318" t="str">
        <f>IF(AND(D30&lt;&gt;0,E30&gt;H30),Texte!A637,IF(AND(D30&lt;&gt;0,E30&lt;=H30),Texte!A636,""))</f>
        <v/>
      </c>
      <c r="K30" s="1"/>
      <c r="L30" s="1"/>
      <c r="M30" s="1"/>
      <c r="N30" s="1"/>
    </row>
    <row r="31" spans="2:14" ht="12.75">
      <c r="B31" s="2619" t="str">
        <f>Texte!A611</f>
        <v>Raps</v>
      </c>
      <c r="C31" s="2620"/>
      <c r="D31" s="2485">
        <f>SUM(Fläche!E26,Fläche!E27,Fläche!E48)</f>
        <v>0</v>
      </c>
      <c r="E31" s="2486">
        <f t="shared" si="6"/>
        <v>0</v>
      </c>
      <c r="F31" s="2487" t="str">
        <f>IF(E31&gt;=10,1,"")</f>
        <v/>
      </c>
      <c r="G31" s="2486">
        <f>IF(E31&lt;10,E31,"")</f>
        <v>0</v>
      </c>
      <c r="H31" s="2488">
        <f>IF(Allg!Erntejahr&gt;2014,25,"")</f>
        <v>25</v>
      </c>
      <c r="I31" s="2485">
        <f>IF(H31&lt;&gt;"",IF(D31=0,0,H31*D$51/100),"")</f>
        <v>0</v>
      </c>
      <c r="J31" s="138"/>
      <c r="K31" s="1"/>
      <c r="L31" s="1"/>
      <c r="M31" s="1"/>
      <c r="N31" s="1"/>
    </row>
    <row r="32" spans="2:14" ht="13.5" thickBot="1">
      <c r="B32" s="2621" t="str">
        <f>Texte!A612</f>
        <v>Sonnenblumen</v>
      </c>
      <c r="C32" s="2622"/>
      <c r="D32" s="2481">
        <f>Fläche!E49</f>
        <v>0</v>
      </c>
      <c r="E32" s="2122">
        <f t="shared" si="6"/>
        <v>0</v>
      </c>
      <c r="F32" s="2482" t="str">
        <f>IF(E32&gt;=10,1,"")</f>
        <v/>
      </c>
      <c r="G32" s="2122">
        <f>IF(E32&lt;10,E32,"")</f>
        <v>0</v>
      </c>
      <c r="H32" s="2483">
        <f>IF(Allg!Erntejahr&gt;2014,25,"")</f>
        <v>25</v>
      </c>
      <c r="I32" s="2481">
        <f>IF(H32&lt;&gt;"",IF(D32=0,0,H32*D$51/100),)</f>
        <v>0</v>
      </c>
      <c r="J32" s="138"/>
      <c r="K32" s="1"/>
      <c r="L32" s="1"/>
      <c r="M32" s="1"/>
      <c r="N32" s="1"/>
    </row>
    <row r="33" spans="2:14" ht="13.5" thickBot="1">
      <c r="B33" s="2623"/>
      <c r="C33" s="2624" t="str">
        <f>Texte!A613</f>
        <v>Sklerotinia-anfällige Kulturen total</v>
      </c>
      <c r="D33" s="309">
        <f>SUM(D31,D32)</f>
        <v>0</v>
      </c>
      <c r="E33" s="310">
        <f t="shared" si="6"/>
        <v>0</v>
      </c>
      <c r="F33" s="311"/>
      <c r="G33" s="320"/>
      <c r="H33" s="312">
        <f>IF(Allg!Erntejahr&gt;2014,33,25)</f>
        <v>33</v>
      </c>
      <c r="I33" s="313">
        <f>IF(D33=0,0,H33*D$51/100)</f>
        <v>0</v>
      </c>
      <c r="J33" s="314" t="str">
        <f>IF(D33&lt;&gt;0,IF(OR(E33&gt;H33,E32&gt;H32,E31&gt;H31),Texte!A637,Texte!A636),"")</f>
        <v/>
      </c>
      <c r="K33" s="1"/>
      <c r="L33" s="1"/>
      <c r="M33" s="1"/>
      <c r="N33" s="1"/>
    </row>
    <row r="34" spans="2:14" ht="12.75">
      <c r="B34" s="2613" t="str">
        <f>IF(Fläche!$B$37=$B$22,"",Fläche!$B$37)</f>
        <v>Nicht aufgefuehrte Ackerkultur</v>
      </c>
      <c r="C34" s="2614"/>
      <c r="D34" s="304">
        <f>IF(Fläche!$B$37=Ff!$B$22,0,Fläche!$E$37)</f>
        <v>0.76600000000000001</v>
      </c>
      <c r="E34" s="305">
        <f t="shared" si="6"/>
        <v>1</v>
      </c>
      <c r="F34" s="306" t="str">
        <f t="shared" ref="F34:F42" si="7">IF(E34&gt;=10,1,"")</f>
        <v/>
      </c>
      <c r="G34" s="307">
        <f t="shared" ref="G34:G44" si="8">IF(E34&lt;10,E34,"")</f>
        <v>1</v>
      </c>
      <c r="H34" s="308"/>
      <c r="I34" s="213"/>
      <c r="J34" s="138"/>
      <c r="K34" s="1"/>
      <c r="L34" s="1"/>
      <c r="M34" s="1"/>
      <c r="N34" s="1"/>
    </row>
    <row r="35" spans="2:14" ht="12.75">
      <c r="B35" s="2613" t="str">
        <f>Texte!A614</f>
        <v>Öl-, Faserlein</v>
      </c>
      <c r="C35" s="2614"/>
      <c r="D35" s="304">
        <f>SUM(Fläche!E44:E45)</f>
        <v>0</v>
      </c>
      <c r="E35" s="305">
        <f t="shared" si="6"/>
        <v>0</v>
      </c>
      <c r="F35" s="306" t="str">
        <f t="shared" si="7"/>
        <v/>
      </c>
      <c r="G35" s="307">
        <f t="shared" si="8"/>
        <v>0</v>
      </c>
      <c r="H35" s="308"/>
      <c r="I35" s="213"/>
      <c r="J35" s="138"/>
      <c r="K35" s="1"/>
      <c r="L35" s="1"/>
      <c r="M35" s="1"/>
      <c r="N35" s="1"/>
    </row>
    <row r="36" spans="2:14" ht="12.75">
      <c r="B36" s="2613" t="str">
        <f>Texte!A615</f>
        <v>Öl-, Faserhanf</v>
      </c>
      <c r="C36" s="2614"/>
      <c r="D36" s="304">
        <f>SUM(Fläche!E46:E47)</f>
        <v>0</v>
      </c>
      <c r="E36" s="305">
        <f t="shared" si="6"/>
        <v>0</v>
      </c>
      <c r="F36" s="306" t="str">
        <f t="shared" si="7"/>
        <v/>
      </c>
      <c r="G36" s="307">
        <f t="shared" si="8"/>
        <v>0</v>
      </c>
      <c r="H36" s="308"/>
      <c r="I36" s="213"/>
      <c r="J36" s="138"/>
      <c r="K36" s="1"/>
      <c r="L36" s="1"/>
      <c r="M36" s="1"/>
      <c r="N36" s="1"/>
    </row>
    <row r="37" spans="2:14" ht="12.75">
      <c r="B37" s="2613" t="str">
        <f>Texte!A616</f>
        <v>Buntbrache</v>
      </c>
      <c r="C37" s="2614"/>
      <c r="D37" s="304">
        <f>Fläche!E53</f>
        <v>0</v>
      </c>
      <c r="E37" s="305">
        <f t="shared" si="6"/>
        <v>0</v>
      </c>
      <c r="F37" s="306" t="str">
        <f t="shared" si="7"/>
        <v/>
      </c>
      <c r="G37" s="307">
        <f t="shared" si="8"/>
        <v>0</v>
      </c>
      <c r="H37" s="308"/>
      <c r="I37" s="213"/>
      <c r="J37" s="138"/>
      <c r="K37" s="1"/>
      <c r="L37" s="1"/>
      <c r="M37" s="1"/>
      <c r="N37" s="1"/>
    </row>
    <row r="38" spans="2:14" ht="12.75">
      <c r="B38" s="2613" t="str">
        <f>Texte!A617</f>
        <v>Rotationsbrache</v>
      </c>
      <c r="C38" s="2614"/>
      <c r="D38" s="304">
        <f>Fläche!E52</f>
        <v>0</v>
      </c>
      <c r="E38" s="305">
        <f t="shared" si="6"/>
        <v>0</v>
      </c>
      <c r="F38" s="306" t="str">
        <f t="shared" si="7"/>
        <v/>
      </c>
      <c r="G38" s="307">
        <f t="shared" si="8"/>
        <v>0</v>
      </c>
      <c r="H38" s="308"/>
      <c r="I38" s="213"/>
      <c r="J38" s="138"/>
      <c r="K38" s="1"/>
      <c r="L38" s="1"/>
      <c r="M38" s="1"/>
      <c r="N38" s="1"/>
    </row>
    <row r="39" spans="2:14" ht="12.75">
      <c r="B39" s="2613" t="str">
        <f>Texte!A618</f>
        <v>Säume auf Ackerflächen</v>
      </c>
      <c r="C39" s="2614"/>
      <c r="D39" s="304">
        <f>Fläche!E54</f>
        <v>0.1658</v>
      </c>
      <c r="E39" s="305">
        <f t="shared" si="6"/>
        <v>0.2</v>
      </c>
      <c r="F39" s="306" t="str">
        <f t="shared" si="7"/>
        <v/>
      </c>
      <c r="G39" s="307">
        <f t="shared" si="8"/>
        <v>0.2</v>
      </c>
      <c r="H39" s="308"/>
      <c r="I39" s="213"/>
      <c r="J39" s="138"/>
      <c r="K39" s="1"/>
      <c r="L39" s="1"/>
      <c r="M39" s="1"/>
      <c r="N39" s="1"/>
    </row>
    <row r="40" spans="2:14" ht="12.75">
      <c r="B40" s="2613" t="str">
        <f>Texte!A621</f>
        <v>Nützlingsstreifen (oAF)</v>
      </c>
      <c r="C40" s="2614"/>
      <c r="D40" s="304">
        <f>Fläche!E56</f>
        <v>0</v>
      </c>
      <c r="E40" s="305">
        <f t="shared" si="6"/>
        <v>0</v>
      </c>
      <c r="F40" s="306" t="str">
        <f t="shared" si="7"/>
        <v/>
      </c>
      <c r="G40" s="307">
        <f t="shared" si="8"/>
        <v>0</v>
      </c>
      <c r="H40" s="308"/>
      <c r="I40" s="213"/>
      <c r="J40" s="138"/>
      <c r="K40" s="1"/>
      <c r="L40" s="1"/>
      <c r="M40" s="1"/>
      <c r="N40" s="1"/>
    </row>
    <row r="41" spans="2:14" ht="12.75">
      <c r="B41" s="2615" t="str">
        <f>Texte!A622</f>
        <v>Erdbeeren, 1-jährig</v>
      </c>
      <c r="C41" s="2616"/>
      <c r="D41" s="304">
        <f>Fläche!E41</f>
        <v>0.22550000000000001</v>
      </c>
      <c r="E41" s="305">
        <f t="shared" si="6"/>
        <v>0.3</v>
      </c>
      <c r="F41" s="306" t="str">
        <f t="shared" si="7"/>
        <v/>
      </c>
      <c r="G41" s="307">
        <f t="shared" si="8"/>
        <v>0.3</v>
      </c>
      <c r="H41" s="308"/>
      <c r="I41" s="213"/>
      <c r="J41" s="138"/>
      <c r="K41" s="1"/>
      <c r="L41" s="1"/>
      <c r="M41" s="1"/>
      <c r="N41" s="1"/>
    </row>
    <row r="42" spans="2:14" ht="12.75">
      <c r="B42" s="2613" t="str">
        <f>Texte!A623</f>
        <v>Heil-, Gewürzpflanzen, 1-j.</v>
      </c>
      <c r="C42" s="2614"/>
      <c r="D42" s="304">
        <f>Fläche!E42</f>
        <v>0</v>
      </c>
      <c r="E42" s="305">
        <f t="shared" si="6"/>
        <v>0</v>
      </c>
      <c r="F42" s="306" t="str">
        <f t="shared" si="7"/>
        <v/>
      </c>
      <c r="G42" s="307">
        <f t="shared" si="8"/>
        <v>0</v>
      </c>
      <c r="H42" s="308"/>
      <c r="I42" s="213"/>
      <c r="J42" s="138"/>
      <c r="K42" s="1"/>
      <c r="L42" s="1"/>
      <c r="M42" s="1"/>
      <c r="N42" s="1"/>
    </row>
    <row r="43" spans="2:14" ht="12.75">
      <c r="B43" s="2613" t="str">
        <f>Texte!A624</f>
        <v>Schnittblumen, 1-jährig</v>
      </c>
      <c r="C43" s="2614"/>
      <c r="D43" s="304">
        <f>Fläche!E43</f>
        <v>0</v>
      </c>
      <c r="E43" s="305">
        <f t="shared" si="6"/>
        <v>0</v>
      </c>
      <c r="F43" s="306"/>
      <c r="G43" s="307">
        <f t="shared" si="8"/>
        <v>0</v>
      </c>
      <c r="H43" s="308"/>
      <c r="I43" s="213"/>
      <c r="J43" s="138"/>
      <c r="K43" s="1"/>
      <c r="L43" s="1"/>
      <c r="M43" s="1"/>
      <c r="N43" s="1"/>
    </row>
    <row r="44" spans="2:14" ht="12.75">
      <c r="B44" s="2613" t="str">
        <f>Texte!A625</f>
        <v>Freilandgemüse, inkl.Konserven</v>
      </c>
      <c r="C44" s="2614"/>
      <c r="D44" s="304">
        <f>SUM(Fläche!E39:E40)</f>
        <v>44</v>
      </c>
      <c r="E44" s="305">
        <f t="shared" si="6"/>
        <v>58.8</v>
      </c>
      <c r="F44" s="2499">
        <f>IF(AND(E44&lt;10,J44&lt;2),0,IF(AND(E44&gt;=10,J44&lt;2),1,IF(AND(E44&lt;10,J44&gt;=2),0,IF(AND(E44&gt;=10,E44&lt;20,J44&gt;=2),1,IF(AND(E44&gt;=20,E44&lt;30,J44&gt;=2),2,IF(AND(E44&gt;=30,J44&gt;=2),3,""))))))</f>
        <v>1</v>
      </c>
      <c r="G44" s="307" t="str">
        <f t="shared" si="8"/>
        <v/>
      </c>
      <c r="H44" s="308"/>
      <c r="I44" s="323" t="str">
        <f>Texte!A626</f>
        <v>Anzahl Familien</v>
      </c>
      <c r="J44" s="324"/>
      <c r="K44" s="1"/>
      <c r="L44" s="1"/>
      <c r="M44" s="1"/>
      <c r="N44" s="1"/>
    </row>
    <row r="45" spans="2:14" ht="4.7" customHeight="1" thickBot="1">
      <c r="B45" s="2579"/>
      <c r="C45" s="2579"/>
      <c r="D45" s="213"/>
      <c r="E45" s="325"/>
      <c r="F45" s="326"/>
      <c r="G45" s="327"/>
      <c r="H45" s="138"/>
      <c r="I45" s="138"/>
      <c r="J45" s="138"/>
      <c r="K45" s="1"/>
      <c r="L45" s="1"/>
      <c r="M45" s="1"/>
      <c r="N45" s="1"/>
    </row>
    <row r="46" spans="2:14" ht="15" customHeight="1" thickBot="1">
      <c r="B46" s="2579"/>
      <c r="C46" s="2633" t="str">
        <f>Texte!A627</f>
        <v>Offene Ackerfläche (OA)</v>
      </c>
      <c r="D46" s="329">
        <f>SUM(Fläche!offeneAckerfläche)</f>
        <v>74.797499999999999</v>
      </c>
      <c r="E46" s="330" t="str">
        <f>Texte!A628</f>
        <v xml:space="preserve">  Diese Fläche entspricht der Summe aus "Getreide", "Markt- und </v>
      </c>
      <c r="F46" s="326"/>
      <c r="G46" s="327"/>
      <c r="H46" s="138"/>
      <c r="I46" s="138"/>
      <c r="J46" s="138"/>
      <c r="K46" s="1"/>
      <c r="L46" s="1"/>
      <c r="M46" s="1"/>
      <c r="N46" s="1"/>
    </row>
    <row r="47" spans="2:14" ht="12.75">
      <c r="B47" s="2579"/>
      <c r="C47" s="2633"/>
      <c r="D47" s="213"/>
      <c r="E47" s="330" t="str">
        <f>Texte!A629</f>
        <v xml:space="preserve">  Futterhackfrüchte" sowie "Gemüsebau, Diverses" im Blatt 'Fläche'</v>
      </c>
      <c r="F47" s="326"/>
      <c r="G47" s="327"/>
      <c r="H47" s="138"/>
      <c r="I47" s="138"/>
      <c r="J47" s="138"/>
      <c r="K47" s="1"/>
      <c r="L47" s="1"/>
      <c r="M47" s="1"/>
      <c r="N47" s="1"/>
    </row>
    <row r="48" spans="2:14" ht="4.7" customHeight="1">
      <c r="B48" s="80"/>
      <c r="C48" s="328"/>
      <c r="D48" s="213"/>
      <c r="E48" s="330"/>
      <c r="F48" s="326"/>
      <c r="G48" s="327"/>
      <c r="H48" s="138"/>
      <c r="I48" s="138"/>
      <c r="J48" s="138"/>
      <c r="K48" s="1"/>
      <c r="L48" s="1"/>
      <c r="M48" s="1"/>
      <c r="N48" s="1"/>
    </row>
    <row r="49" spans="2:14" ht="12.75">
      <c r="B49" s="218" t="str">
        <f>Texte!A630</f>
        <v>Kunstwiesen</v>
      </c>
      <c r="C49" s="180"/>
      <c r="D49" s="210">
        <f>SUM(Fläche!N21:N24)</f>
        <v>0</v>
      </c>
      <c r="E49" s="729">
        <f>IF($D$51=0,0,ROUND(D49/$D$51*100,1))</f>
        <v>0</v>
      </c>
      <c r="F49" s="730" t="str">
        <f>IF(AND(E49&gt;=10,E49&lt;20),1,IF(AND(E49&gt;=20,E49&lt;30),2,IF(E49&gt;=30,3,"")))</f>
        <v/>
      </c>
      <c r="G49" s="211">
        <f>IF(E49&lt;10,E49,"")</f>
        <v>0</v>
      </c>
      <c r="H49" s="125"/>
      <c r="I49" s="125"/>
      <c r="J49" s="125"/>
      <c r="K49" s="1"/>
      <c r="L49" s="1"/>
      <c r="M49" s="1"/>
      <c r="N49" s="1"/>
    </row>
    <row r="50" spans="2:14" ht="4.7" customHeight="1" thickBot="1">
      <c r="B50" s="80"/>
      <c r="C50" s="80"/>
      <c r="D50" s="213"/>
      <c r="E50" s="138"/>
      <c r="F50" s="138"/>
      <c r="G50" s="327"/>
      <c r="H50" s="138"/>
      <c r="I50" s="138"/>
      <c r="J50" s="138"/>
      <c r="K50" s="1"/>
      <c r="L50" s="1"/>
      <c r="M50" s="1"/>
      <c r="N50" s="1"/>
    </row>
    <row r="51" spans="2:14" ht="15" customHeight="1" thickBot="1">
      <c r="B51" s="57"/>
      <c r="C51" s="199" t="str">
        <f>Texte!A631</f>
        <v>Ackerfläche</v>
      </c>
      <c r="D51" s="331">
        <f>SUM(D46,D49)</f>
        <v>74.797499999999999</v>
      </c>
      <c r="E51" s="125"/>
      <c r="F51" s="125"/>
      <c r="G51" s="332"/>
      <c r="H51" s="125"/>
      <c r="I51" s="125"/>
      <c r="J51" s="125"/>
      <c r="K51" s="1"/>
      <c r="L51" s="1"/>
      <c r="M51" s="1"/>
      <c r="N51" s="1"/>
    </row>
    <row r="52" spans="2:14" ht="15" customHeight="1">
      <c r="B52" s="57"/>
      <c r="C52" s="57"/>
      <c r="D52" s="57"/>
      <c r="E52" s="57"/>
      <c r="F52" s="199" t="str">
        <f>Texte!A632</f>
        <v>Total der Kumulation</v>
      </c>
      <c r="G52" s="211">
        <f>SUM(G11:G12,G13:G16,G18:G32,G34:G44,G49)</f>
        <v>6.4</v>
      </c>
      <c r="H52" s="57"/>
      <c r="I52" s="57"/>
      <c r="J52" s="57"/>
      <c r="K52" s="1"/>
      <c r="L52" s="1"/>
      <c r="M52" s="1"/>
      <c r="N52" s="1"/>
    </row>
    <row r="53" spans="2:14" ht="15" customHeight="1" thickBot="1">
      <c r="B53" s="57"/>
      <c r="C53" s="57"/>
      <c r="D53" s="57"/>
      <c r="E53" s="333" t="str">
        <f>Texte!A633</f>
        <v>Plus 1-3 Kulturen, falls Total der Kumulation &gt; 10 %</v>
      </c>
      <c r="F53" s="334" t="str">
        <f>IF(AND(G52&gt;=10,G52&lt;20),1,IF(AND(G52&gt;=20,G52&lt;30),2,IF(G52&gt;=30,3,"")))</f>
        <v/>
      </c>
      <c r="G53" s="183"/>
      <c r="H53" s="57"/>
      <c r="I53" s="57"/>
      <c r="J53" s="57"/>
      <c r="K53" s="1"/>
      <c r="L53" s="1"/>
      <c r="M53" s="1"/>
      <c r="N53" s="1"/>
    </row>
    <row r="54" spans="2:14" ht="15" customHeight="1" thickBot="1">
      <c r="B54" s="57"/>
      <c r="C54" s="57"/>
      <c r="D54" s="57"/>
      <c r="E54" s="199" t="str">
        <f>Texte!A634</f>
        <v>Total Anzahl Kulturen</v>
      </c>
      <c r="F54" s="335">
        <f>SUM(F11:F44,F49,F53)</f>
        <v>3</v>
      </c>
      <c r="G54" s="57"/>
      <c r="H54" s="57"/>
      <c r="I54" s="57"/>
      <c r="J54" s="199" t="str">
        <f>Texte!A635</f>
        <v>Anzahl Kulturen erfüllt?</v>
      </c>
      <c r="K54" s="1"/>
      <c r="L54" s="1"/>
      <c r="M54" s="1"/>
      <c r="N54" s="1"/>
    </row>
    <row r="55" spans="2:14" ht="15" customHeight="1" thickBot="1">
      <c r="B55" s="57"/>
      <c r="C55" s="57"/>
      <c r="D55" s="57"/>
      <c r="E55" s="199" t="str">
        <f>Texte!A638</f>
        <v>minimale Anzahl Kulturen, ÖLN-Sollwert bei &gt;3ha OA</v>
      </c>
      <c r="F55" s="336">
        <v>4</v>
      </c>
      <c r="G55" s="57"/>
      <c r="H55" s="57"/>
      <c r="I55" s="57"/>
      <c r="J55" s="318" t="str">
        <f>IF(D46&lt;=3,0,IF(F54&gt;=F55,L55,IF(AND(D46&gt;1,F54&lt;F55),L56,"")))</f>
        <v>nein</v>
      </c>
      <c r="K55" s="1"/>
      <c r="L55" s="167" t="str">
        <f>Texte!A636</f>
        <v>ja</v>
      </c>
      <c r="N55" s="1"/>
    </row>
    <row r="56" spans="2:14" ht="15" customHeight="1">
      <c r="B56" s="744" t="str">
        <f>Texte!A639</f>
        <v>1) Mais:</v>
      </c>
      <c r="C56" s="80"/>
      <c r="D56" s="80"/>
      <c r="E56" s="328"/>
      <c r="F56" s="80"/>
      <c r="G56" s="80"/>
      <c r="H56" s="80"/>
      <c r="I56" s="138" t="str">
        <f>Texte!A640</f>
        <v>Fläche [ha]</v>
      </c>
      <c r="J56" s="80"/>
      <c r="K56" s="1"/>
      <c r="L56" s="167" t="str">
        <f>Texte!A637</f>
        <v>nein</v>
      </c>
      <c r="M56" s="1"/>
      <c r="N56" s="1"/>
    </row>
    <row r="57" spans="2:14" ht="12.2" customHeight="1">
      <c r="B57" s="80" t="str">
        <f>Texte!A641</f>
        <v xml:space="preserve"> - Maiswiese mit mechan. Regulierung des Graswuchses zwischen den Reihen</v>
      </c>
      <c r="D57" s="80"/>
      <c r="E57" s="328"/>
      <c r="F57" s="80"/>
      <c r="G57" s="80"/>
      <c r="H57" s="80"/>
      <c r="I57" s="337"/>
      <c r="J57" s="338">
        <v>60</v>
      </c>
      <c r="K57" s="1"/>
      <c r="L57" s="1"/>
      <c r="M57" s="1"/>
      <c r="N57" s="1"/>
    </row>
    <row r="58" spans="2:14" ht="12.2" customHeight="1">
      <c r="B58" s="80" t="str">
        <f>Texte!A642</f>
        <v xml:space="preserve"> - mit Untersaat, als Mulchsaat o. Streifenfrässaat nach Gründüngung, Zwischenfutter o. Grünland</v>
      </c>
      <c r="D58" s="80"/>
      <c r="E58" s="80"/>
      <c r="F58" s="80"/>
      <c r="G58" s="80"/>
      <c r="H58" s="80"/>
      <c r="I58" s="339"/>
      <c r="J58" s="340">
        <v>50</v>
      </c>
      <c r="K58" s="1"/>
      <c r="L58" s="1"/>
      <c r="M58" s="1"/>
      <c r="N58" s="1"/>
    </row>
    <row r="59" spans="2:14" ht="12.2" customHeight="1">
      <c r="B59" s="80" t="str">
        <f>Texte!A643</f>
        <v xml:space="preserve"> - alle übrigen Anbauformen</v>
      </c>
      <c r="D59" s="80"/>
      <c r="E59" s="328"/>
      <c r="F59" s="80"/>
      <c r="G59" s="80"/>
      <c r="H59" s="80"/>
      <c r="I59" s="341">
        <f>I61-SUM(I57:I58)</f>
        <v>2</v>
      </c>
      <c r="J59" s="340">
        <v>40</v>
      </c>
      <c r="K59" s="1"/>
      <c r="L59" s="1"/>
      <c r="M59" s="1"/>
      <c r="N59" s="1"/>
    </row>
    <row r="60" spans="2:14" ht="3.75" customHeight="1" thickBot="1">
      <c r="B60" s="1"/>
      <c r="D60" s="80"/>
      <c r="E60" s="328"/>
      <c r="F60" s="80"/>
      <c r="G60" s="80"/>
      <c r="H60" s="80"/>
      <c r="I60" s="80"/>
      <c r="J60" s="80"/>
      <c r="K60" s="1"/>
      <c r="L60" s="1"/>
      <c r="M60" s="1"/>
      <c r="N60" s="1"/>
    </row>
    <row r="61" spans="2:14" ht="12.2" customHeight="1" thickBot="1">
      <c r="C61" s="109" t="str">
        <f>Texte!A644</f>
        <v>Bei Betrieben mit gleichzeitig verschiedenen Maisanbauformen wird dieser</v>
      </c>
      <c r="D61" s="80"/>
      <c r="E61" s="328"/>
      <c r="F61" s="80"/>
      <c r="G61" s="80"/>
      <c r="H61" s="80"/>
      <c r="I61" s="342">
        <f>D20</f>
        <v>2</v>
      </c>
      <c r="J61" s="343">
        <f>IF(I61=0,40,(I57*J57+I58*J58+I59*J59)/I61)</f>
        <v>40</v>
      </c>
      <c r="K61" s="1"/>
      <c r="L61" s="1"/>
      <c r="M61" s="1"/>
      <c r="N61" s="1"/>
    </row>
    <row r="62" spans="2:14" ht="9" customHeight="1">
      <c r="C62" s="109" t="str">
        <f>Texte!A645</f>
        <v>maximale Anteil nach Fläche gewichtet errechnet.</v>
      </c>
      <c r="D62" s="109"/>
      <c r="E62" s="345"/>
      <c r="F62" s="109"/>
      <c r="G62" s="109"/>
      <c r="H62" s="109"/>
      <c r="I62" s="109"/>
      <c r="J62" s="109"/>
      <c r="K62" s="1"/>
      <c r="L62" s="1"/>
      <c r="M62" s="1"/>
      <c r="N62" s="1"/>
    </row>
    <row r="63" spans="2:14" ht="12.2" customHeight="1">
      <c r="B63" s="344"/>
      <c r="C63" s="80" t="s">
        <v>4899</v>
      </c>
      <c r="D63" s="109"/>
      <c r="E63" s="345"/>
      <c r="F63" s="109"/>
      <c r="G63" s="109"/>
      <c r="H63" s="109"/>
      <c r="I63" s="109"/>
      <c r="J63" s="109"/>
      <c r="K63" s="1"/>
      <c r="L63" s="1"/>
      <c r="M63" s="1"/>
      <c r="N63" s="1"/>
    </row>
    <row r="64" spans="2:14" ht="12.75">
      <c r="B64" s="344"/>
      <c r="C64" s="344"/>
      <c r="D64" s="344"/>
      <c r="E64" s="344"/>
      <c r="F64" s="344"/>
      <c r="G64" s="344"/>
      <c r="H64" s="344"/>
      <c r="I64" s="344"/>
      <c r="J64" s="344"/>
      <c r="K64" s="1"/>
      <c r="L64" s="1"/>
      <c r="M64" s="1"/>
      <c r="N64" s="1"/>
    </row>
    <row r="65" spans="2:14" ht="12.75">
      <c r="B65" s="344"/>
      <c r="C65" s="344"/>
      <c r="D65" s="344"/>
      <c r="E65" s="344"/>
      <c r="F65" s="344"/>
      <c r="G65" s="344"/>
      <c r="H65" s="344"/>
      <c r="I65" s="344"/>
      <c r="J65" s="344"/>
      <c r="K65" s="1"/>
      <c r="L65" s="1"/>
      <c r="M65" s="1"/>
      <c r="N65" s="1"/>
    </row>
    <row r="66" spans="2:14" ht="15" customHeight="1">
      <c r="B66" s="1"/>
      <c r="C66" s="1"/>
      <c r="D66" s="1"/>
      <c r="E66" s="1"/>
      <c r="F66" s="1"/>
      <c r="G66" s="1"/>
      <c r="H66" s="1"/>
      <c r="I66" s="1"/>
      <c r="J66" s="1"/>
      <c r="K66" s="1"/>
      <c r="L66" s="1"/>
      <c r="M66" s="1"/>
      <c r="N66" s="1"/>
    </row>
    <row r="67" spans="2:14" ht="15" customHeight="1">
      <c r="B67" s="1"/>
      <c r="C67" s="1"/>
      <c r="D67" s="1"/>
      <c r="E67" s="1"/>
      <c r="F67" s="1"/>
      <c r="G67" s="1"/>
      <c r="H67" s="1"/>
      <c r="I67" s="1"/>
      <c r="J67" s="1"/>
      <c r="K67" s="1"/>
      <c r="L67" s="1"/>
      <c r="M67" s="1"/>
      <c r="N67" s="1"/>
    </row>
    <row r="68" spans="2:14" ht="15" customHeight="1">
      <c r="B68" s="1"/>
      <c r="C68" s="1"/>
      <c r="D68" s="1"/>
      <c r="E68" s="1"/>
      <c r="F68" s="1"/>
      <c r="G68" s="1"/>
      <c r="H68" s="1"/>
      <c r="I68" s="1"/>
      <c r="J68" s="1"/>
      <c r="K68" s="1"/>
      <c r="L68" s="1"/>
      <c r="M68" s="1"/>
      <c r="N68" s="1"/>
    </row>
    <row r="69" spans="2:14" ht="15" customHeight="1">
      <c r="B69" s="1"/>
      <c r="C69" s="1"/>
      <c r="D69" s="1"/>
      <c r="E69" s="1"/>
      <c r="F69" s="1"/>
      <c r="G69" s="1"/>
      <c r="H69" s="1"/>
      <c r="I69" s="1"/>
      <c r="J69" s="1"/>
      <c r="K69" s="1"/>
      <c r="L69" s="1"/>
      <c r="M69" s="1"/>
      <c r="N69" s="1"/>
    </row>
    <row r="70" spans="2:14" ht="15" customHeight="1">
      <c r="B70" s="1"/>
      <c r="C70" s="1"/>
      <c r="D70" s="1"/>
      <c r="E70" s="1"/>
      <c r="F70" s="1"/>
      <c r="G70" s="1"/>
      <c r="H70" s="1"/>
      <c r="I70" s="1"/>
      <c r="J70" s="1"/>
      <c r="K70" s="1"/>
      <c r="L70" s="1"/>
      <c r="M70" s="1"/>
      <c r="N70" s="1"/>
    </row>
    <row r="71" spans="2:14" ht="15" customHeight="1">
      <c r="B71" s="1"/>
      <c r="C71" s="1"/>
      <c r="D71" s="1"/>
      <c r="E71" s="1"/>
      <c r="F71" s="1"/>
      <c r="G71" s="1"/>
      <c r="H71" s="1"/>
      <c r="I71" s="1"/>
      <c r="J71" s="1"/>
      <c r="K71" s="1"/>
      <c r="L71" s="1"/>
      <c r="M71" s="1"/>
      <c r="N71" s="1"/>
    </row>
    <row r="72" spans="2:14" ht="15" customHeight="1">
      <c r="B72" s="1"/>
      <c r="C72" s="1"/>
      <c r="D72" s="1"/>
      <c r="E72" s="1"/>
      <c r="F72" s="1"/>
      <c r="G72" s="1"/>
      <c r="H72" s="1"/>
      <c r="I72" s="1"/>
      <c r="J72" s="1"/>
      <c r="K72" s="1"/>
      <c r="L72" s="1"/>
      <c r="M72" s="1"/>
      <c r="N72" s="1"/>
    </row>
    <row r="73" spans="2:14" ht="15" customHeight="1">
      <c r="B73" s="1"/>
      <c r="C73" s="1"/>
      <c r="D73" s="1"/>
      <c r="E73" s="1"/>
      <c r="F73" s="1"/>
      <c r="G73" s="1"/>
      <c r="H73" s="1"/>
      <c r="I73" s="1"/>
      <c r="J73" s="1"/>
      <c r="K73" s="1"/>
      <c r="L73" s="1"/>
      <c r="M73" s="1"/>
      <c r="N73" s="1"/>
    </row>
    <row r="74" spans="2:14" ht="15" customHeight="1">
      <c r="B74" s="1"/>
      <c r="C74" s="1"/>
      <c r="D74" s="1"/>
      <c r="E74" s="1"/>
      <c r="F74" s="1"/>
      <c r="G74" s="1"/>
      <c r="H74" s="1"/>
      <c r="I74" s="1"/>
      <c r="J74" s="1"/>
      <c r="K74" s="1"/>
      <c r="L74" s="1"/>
      <c r="M74" s="1"/>
      <c r="N74" s="1"/>
    </row>
    <row r="75" spans="2:14" ht="15" customHeight="1">
      <c r="B75" s="1"/>
      <c r="C75" s="1"/>
      <c r="D75" s="1"/>
      <c r="E75" s="1"/>
      <c r="F75" s="1"/>
      <c r="G75" s="1"/>
      <c r="H75" s="1"/>
      <c r="I75" s="1"/>
      <c r="J75" s="1"/>
      <c r="K75" s="1"/>
      <c r="L75" s="1"/>
      <c r="M75" s="1"/>
      <c r="N75" s="1"/>
    </row>
    <row r="76" spans="2:14" ht="15" customHeight="1">
      <c r="B76" s="1"/>
      <c r="C76" s="1"/>
      <c r="D76" s="1"/>
      <c r="E76" s="1"/>
      <c r="F76" s="1"/>
      <c r="G76" s="1"/>
      <c r="H76" s="1"/>
      <c r="I76" s="1"/>
      <c r="J76" s="1"/>
      <c r="K76" s="1"/>
      <c r="L76" s="1"/>
      <c r="M76" s="1"/>
      <c r="N76" s="1"/>
    </row>
    <row r="77" spans="2:14" ht="15" customHeight="1">
      <c r="B77" s="1"/>
      <c r="C77" s="1"/>
      <c r="D77" s="1"/>
      <c r="E77" s="1"/>
      <c r="F77" s="1"/>
      <c r="G77" s="1"/>
      <c r="H77" s="1"/>
      <c r="I77" s="1"/>
      <c r="J77" s="1"/>
      <c r="K77" s="1"/>
      <c r="L77" s="1"/>
      <c r="M77" s="1"/>
      <c r="N77" s="1"/>
    </row>
    <row r="78" spans="2:14" ht="15" customHeight="1">
      <c r="B78" s="1"/>
      <c r="C78" s="1"/>
      <c r="D78" s="1"/>
      <c r="E78" s="1"/>
      <c r="F78" s="1"/>
      <c r="G78" s="1"/>
      <c r="H78" s="1"/>
      <c r="I78" s="1"/>
      <c r="J78" s="1"/>
      <c r="K78" s="1"/>
      <c r="L78" s="1"/>
      <c r="M78" s="1"/>
      <c r="N78" s="1"/>
    </row>
    <row r="79" spans="2:14" ht="15" customHeight="1">
      <c r="B79" s="1"/>
      <c r="C79" s="1"/>
      <c r="D79" s="1"/>
      <c r="E79" s="1"/>
      <c r="F79" s="1"/>
      <c r="G79" s="1"/>
      <c r="H79" s="1"/>
      <c r="I79" s="1"/>
      <c r="J79" s="1"/>
      <c r="K79" s="1"/>
      <c r="L79" s="1"/>
      <c r="M79" s="1"/>
      <c r="N79" s="1"/>
    </row>
    <row r="80" spans="2:14" ht="15" customHeight="1">
      <c r="B80" s="1"/>
      <c r="C80" s="1"/>
      <c r="D80" s="1"/>
      <c r="E80" s="1"/>
      <c r="F80" s="1"/>
      <c r="G80" s="1"/>
      <c r="H80" s="1"/>
      <c r="I80" s="1"/>
      <c r="J80" s="1"/>
      <c r="K80" s="1"/>
      <c r="L80" s="1"/>
      <c r="M80" s="1"/>
      <c r="N80" s="1"/>
    </row>
  </sheetData>
  <sheetProtection algorithmName="SHA-512" hashValue="cMazgksb1ywzDFjSzuXQGRuswvr9Q4E2CbwCGmiddw9Lp60VpCBLHcLC3sBLDJHkMZ9oWTnbnCNdfPx1CcCI1w==" saltValue="354Ifwm7jN0PxCHcGrHzJA==" spinCount="100000" sheet="1" objects="1" scenarios="1"/>
  <phoneticPr fontId="65" type="noConversion"/>
  <pageMargins left="0.59055118110236227" right="0.15748031496062992" top="0.59055118110236227" bottom="0.59055118110236227" header="0" footer="0.39370078740157483"/>
  <pageSetup paperSize="9" orientation="portrait" r:id="rId1"/>
  <headerFooter alignWithMargins="0">
    <oddFooter>&amp;C&amp;9&amp;F&amp;R&amp;"Arial,Standard"&amp;9Seite &amp;P&amp;L&amp;"Arial,Fett"&amp;11AGRIDEA &amp;"Arial,Standard"&amp;9 Nachweis Version 9.9</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5">
    <tabColor indexed="43"/>
    <pageSetUpPr autoPageBreaks="0"/>
  </sheetPr>
  <dimension ref="A1:R43"/>
  <sheetViews>
    <sheetView showGridLines="0" showRowColHeaders="0" showZeros="0" topLeftCell="A40" workbookViewId="0">
      <selection activeCell="G15" sqref="G15"/>
      <extLst>
        <ext xmlns:xlsdti="http://schemas.microsoft.com/office/spreadsheetml/2023/showDataTypeIcons" uri="{77bfe23e-c014-4d31-8a63-9c772dbf06b6}">
          <xlsdti:showDataTypeIcons visible="0"/>
        </ext>
      </extLst>
    </sheetView>
  </sheetViews>
  <sheetFormatPr baseColWidth="10" defaultRowHeight="12"/>
  <cols>
    <col min="1" max="1" width="1" customWidth="1"/>
    <col min="6" max="6" width="7.85546875" customWidth="1"/>
    <col min="7" max="7" width="8" customWidth="1"/>
    <col min="8" max="12" width="6.42578125" customWidth="1"/>
    <col min="13" max="18" width="7.42578125" customWidth="1"/>
  </cols>
  <sheetData>
    <row r="1" spans="1:18" ht="18">
      <c r="B1" s="225" t="str">
        <f>Q!NW_Tit</f>
        <v xml:space="preserve">                                   Nachweis</v>
      </c>
      <c r="C1" s="692"/>
      <c r="D1" s="872"/>
      <c r="E1" s="692"/>
      <c r="F1" s="692"/>
      <c r="G1" s="20"/>
      <c r="H1" s="692"/>
      <c r="I1" s="692"/>
      <c r="J1" s="692"/>
      <c r="K1" s="692"/>
      <c r="L1" s="872"/>
      <c r="M1" s="872"/>
      <c r="N1" s="872"/>
      <c r="O1" s="872"/>
      <c r="P1" s="872"/>
      <c r="Q1" s="872"/>
      <c r="R1" s="1079" t="str">
        <f>Texte!A5299</f>
        <v>SuiBi: Formular E Vergärungsprodukte und Ernterückstände Gemüse</v>
      </c>
    </row>
    <row r="2" spans="1:18" ht="21.2" customHeight="1" thickBot="1">
      <c r="B2" s="687"/>
      <c r="C2" s="687"/>
      <c r="D2" s="687"/>
      <c r="E2" s="687"/>
      <c r="F2" s="687"/>
      <c r="G2" s="2897" t="str">
        <f>Texte!A678</f>
        <v>Suisse-Bilanz</v>
      </c>
      <c r="H2" s="687"/>
      <c r="I2" s="687"/>
      <c r="J2" s="687"/>
      <c r="K2" s="687"/>
      <c r="L2" s="687"/>
      <c r="M2" s="687"/>
      <c r="N2" s="687"/>
      <c r="O2" s="687"/>
      <c r="P2" s="687"/>
      <c r="Q2" s="687"/>
      <c r="R2" s="687"/>
    </row>
    <row r="3" spans="1:18">
      <c r="B3" s="872"/>
      <c r="C3" s="872"/>
      <c r="D3" s="872"/>
      <c r="E3" s="872"/>
      <c r="F3" s="872"/>
      <c r="G3" s="872"/>
      <c r="H3" s="872"/>
      <c r="I3" s="872"/>
      <c r="J3" s="872"/>
      <c r="K3" s="872"/>
      <c r="L3" s="872"/>
      <c r="M3" s="872"/>
      <c r="N3" s="872"/>
      <c r="O3" s="872"/>
      <c r="P3" s="872"/>
      <c r="Q3" s="872"/>
      <c r="R3" s="872"/>
    </row>
    <row r="4" spans="1:18" ht="12.75">
      <c r="B4" s="1708" t="str">
        <f>Texte!A680</f>
        <v>Name:</v>
      </c>
      <c r="C4" s="675" t="str">
        <f>Allg!$C$9&amp;""</f>
        <v>Imhof &amp; Zaehner Betriebsgemeinschaft</v>
      </c>
      <c r="D4" s="874"/>
      <c r="E4" s="1709" t="str">
        <f>Texte!A681</f>
        <v>Adresse:</v>
      </c>
      <c r="F4" s="872"/>
      <c r="G4" s="1325" t="str">
        <f>IF(Allg!C10="","",Allg!C10)</f>
        <v/>
      </c>
      <c r="H4" s="872"/>
      <c r="I4" s="872"/>
      <c r="J4" s="872"/>
      <c r="K4" s="872"/>
      <c r="L4" s="917" t="str">
        <f>Texte!A682</f>
        <v>PLZ, Ort:</v>
      </c>
      <c r="M4" s="872" t="str">
        <f>IF(Allg!C11="","","  "&amp;Allg!C11)</f>
        <v/>
      </c>
      <c r="N4" s="872"/>
      <c r="O4" s="1710" t="str">
        <f>Texte!A15</f>
        <v>Jahr:</v>
      </c>
      <c r="Q4" s="3427" t="str">
        <f>Allg!G6&amp;""</f>
        <v>2026</v>
      </c>
      <c r="R4" s="3427"/>
    </row>
    <row r="5" spans="1:18" ht="12.75">
      <c r="B5" s="872"/>
      <c r="C5" s="872"/>
      <c r="D5" s="872"/>
      <c r="E5" s="872"/>
      <c r="F5" s="872"/>
      <c r="G5" s="872"/>
      <c r="H5" s="872"/>
      <c r="I5" s="872"/>
      <c r="J5" s="872"/>
      <c r="K5" s="872"/>
      <c r="L5" s="872"/>
      <c r="M5" s="872"/>
      <c r="N5" s="872"/>
      <c r="O5" s="1710" t="str">
        <f>Texte!A683</f>
        <v>Betriebsnr.:</v>
      </c>
      <c r="Q5" s="3427" t="str">
        <f>IF(Allg!G4="","",Allg!G4)</f>
        <v>0197-001</v>
      </c>
      <c r="R5" s="3427"/>
    </row>
    <row r="6" spans="1:18">
      <c r="B6" s="874"/>
      <c r="C6" s="874"/>
      <c r="D6" s="874"/>
      <c r="E6" s="874"/>
      <c r="F6" s="874"/>
      <c r="G6" s="874"/>
      <c r="H6" s="874"/>
      <c r="I6" s="874"/>
      <c r="J6" s="874"/>
      <c r="K6" s="874"/>
      <c r="L6" s="874"/>
      <c r="M6" s="872"/>
      <c r="N6" s="872"/>
      <c r="O6" s="872"/>
      <c r="P6" s="872"/>
      <c r="Q6" s="872"/>
      <c r="R6" s="872"/>
    </row>
    <row r="7" spans="1:18" ht="15.75">
      <c r="B7" s="1711" t="str">
        <f>Texte!A5300</f>
        <v>Berechnung des betriebsspezifischen N-Ausnutzungsgrades für flüssige Vergärungsprodukte und Ernterückstände Gemüse</v>
      </c>
      <c r="C7" s="1081"/>
      <c r="D7" s="1081"/>
      <c r="E7" s="1081"/>
      <c r="F7" s="1082"/>
      <c r="G7" s="1083"/>
      <c r="H7" s="1085"/>
      <c r="I7" s="873"/>
      <c r="J7" s="873"/>
      <c r="K7" s="873"/>
      <c r="L7" s="873"/>
      <c r="M7" s="873"/>
      <c r="N7" s="873"/>
      <c r="O7" s="873"/>
      <c r="P7" s="873"/>
      <c r="Q7" s="873"/>
      <c r="R7" s="1712"/>
    </row>
    <row r="8" spans="1:18">
      <c r="B8" s="1713" t="str">
        <f>Texte!A5301</f>
        <v>Basis N-Ausnutzungsgrad</v>
      </c>
      <c r="C8" s="874"/>
      <c r="D8" s="1089"/>
      <c r="E8" s="1089"/>
      <c r="F8" s="1089"/>
      <c r="G8" s="1089"/>
      <c r="H8" s="2127">
        <v>65</v>
      </c>
      <c r="I8" s="1089"/>
      <c r="J8" s="1089"/>
      <c r="K8" s="1089"/>
      <c r="L8" s="1089"/>
      <c r="M8" s="1089"/>
      <c r="N8" s="1089"/>
      <c r="O8" s="1089"/>
      <c r="P8" s="1089"/>
      <c r="Q8" s="1089"/>
      <c r="R8" s="1357"/>
    </row>
    <row r="9" spans="1:18" ht="12.75" thickBot="1">
      <c r="B9" s="1714" t="str">
        <f>Texte!A5302</f>
        <v>abzüglich</v>
      </c>
      <c r="C9" s="1747">
        <f>IF(AND('SB1'!K5=0,'SB1'!P5=0),0,IF('SB1'!P5=0,0,IF('SB1'!K5=0,"Fehler",'SB1'!P5/('SB1'!K5*0.01))))</f>
        <v>54.43476197823118</v>
      </c>
      <c r="D9" s="1715" t="s">
        <v>1512</v>
      </c>
      <c r="E9" s="1716" t="str">
        <f>Texte!A5303</f>
        <v>Offene Ackerfläche x 0.15</v>
      </c>
      <c r="F9" s="1089"/>
      <c r="G9" s="1089"/>
      <c r="H9" s="2128">
        <f>IF(C9=0,0,C9*0.15)</f>
        <v>8.1652142967346766</v>
      </c>
      <c r="I9" s="1089"/>
      <c r="J9" s="1089"/>
      <c r="K9" s="1089"/>
      <c r="L9" s="1089"/>
      <c r="M9" s="1089"/>
      <c r="N9" s="1089"/>
      <c r="O9" s="1089"/>
      <c r="P9" s="1089"/>
      <c r="Q9" s="1089"/>
      <c r="R9" s="1090"/>
    </row>
    <row r="10" spans="1:18" ht="12.75" thickBot="1">
      <c r="B10" s="1717" t="str">
        <f>Texte!A5304</f>
        <v>Total betriebsspezifischer Ausnutzungsgrad</v>
      </c>
      <c r="C10" s="1718"/>
      <c r="D10" s="1718"/>
      <c r="E10" s="1719"/>
      <c r="F10" s="1719"/>
      <c r="G10" s="1719"/>
      <c r="H10" s="2007">
        <f>H8-H9</f>
        <v>56.834785703265325</v>
      </c>
      <c r="I10" s="2126" t="s">
        <v>2727</v>
      </c>
      <c r="J10" s="2125"/>
      <c r="K10" s="1719"/>
      <c r="L10" s="1719"/>
      <c r="M10" s="1719"/>
      <c r="N10" s="1719"/>
      <c r="O10" s="1719"/>
      <c r="P10" s="1719"/>
      <c r="Q10" s="1719"/>
      <c r="R10" s="1729"/>
    </row>
    <row r="11" spans="1:18">
      <c r="B11" s="1089"/>
      <c r="C11" s="872"/>
      <c r="D11" s="1089"/>
      <c r="E11" s="1089"/>
      <c r="F11" s="1089"/>
      <c r="G11" s="1089"/>
      <c r="H11" s="1089"/>
      <c r="I11" s="1089"/>
      <c r="J11" s="1089"/>
      <c r="K11" s="1089"/>
      <c r="L11" s="1089"/>
      <c r="M11" s="872"/>
      <c r="N11" s="872"/>
      <c r="O11" s="872"/>
      <c r="P11" s="872"/>
      <c r="Q11" s="872"/>
      <c r="R11" s="872"/>
    </row>
    <row r="12" spans="1:18" ht="19.5" customHeight="1">
      <c r="A12" s="1720"/>
      <c r="B12" s="1346" t="str">
        <f>Texte!A5299</f>
        <v>SuiBi: Formular E Vergärungsprodukte und Ernterückstände Gemüse</v>
      </c>
      <c r="C12" s="872"/>
      <c r="D12" s="2165"/>
      <c r="E12" s="2165"/>
      <c r="F12" s="2165"/>
      <c r="G12" s="2165"/>
      <c r="H12" s="2165"/>
      <c r="I12" s="2165"/>
      <c r="J12" s="2165"/>
      <c r="K12" s="2165"/>
      <c r="L12" s="2165"/>
      <c r="M12" s="872"/>
      <c r="N12" s="872"/>
      <c r="O12" s="872"/>
      <c r="P12" s="872"/>
      <c r="Q12" s="872"/>
      <c r="R12" s="872"/>
    </row>
    <row r="13" spans="1:18" ht="12.75">
      <c r="B13" s="1720"/>
      <c r="C13" s="874"/>
      <c r="D13" s="1721"/>
      <c r="E13" s="679"/>
      <c r="F13" s="359"/>
      <c r="G13" s="1722"/>
      <c r="H13" s="2146" t="str">
        <f>Texte!A5314</f>
        <v>Nährstoffgehalt in kg pro Einheit</v>
      </c>
      <c r="I13" s="2147"/>
      <c r="J13" s="2147"/>
      <c r="K13" s="2147"/>
      <c r="L13" s="2147"/>
      <c r="M13" s="3428" t="str">
        <f>Texte!A5315</f>
        <v>Nährstoffmenge in kg pro Jahr</v>
      </c>
      <c r="N13" s="3429"/>
      <c r="O13" s="3429"/>
      <c r="P13" s="3429"/>
      <c r="Q13" s="3429"/>
      <c r="R13" s="3430"/>
    </row>
    <row r="14" spans="1:18" ht="13.7" customHeight="1" thickBot="1">
      <c r="B14" s="2131" t="str">
        <f>Texte!A5305 &amp; " [15]"</f>
        <v>Flüssige Vergärungsprodukte [15]</v>
      </c>
      <c r="C14" s="2132"/>
      <c r="D14" s="2132"/>
      <c r="E14" s="2132"/>
      <c r="F14" s="2155" t="str">
        <f>Texte!A5336</f>
        <v>Einheit</v>
      </c>
      <c r="G14" s="2133" t="str">
        <f>Texte!A5313</f>
        <v>Menge</v>
      </c>
      <c r="H14" s="2148" t="str">
        <f>Texte!A5316</f>
        <v>Nges</v>
      </c>
      <c r="I14" s="1742" t="str">
        <f>Texte!A5317</f>
        <v>Nverf</v>
      </c>
      <c r="J14" s="1745" t="s">
        <v>2909</v>
      </c>
      <c r="K14" s="1745" t="s">
        <v>2908</v>
      </c>
      <c r="L14" s="651" t="str">
        <f>Texte!A5319</f>
        <v>Mg</v>
      </c>
      <c r="M14" s="2148" t="str">
        <f>Texte!A5316</f>
        <v>Nges</v>
      </c>
      <c r="N14" s="1740" t="s">
        <v>4411</v>
      </c>
      <c r="O14" s="1741" t="str">
        <f>Texte!A5317</f>
        <v>Nverf</v>
      </c>
      <c r="P14" s="1745" t="s">
        <v>2909</v>
      </c>
      <c r="Q14" s="1745" t="s">
        <v>2908</v>
      </c>
      <c r="R14" s="2149" t="str">
        <f>Texte!A5319</f>
        <v>Mg</v>
      </c>
    </row>
    <row r="15" spans="1:18">
      <c r="B15" s="2145" t="str">
        <f>Texte!A5306</f>
        <v>Gärgülle und Gärdünngülle, Hofdünger</v>
      </c>
      <c r="C15" s="1746"/>
      <c r="D15" s="1746"/>
      <c r="E15" s="1746"/>
      <c r="F15" s="527" t="s">
        <v>7009</v>
      </c>
      <c r="G15" s="1744"/>
      <c r="H15" s="2150"/>
      <c r="I15" s="2124"/>
      <c r="J15" s="472"/>
      <c r="K15" s="472"/>
      <c r="L15" s="472"/>
      <c r="M15" s="2153">
        <f>G15*H15</f>
        <v>0</v>
      </c>
      <c r="N15" s="1731">
        <f>H10/100</f>
        <v>0.56834785703265323</v>
      </c>
      <c r="O15" s="431">
        <f>N15*M15</f>
        <v>0</v>
      </c>
      <c r="P15" s="431">
        <f>G15*J15</f>
        <v>0</v>
      </c>
      <c r="Q15" s="431">
        <f>G15*K15</f>
        <v>0</v>
      </c>
      <c r="R15" s="2144">
        <f>G15*L15</f>
        <v>0</v>
      </c>
    </row>
    <row r="16" spans="1:18">
      <c r="B16" s="2139" t="str">
        <f>Texte!A5311</f>
        <v>Gärgut und flüssiges Gärgut, Recyclingdünger</v>
      </c>
      <c r="C16" s="2140"/>
      <c r="D16" s="2140"/>
      <c r="E16" s="2140"/>
      <c r="F16" s="527" t="s">
        <v>7009</v>
      </c>
      <c r="G16" s="1744"/>
      <c r="H16" s="2151"/>
      <c r="I16" s="2152"/>
      <c r="J16" s="472"/>
      <c r="K16" s="472"/>
      <c r="L16" s="472"/>
      <c r="M16" s="2154">
        <f>G16*H16</f>
        <v>0</v>
      </c>
      <c r="N16" s="1731"/>
      <c r="O16" s="431">
        <f>G16*I16</f>
        <v>0</v>
      </c>
      <c r="P16" s="431">
        <f>G16*J16</f>
        <v>0</v>
      </c>
      <c r="Q16" s="431">
        <f>G16*K16</f>
        <v>0</v>
      </c>
      <c r="R16" s="2144">
        <f>G16*L16</f>
        <v>0</v>
      </c>
    </row>
    <row r="17" spans="2:18" ht="4.7" hidden="1" customHeight="1">
      <c r="B17" s="998"/>
      <c r="C17" s="998"/>
      <c r="D17" s="998"/>
      <c r="E17" s="998"/>
      <c r="F17" s="998"/>
      <c r="G17" s="998"/>
      <c r="H17" s="998"/>
      <c r="I17" s="998"/>
      <c r="J17" s="998"/>
      <c r="K17" s="998"/>
      <c r="L17" s="998"/>
      <c r="M17" s="998"/>
    </row>
    <row r="18" spans="2:18" ht="4.7" customHeight="1">
      <c r="B18" s="874"/>
      <c r="C18" s="874"/>
      <c r="D18" s="874"/>
      <c r="E18" s="874"/>
      <c r="F18" s="359"/>
      <c r="G18" s="1722"/>
      <c r="H18" s="1722"/>
      <c r="I18" s="1722"/>
      <c r="J18" s="1724"/>
      <c r="K18" s="1724"/>
      <c r="L18" s="1724"/>
      <c r="M18" s="872"/>
      <c r="N18" s="872"/>
      <c r="O18" s="872"/>
      <c r="P18" s="872"/>
      <c r="Q18" s="872"/>
      <c r="R18" s="872"/>
    </row>
    <row r="19" spans="2:18" ht="12.75">
      <c r="B19" s="1720" t="str">
        <f>Texte!A5321</f>
        <v>E1: Flüssige Vergärungsprodukte</v>
      </c>
      <c r="C19" s="874"/>
      <c r="D19" s="874"/>
      <c r="E19" s="874"/>
      <c r="F19" s="357" t="str">
        <f>Texte!A5322</f>
        <v>Wird ins Hauptformular "Suisse-Bilanz - Formular E" übertragen:</v>
      </c>
      <c r="G19" s="137"/>
      <c r="H19" s="1722"/>
      <c r="I19" s="1722"/>
      <c r="J19" s="1724"/>
      <c r="K19" s="1724"/>
      <c r="L19" s="1724"/>
      <c r="M19" s="872"/>
      <c r="N19" s="1710" t="s">
        <v>4088</v>
      </c>
      <c r="O19" s="316">
        <f>SUM(O15:O17)</f>
        <v>0</v>
      </c>
      <c r="P19" s="2129">
        <f>SUM(P15:P17)</f>
        <v>0</v>
      </c>
      <c r="Q19" s="2129">
        <f>SUM(Q15:Q17)</f>
        <v>0</v>
      </c>
      <c r="R19" s="2130">
        <f>SUM(R15:R17)</f>
        <v>0</v>
      </c>
    </row>
    <row r="20" spans="2:18" ht="12.75">
      <c r="B20" s="874"/>
      <c r="C20" s="874"/>
      <c r="D20" s="874"/>
      <c r="E20" s="874"/>
      <c r="F20" s="359"/>
      <c r="G20" s="1722"/>
      <c r="H20" s="1722"/>
      <c r="I20" s="1722"/>
      <c r="J20" s="1724"/>
      <c r="K20" s="1724"/>
      <c r="L20" s="1724"/>
      <c r="M20" s="872"/>
      <c r="N20" s="872"/>
      <c r="O20" s="872"/>
      <c r="P20" s="872"/>
      <c r="Q20" s="872"/>
      <c r="R20" s="872"/>
    </row>
    <row r="21" spans="2:18" ht="13.7" customHeight="1" thickBot="1">
      <c r="B21" s="2131" t="str">
        <f>Texte!A5323 &amp; " [15]"</f>
        <v>Feste Vergärungsprodukte [15]</v>
      </c>
      <c r="C21" s="2132"/>
      <c r="D21" s="2132"/>
      <c r="E21" s="2132"/>
      <c r="F21" s="2155" t="str">
        <f>Texte!A5336</f>
        <v>Einheit</v>
      </c>
      <c r="G21" s="1755" t="str">
        <f>Texte!A5313</f>
        <v>Menge</v>
      </c>
      <c r="H21" s="2157" t="str">
        <f>Texte!A5316</f>
        <v>Nges</v>
      </c>
      <c r="I21" s="2134" t="str">
        <f>Texte!A5317</f>
        <v>Nverf</v>
      </c>
      <c r="J21" s="2135" t="s">
        <v>2909</v>
      </c>
      <c r="K21" s="2135" t="s">
        <v>2908</v>
      </c>
      <c r="L21" s="2161" t="str">
        <f>Texte!A5319</f>
        <v>Mg</v>
      </c>
      <c r="M21" s="2162" t="str">
        <f>Texte!A5316</f>
        <v>Nges</v>
      </c>
      <c r="N21" s="2136" t="s">
        <v>1278</v>
      </c>
      <c r="O21" s="2137" t="str">
        <f>Texte!A5317</f>
        <v>Nverf</v>
      </c>
      <c r="P21" s="2135" t="s">
        <v>2909</v>
      </c>
      <c r="Q21" s="2135" t="s">
        <v>2908</v>
      </c>
      <c r="R21" s="2138" t="str">
        <f>Texte!A5319</f>
        <v>Mg</v>
      </c>
    </row>
    <row r="22" spans="2:18">
      <c r="B22" s="2145" t="str">
        <f>Texte!A5324</f>
        <v>Gärmist, Hofdünger</v>
      </c>
      <c r="C22" s="1746"/>
      <c r="D22" s="1746"/>
      <c r="E22" s="1746"/>
      <c r="F22" s="2156" t="s">
        <v>4111</v>
      </c>
      <c r="G22" s="2159"/>
      <c r="H22" s="2158"/>
      <c r="I22" s="1743"/>
      <c r="J22" s="472"/>
      <c r="K22" s="472"/>
      <c r="L22" s="767"/>
      <c r="M22" s="2153">
        <f>G22*H22</f>
        <v>0</v>
      </c>
      <c r="N22" s="1725" t="s">
        <v>3348</v>
      </c>
      <c r="O22" s="431">
        <f>M22*0.2</f>
        <v>0</v>
      </c>
      <c r="P22" s="431">
        <f>G22*J22</f>
        <v>0</v>
      </c>
      <c r="Q22" s="431">
        <f>G22*K22</f>
        <v>0</v>
      </c>
      <c r="R22" s="2144">
        <f>G22*L22</f>
        <v>0</v>
      </c>
    </row>
    <row r="23" spans="2:18">
      <c r="B23" s="2139" t="str">
        <f>Texte!A5325</f>
        <v>Festes Gärgut, Recyclingdünger</v>
      </c>
      <c r="C23" s="2140"/>
      <c r="D23" s="2140"/>
      <c r="E23" s="2140"/>
      <c r="F23" s="527" t="s">
        <v>4111</v>
      </c>
      <c r="G23" s="2159"/>
      <c r="H23" s="2158"/>
      <c r="I23" s="2141"/>
      <c r="J23" s="472"/>
      <c r="K23" s="472"/>
      <c r="L23" s="767"/>
      <c r="M23" s="2163">
        <f>G23*H23</f>
        <v>0</v>
      </c>
      <c r="N23" s="1725" t="s">
        <v>3348</v>
      </c>
      <c r="O23" s="431">
        <f>M23*0.2</f>
        <v>0</v>
      </c>
      <c r="P23" s="431">
        <f>G23*J23</f>
        <v>0</v>
      </c>
      <c r="Q23" s="431">
        <f>G23*K23</f>
        <v>0</v>
      </c>
      <c r="R23" s="2144">
        <f>G23*L23</f>
        <v>0</v>
      </c>
    </row>
    <row r="24" spans="2:18" ht="4.7" hidden="1" customHeight="1">
      <c r="B24" s="998"/>
      <c r="C24" s="998"/>
      <c r="D24" s="998"/>
      <c r="E24" s="998"/>
      <c r="F24" s="998"/>
      <c r="G24" s="998"/>
      <c r="H24" s="998"/>
      <c r="I24" s="998"/>
      <c r="J24" s="998"/>
      <c r="K24" s="998"/>
      <c r="L24" s="998"/>
      <c r="M24" s="998"/>
    </row>
    <row r="25" spans="2:18" ht="4.7" customHeight="1">
      <c r="B25" s="874"/>
      <c r="C25" s="874"/>
      <c r="D25" s="874"/>
      <c r="E25" s="874"/>
      <c r="F25" s="359"/>
      <c r="G25" s="1722"/>
      <c r="H25" s="1722"/>
      <c r="I25" s="1722"/>
      <c r="J25" s="1724"/>
      <c r="K25" s="1724"/>
      <c r="L25" s="1724"/>
      <c r="M25" s="872"/>
      <c r="N25" s="872"/>
      <c r="O25" s="872"/>
      <c r="P25" s="872"/>
      <c r="Q25" s="872"/>
      <c r="R25" s="872"/>
    </row>
    <row r="26" spans="2:18" ht="12.75">
      <c r="B26" s="1720" t="str">
        <f>Texte!A5327</f>
        <v>E2: Feste Vergärungsprodukte</v>
      </c>
      <c r="C26" s="874"/>
      <c r="D26" s="874"/>
      <c r="E26" s="874"/>
      <c r="F26" s="357" t="str">
        <f>F19</f>
        <v>Wird ins Hauptformular "Suisse-Bilanz - Formular E" übertragen:</v>
      </c>
      <c r="G26" s="137"/>
      <c r="H26" s="1722"/>
      <c r="I26" s="1722"/>
      <c r="J26" s="1724"/>
      <c r="K26" s="1724"/>
      <c r="L26" s="1724"/>
      <c r="M26" s="872"/>
      <c r="N26" s="1710" t="s">
        <v>4089</v>
      </c>
      <c r="O26" s="316">
        <f>SUM(O22:O24)</f>
        <v>0</v>
      </c>
      <c r="P26" s="2129">
        <f>SUM(P22:P24)</f>
        <v>0</v>
      </c>
      <c r="Q26" s="2129">
        <f>SUM(Q22:Q24)</f>
        <v>0</v>
      </c>
      <c r="R26" s="2130">
        <f>SUM(R22:R24)</f>
        <v>0</v>
      </c>
    </row>
    <row r="27" spans="2:18" ht="12.75">
      <c r="B27" s="874"/>
      <c r="C27" s="874"/>
      <c r="D27" s="874"/>
      <c r="E27" s="874"/>
      <c r="F27" s="359"/>
      <c r="G27" s="1722"/>
      <c r="H27" s="1722"/>
      <c r="I27" s="1722"/>
      <c r="J27" s="1724"/>
      <c r="K27" s="1724"/>
      <c r="L27" s="1724"/>
      <c r="M27" s="872"/>
      <c r="N27" s="872"/>
      <c r="O27" s="872"/>
      <c r="P27" s="872"/>
      <c r="Q27" s="872"/>
      <c r="R27" s="872"/>
    </row>
    <row r="28" spans="2:18" ht="13.7" customHeight="1" thickBot="1">
      <c r="B28" s="2131" t="str">
        <f>Texte!A5328</f>
        <v>Ernterückstände Gemüse</v>
      </c>
      <c r="C28" s="2132"/>
      <c r="D28" s="2132"/>
      <c r="E28" s="2132"/>
      <c r="F28" s="2155" t="str">
        <f>F21</f>
        <v>Einheit</v>
      </c>
      <c r="G28" s="1755" t="str">
        <f>G21</f>
        <v>Menge</v>
      </c>
      <c r="H28" s="2157" t="str">
        <f>H21</f>
        <v>Nges</v>
      </c>
      <c r="I28" s="2134" t="str">
        <f>I21</f>
        <v>Nverf</v>
      </c>
      <c r="J28" s="2135" t="s">
        <v>2909</v>
      </c>
      <c r="K28" s="2135" t="s">
        <v>2908</v>
      </c>
      <c r="L28" s="2161" t="str">
        <f>L21</f>
        <v>Mg</v>
      </c>
      <c r="M28" s="2162" t="str">
        <f>M21</f>
        <v>Nges</v>
      </c>
      <c r="N28" s="2136" t="s">
        <v>4411</v>
      </c>
      <c r="O28" s="2137" t="str">
        <f>O21</f>
        <v>Nverf</v>
      </c>
      <c r="P28" s="2135" t="s">
        <v>2909</v>
      </c>
      <c r="Q28" s="2135" t="s">
        <v>2908</v>
      </c>
      <c r="R28" s="2138" t="str">
        <f>R21</f>
        <v>Mg</v>
      </c>
    </row>
    <row r="29" spans="2:18">
      <c r="B29" s="2139" t="str">
        <f>B28</f>
        <v>Ernterückstände Gemüse</v>
      </c>
      <c r="C29" s="2140"/>
      <c r="D29" s="2140"/>
      <c r="E29" s="2140"/>
      <c r="F29" s="527" t="s">
        <v>4111</v>
      </c>
      <c r="G29" s="2159"/>
      <c r="H29" s="2160">
        <v>3.3</v>
      </c>
      <c r="I29" s="2141"/>
      <c r="J29" s="2142">
        <v>0.9</v>
      </c>
      <c r="K29" s="2142">
        <v>4</v>
      </c>
      <c r="L29" s="2164">
        <v>0.6</v>
      </c>
      <c r="M29" s="2163">
        <f>G29*H29</f>
        <v>0</v>
      </c>
      <c r="N29" s="2143">
        <f>$H$10/100</f>
        <v>0.56834785703265323</v>
      </c>
      <c r="O29" s="431">
        <f>M29*N29</f>
        <v>0</v>
      </c>
      <c r="P29" s="431">
        <f>G29*J29</f>
        <v>0</v>
      </c>
      <c r="Q29" s="431">
        <f>G29*K29</f>
        <v>0</v>
      </c>
      <c r="R29" s="2144">
        <f>G29*L29</f>
        <v>0</v>
      </c>
    </row>
    <row r="30" spans="2:18" ht="4.7" customHeight="1">
      <c r="B30" s="998"/>
      <c r="C30" s="998"/>
      <c r="D30" s="998"/>
      <c r="E30" s="998"/>
      <c r="F30" s="998"/>
      <c r="G30" s="998"/>
      <c r="H30" s="998"/>
      <c r="I30" s="998"/>
      <c r="J30" s="998"/>
      <c r="K30" s="998"/>
      <c r="L30" s="998"/>
      <c r="M30" s="998"/>
    </row>
    <row r="31" spans="2:18" ht="4.7" customHeight="1">
      <c r="B31" s="874"/>
      <c r="C31" s="874"/>
      <c r="D31" s="874"/>
      <c r="E31" s="874"/>
      <c r="F31" s="359"/>
      <c r="G31" s="1722"/>
      <c r="H31" s="1722"/>
      <c r="I31" s="1722"/>
      <c r="J31" s="1724"/>
      <c r="K31" s="1724"/>
      <c r="L31" s="1724"/>
      <c r="M31" s="872"/>
      <c r="N31" s="872"/>
      <c r="O31" s="872"/>
      <c r="P31" s="872"/>
      <c r="Q31" s="872"/>
      <c r="R31" s="872"/>
    </row>
    <row r="32" spans="2:18" ht="12.75">
      <c r="B32" s="1720" t="str">
        <f>Texte!A5329</f>
        <v>E3: Ernterückstände Gemüse</v>
      </c>
      <c r="C32" s="874"/>
      <c r="D32" s="874"/>
      <c r="E32" s="874"/>
      <c r="F32" s="357" t="str">
        <f>F26</f>
        <v>Wird ins Hauptformular "Suisse-Bilanz - Formular E" übertragen:</v>
      </c>
      <c r="G32" s="137"/>
      <c r="H32" s="1722"/>
      <c r="I32" s="1722"/>
      <c r="J32" s="1724"/>
      <c r="K32" s="1724"/>
      <c r="L32" s="1724"/>
      <c r="M32" s="872"/>
      <c r="N32" s="1710" t="s">
        <v>7696</v>
      </c>
      <c r="O32" s="316">
        <f>SUM(O29)</f>
        <v>0</v>
      </c>
      <c r="P32" s="2129">
        <f>SUM(P29)</f>
        <v>0</v>
      </c>
      <c r="Q32" s="2129">
        <f>SUM(Q29)</f>
        <v>0</v>
      </c>
      <c r="R32" s="2130">
        <f>SUM(R29)</f>
        <v>0</v>
      </c>
    </row>
    <row r="33" spans="2:18" ht="12.75">
      <c r="B33" s="874"/>
      <c r="C33" s="919"/>
      <c r="D33" s="1726"/>
      <c r="E33" s="1726"/>
      <c r="F33" s="359"/>
      <c r="G33" s="1722"/>
      <c r="H33" s="1722"/>
      <c r="I33" s="1722"/>
      <c r="J33" s="1724"/>
      <c r="K33" s="1724"/>
      <c r="L33" s="1724"/>
      <c r="M33" s="872"/>
      <c r="N33" s="872"/>
      <c r="O33" s="872"/>
      <c r="P33" s="872"/>
      <c r="Q33" s="872"/>
      <c r="R33" s="872"/>
    </row>
    <row r="34" spans="2:18" ht="15.75">
      <c r="B34" s="1346" t="str">
        <f>Texte!A5343</f>
        <v>Total Vergärungsprodukte und Ernterückstände Gemüse</v>
      </c>
      <c r="C34" s="919"/>
      <c r="D34" s="919"/>
      <c r="E34" s="919"/>
      <c r="F34" s="919"/>
      <c r="G34" s="874"/>
      <c r="H34" s="874"/>
      <c r="I34" s="874"/>
      <c r="J34" s="1727"/>
      <c r="K34" s="1727"/>
      <c r="L34" s="1727"/>
      <c r="M34" s="872"/>
      <c r="N34" s="1738" t="s">
        <v>4827</v>
      </c>
      <c r="O34" s="316">
        <f>O26+O19+O32</f>
        <v>0</v>
      </c>
      <c r="P34" s="2129">
        <f>P26+P19+P32</f>
        <v>0</v>
      </c>
      <c r="Q34" s="2129">
        <f>Q26+Q19+Q32</f>
        <v>0</v>
      </c>
      <c r="R34" s="2130">
        <f>R26+R19+R32</f>
        <v>0</v>
      </c>
    </row>
    <row r="35" spans="2:18">
      <c r="C35" s="919"/>
      <c r="D35" s="919"/>
      <c r="E35" s="919"/>
      <c r="F35" s="919"/>
      <c r="G35" s="874"/>
      <c r="H35" s="874"/>
      <c r="I35" s="874"/>
      <c r="J35" s="874"/>
      <c r="K35" s="874"/>
      <c r="L35" s="874"/>
      <c r="M35" s="872"/>
      <c r="N35" s="872"/>
      <c r="O35" s="872"/>
      <c r="P35" s="872"/>
      <c r="Q35" s="872"/>
      <c r="R35" s="872"/>
    </row>
    <row r="36" spans="2:18" ht="12.75">
      <c r="B36" s="677" t="str">
        <f>Texte!A5332</f>
        <v>Fussnote</v>
      </c>
      <c r="C36" s="874"/>
      <c r="D36" s="874"/>
      <c r="E36" s="874"/>
      <c r="F36" s="874"/>
      <c r="G36" s="1728"/>
      <c r="H36" s="1728"/>
      <c r="I36" s="1728"/>
      <c r="J36" s="1728"/>
      <c r="K36" s="1728"/>
      <c r="L36" s="1728"/>
      <c r="M36" s="872"/>
      <c r="N36" s="872"/>
      <c r="O36" s="872"/>
      <c r="P36" s="872"/>
      <c r="Q36" s="872"/>
      <c r="R36" s="872"/>
    </row>
    <row r="37" spans="2:18">
      <c r="B37" s="677" t="str">
        <f>Texte!A5333</f>
        <v>14] Betriebsspezifischer N-Ausnutzungsgrad für flüssige Vergärungsprodukte und Ernterückstände Gemüse, siehe Wegleitung.</v>
      </c>
      <c r="C37" s="872"/>
      <c r="D37" s="872"/>
      <c r="E37" s="872"/>
      <c r="F37" s="872"/>
      <c r="G37" s="872"/>
      <c r="H37" s="872"/>
      <c r="I37" s="872"/>
      <c r="J37" s="872"/>
      <c r="K37" s="872"/>
      <c r="L37" s="872"/>
      <c r="M37" s="872"/>
      <c r="N37" s="872"/>
      <c r="O37" s="872"/>
      <c r="P37" s="872"/>
      <c r="Q37" s="872"/>
      <c r="R37" s="872"/>
    </row>
    <row r="38" spans="2:18">
      <c r="B38" s="677" t="str">
        <f>Texte!A5334</f>
        <v>15] Übertrag der Vergärungsprodukte gemäss Auszug HODUFLU</v>
      </c>
      <c r="C38" s="872"/>
      <c r="D38" s="872"/>
      <c r="E38" s="872"/>
      <c r="F38" s="872"/>
      <c r="G38" s="872"/>
      <c r="H38" s="872"/>
      <c r="I38" s="872"/>
      <c r="J38" s="872"/>
      <c r="K38" s="872"/>
      <c r="L38" s="872"/>
      <c r="M38" s="872"/>
      <c r="N38" s="872"/>
      <c r="O38" s="872"/>
      <c r="P38" s="872"/>
      <c r="Q38" s="872"/>
      <c r="R38" s="872"/>
    </row>
    <row r="39" spans="2:18">
      <c r="B39" s="677" t="str">
        <f>Texte!A5335</f>
        <v>16] Umrechnung Nges zu Nverf mit Faktor 0.2</v>
      </c>
      <c r="C39" s="872"/>
      <c r="D39" s="872"/>
      <c r="E39" s="872"/>
      <c r="F39" s="872"/>
      <c r="G39" s="872"/>
      <c r="H39" s="872"/>
      <c r="I39" s="872"/>
      <c r="J39" s="872"/>
      <c r="K39" s="872"/>
      <c r="L39" s="872"/>
      <c r="M39" s="872"/>
      <c r="N39" s="872"/>
      <c r="O39" s="872"/>
      <c r="P39" s="872"/>
      <c r="Q39" s="872"/>
      <c r="R39" s="872"/>
    </row>
    <row r="40" spans="2:18">
      <c r="C40" s="998"/>
      <c r="D40" s="998"/>
      <c r="E40" s="998"/>
      <c r="F40" s="998"/>
      <c r="G40" s="998"/>
      <c r="H40" s="998"/>
      <c r="I40" s="998"/>
      <c r="J40" s="998"/>
      <c r="K40" s="998"/>
      <c r="L40" s="998"/>
      <c r="M40" s="998"/>
    </row>
    <row r="41" spans="2:18">
      <c r="B41" s="998"/>
      <c r="C41" s="998"/>
      <c r="D41" s="998"/>
      <c r="E41" s="998"/>
      <c r="F41" s="998"/>
      <c r="G41" s="998"/>
      <c r="H41" s="998"/>
      <c r="I41" s="998"/>
      <c r="J41" s="998"/>
      <c r="K41" s="998"/>
      <c r="L41" s="998"/>
      <c r="M41" s="998"/>
    </row>
    <row r="42" spans="2:18">
      <c r="B42" s="998"/>
      <c r="C42" s="998"/>
      <c r="D42" s="998"/>
      <c r="E42" s="998"/>
      <c r="F42" s="998"/>
      <c r="G42" s="998"/>
      <c r="H42" s="998"/>
      <c r="I42" s="998"/>
      <c r="J42" s="998"/>
      <c r="K42" s="998"/>
      <c r="L42" s="998"/>
      <c r="M42" s="998"/>
    </row>
    <row r="43" spans="2:18">
      <c r="B43" s="998"/>
      <c r="C43" s="998"/>
      <c r="D43" s="998"/>
      <c r="E43" s="998"/>
      <c r="F43" s="998"/>
      <c r="G43" s="998"/>
      <c r="H43" s="998"/>
      <c r="I43" s="998"/>
      <c r="J43" s="998"/>
      <c r="K43" s="998"/>
      <c r="L43" s="998"/>
      <c r="M43" s="998"/>
    </row>
  </sheetData>
  <sheetProtection algorithmName="SHA-512" hashValue="nIAesFWR0NSQBY5+IzmIm6oVLhSJRnFx/N4x1u7ldJLCXBEPHzkpnk01jO5ebhGLTDI953UsX6d0AOeTLcAXoQ==" saltValue="Xu7fzCQUZfgvsrWUFprOkQ==" spinCount="100000" sheet="1" objects="1" scenarios="1"/>
  <mergeCells count="3">
    <mergeCell ref="Q5:R5"/>
    <mergeCell ref="Q4:R4"/>
    <mergeCell ref="M13:R13"/>
  </mergeCells>
  <phoneticPr fontId="105" type="noConversion"/>
  <pageMargins left="0.47244094488188981" right="0.31496062992125984" top="0.51181102362204722" bottom="0.98425196850393704" header="0.51181102362204722" footer="0.51181102362204722"/>
  <pageSetup paperSize="9" orientation="landscape" r:id="rId1"/>
  <headerFooter alignWithMargins="0">
    <oddFooter>&amp;C&amp;F&amp;R&amp;"Arial,Standard"&amp;9Seite &amp;P&amp;L&amp;"Arial,Fett"&amp;11AGRIDEA &amp;"Arial,Standard"&amp;9 Nachweis Version 9.9</oddFooter>
  </headerFooter>
  <ignoredErrors>
    <ignoredError sqref="B15:B16 B7:B11" unlockedFormula="1"/>
  </ignoredErrors>
  <drawing r:id="rId2"/>
</worksheet>
</file>

<file path=xl/worksheets/sheet11.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3">
    <tabColor indexed="43"/>
  </sheetPr>
  <dimension ref="A1:AE98"/>
  <sheetViews>
    <sheetView showGridLines="0" showRowColHeaders="0" showZeros="0" topLeftCell="A27" workbookViewId="0">
      <selection activeCell="P58" sqref="P58"/>
      <extLst>
        <ext uri="{77bfe23e-c014-4d31-8a63-9c772dbf06b6}">
          <ns2:showDataTypeIcons visible="0"/>
        </ext>
      </extLst>
    </sheetView>
  </sheetViews>
  <sheetFormatPr baseColWidth="10" defaultRowHeight="12.75"/>
  <cols>
    <col min="1" max="1" width="0.85546875" customWidth="1"/>
    <col min="2" max="2" width="10.7109375" customWidth="1"/>
    <col min="3" max="3" width="10.85546875" customWidth="1"/>
    <col min="4" max="4" width="9.7109375" customWidth="1"/>
    <col min="5" max="8" width="5.5703125" customWidth="1"/>
    <col min="9" max="9" width="6.140625" customWidth="1"/>
    <col min="10" max="10" width="6.5703125" customWidth="1"/>
    <col min="11" max="11" width="8.7109375" customWidth="1"/>
    <col min="12" max="12" width="7.7109375" customWidth="1"/>
    <col min="13" max="14" width="6.7109375" customWidth="1"/>
    <col min="15" max="15" width="5.5703125" customWidth="1"/>
    <col min="16" max="16" width="6.42578125" customWidth="1"/>
    <col min="17" max="20" width="5.5703125" customWidth="1"/>
    <col min="21" max="21" width="6.42578125" customWidth="1"/>
    <col min="22" max="25" width="10.28515625" customWidth="1"/>
    <col min="26" max="26" width="4.140625" style="2055" hidden="1" customWidth="1"/>
  </cols>
  <sheetData>
    <row r="1" spans="1:30" ht="42" customHeight="1">
      <c r="A1" s="1"/>
      <c r="B1" s="19" t="str">
        <f>Q!NW_Tit</f>
        <v xml:space="preserve">                                   Nachweis</v>
      </c>
      <c r="C1" s="1"/>
      <c r="D1" s="30"/>
      <c r="E1" s="1"/>
      <c r="F1" s="1"/>
      <c r="I1" s="356" t="str">
        <f>Texte!A678</f>
        <v>Suisse-Bilanz</v>
      </c>
      <c r="L1" s="1"/>
      <c r="M1" s="537" t="str">
        <f>Q!F203</f>
        <v>Version 1.19</v>
      </c>
      <c r="N1" s="1"/>
      <c r="P1" s="1"/>
      <c r="Q1" s="1"/>
      <c r="R1" s="1"/>
      <c r="S1" s="1"/>
      <c r="T1" s="1"/>
      <c r="U1" s="1"/>
      <c r="V1" s="1"/>
      <c r="W1" s="1"/>
      <c r="Y1" s="20" t="str">
        <f>Q!F20</f>
        <v>SuiBi: Anfall und Grundfutter</v>
      </c>
      <c r="AB1" s="1"/>
      <c r="AC1" s="1"/>
      <c r="AD1" s="1"/>
    </row>
    <row r="2" spans="1:30" ht="15.75">
      <c r="A2" s="1"/>
      <c r="B2" s="1"/>
      <c r="C2" s="2777" t="str">
        <f>IF(1=1,"",Q!F219)</f>
        <v/>
      </c>
      <c r="D2" s="1"/>
      <c r="E2" s="1"/>
      <c r="F2" s="1"/>
      <c r="G2" s="1"/>
      <c r="H2" s="1"/>
      <c r="I2" s="1"/>
      <c r="J2" s="1"/>
      <c r="K2" s="1"/>
      <c r="L2" s="1"/>
      <c r="M2" s="1"/>
      <c r="N2" s="1"/>
      <c r="O2" s="1"/>
      <c r="P2" s="1"/>
      <c r="Q2" s="1"/>
      <c r="R2" s="1"/>
      <c r="S2" s="1"/>
      <c r="T2" s="1"/>
      <c r="U2" s="1"/>
      <c r="V2" s="1"/>
      <c r="W2" s="1"/>
      <c r="X2" s="1"/>
      <c r="Y2" s="2371"/>
      <c r="AA2" s="196"/>
      <c r="AB2" s="1"/>
      <c r="AC2" s="1"/>
      <c r="AD2" s="1"/>
    </row>
    <row r="3" spans="1:30" ht="12.75" customHeight="1">
      <c r="A3" s="1"/>
      <c r="B3" s="43" t="str">
        <f>Texte!A680</f>
        <v>Name:</v>
      </c>
      <c r="C3" s="1" t="str">
        <f>Allg!$C$9&amp;""</f>
        <v>Imhof &amp; Zaehner Betriebsgemeinschaft</v>
      </c>
      <c r="D3" s="1"/>
      <c r="E3" s="1"/>
      <c r="F3" s="1"/>
      <c r="G3" s="1"/>
      <c r="I3" s="3" t="str">
        <f>Texte!A681</f>
        <v>Adresse:</v>
      </c>
      <c r="J3" s="1" t="str">
        <f>IF(Allg!C10="","",Allg!C10)</f>
        <v/>
      </c>
      <c r="K3" s="1"/>
      <c r="L3" s="1"/>
      <c r="M3" s="1"/>
      <c r="O3" s="3" t="str">
        <f>Texte!A682</f>
        <v>PLZ, Ort:</v>
      </c>
      <c r="P3" s="1" t="str">
        <f>IF(Allg!C11="","",Allg!C11)</f>
        <v/>
      </c>
      <c r="R3" s="1"/>
      <c r="U3" s="3" t="str">
        <f>Texte!A683</f>
        <v>Betriebsnr.:</v>
      </c>
      <c r="V3" s="3432" t="str">
        <f>IF(Allg!G4="","",Allg!G4)</f>
        <v>0197-001</v>
      </c>
      <c r="W3" s="3432"/>
      <c r="X3" s="3" t="str">
        <f>Texte!A15</f>
        <v>Jahr:</v>
      </c>
      <c r="Y3" s="196" t="str">
        <f>Allg!G6&amp;""</f>
        <v>2026</v>
      </c>
      <c r="AA3" s="196"/>
      <c r="AB3" s="1"/>
      <c r="AC3" s="1"/>
      <c r="AD3" s="1"/>
    </row>
    <row r="4" spans="1:30" ht="5.0999999999999996" customHeight="1">
      <c r="A4" s="1"/>
      <c r="B4" s="1"/>
      <c r="C4" s="1"/>
      <c r="D4" s="1"/>
      <c r="E4" s="1"/>
      <c r="F4" s="1"/>
      <c r="G4" s="1"/>
      <c r="H4" s="1"/>
      <c r="I4" s="1"/>
      <c r="J4" s="1"/>
      <c r="K4" s="1"/>
      <c r="L4" s="1"/>
      <c r="M4" s="1"/>
      <c r="N4" s="1"/>
      <c r="O4" s="1"/>
      <c r="P4" s="1"/>
      <c r="Q4" s="1"/>
      <c r="R4" s="1"/>
      <c r="S4" s="1"/>
      <c r="T4" s="1"/>
      <c r="U4" s="1"/>
      <c r="V4" s="1"/>
      <c r="W4" s="1"/>
      <c r="X4" s="1"/>
      <c r="Y4" s="1"/>
      <c r="AA4" s="196"/>
      <c r="AB4" s="1"/>
      <c r="AC4" s="1"/>
      <c r="AD4" s="1"/>
    </row>
    <row r="5" spans="1:30" ht="12.75" customHeight="1">
      <c r="A5" s="1"/>
      <c r="B5" s="43" t="str">
        <f>Texte!A684</f>
        <v>Telefon:</v>
      </c>
      <c r="C5" s="1" t="str">
        <f>IF(Allg!C12="","",Allg!C12)</f>
        <v/>
      </c>
      <c r="D5" s="1"/>
      <c r="E5" s="3" t="str">
        <f>Texte!A685</f>
        <v xml:space="preserve"> Höhe ü. M.:</v>
      </c>
      <c r="F5" s="394" t="str">
        <f>IF(Allg!C14="","",Allg!C14)</f>
        <v/>
      </c>
      <c r="G5" s="1"/>
      <c r="H5" s="1"/>
      <c r="I5" s="1"/>
      <c r="J5" s="3" t="str">
        <f>Texte!A686</f>
        <v>Landw. Nutzfläche, ha :</v>
      </c>
      <c r="K5" s="536">
        <f>IF(Fläche!N38=0,0,Fläche!N38)</f>
        <v>137.40760000000003</v>
      </c>
      <c r="M5" s="1"/>
      <c r="N5" s="1"/>
      <c r="O5" s="3" t="str">
        <f>Texte!A687</f>
        <v>Offene Ackerfläche, ha:</v>
      </c>
      <c r="P5" s="536">
        <f>IF(Fläche!N38=0,0,SUM(Fläche!E9,Fläche!E25,Fläche!E38,Fläche!N26))</f>
        <v>74.797499999999999</v>
      </c>
      <c r="R5" s="1"/>
      <c r="T5" s="3" t="str">
        <f>Texte!A688</f>
        <v>Düngbare Fläche, ha:</v>
      </c>
      <c r="U5" s="536">
        <f>IF(Kennz!G18=0,0,Kennz!G18)</f>
        <v>117.08580000000003</v>
      </c>
      <c r="V5" s="1"/>
      <c r="W5" s="3" t="str">
        <f>Texte!A14</f>
        <v>Variante:</v>
      </c>
      <c r="X5" t="str">
        <f>IF(Allg!G7="","",Allg!G7)</f>
        <v/>
      </c>
      <c r="Y5" s="1"/>
      <c r="AA5" s="196"/>
      <c r="AB5" s="1"/>
      <c r="AC5" s="1"/>
      <c r="AD5" s="1"/>
    </row>
    <row r="6" spans="1:30" ht="5.0999999999999996" customHeight="1">
      <c r="A6" s="1"/>
      <c r="B6" s="43"/>
      <c r="C6" s="1"/>
      <c r="D6" s="1"/>
      <c r="E6" s="3"/>
      <c r="F6" s="394"/>
      <c r="G6" s="1"/>
      <c r="H6" s="1"/>
      <c r="I6" s="1"/>
      <c r="J6" s="3"/>
      <c r="K6" s="536"/>
      <c r="M6" s="1"/>
      <c r="N6" s="1"/>
      <c r="O6" s="3"/>
      <c r="P6" s="536"/>
      <c r="R6" s="1"/>
      <c r="T6" s="3"/>
      <c r="U6" s="536"/>
      <c r="V6" s="1"/>
      <c r="W6" s="1"/>
      <c r="X6" s="3"/>
      <c r="Y6" s="1"/>
      <c r="AA6" s="196"/>
      <c r="AB6" s="1"/>
      <c r="AC6" s="1"/>
      <c r="AD6" s="1"/>
    </row>
    <row r="7" spans="1:30" ht="12.75" customHeight="1">
      <c r="A7" s="1"/>
      <c r="B7" s="45" t="str">
        <f>Texte!A689</f>
        <v>Import-/Exportbilanz:</v>
      </c>
      <c r="C7" s="1"/>
      <c r="D7" s="1"/>
      <c r="E7" s="45"/>
      <c r="F7" s="1"/>
      <c r="G7" s="3" t="str">
        <f>Texte!A690</f>
        <v>Lineare Korrektur:</v>
      </c>
      <c r="H7" s="1"/>
      <c r="I7" s="1"/>
      <c r="J7" s="1"/>
      <c r="L7" s="3" t="str">
        <f>Texte!A691</f>
        <v>Spezialkulturenformulare:</v>
      </c>
      <c r="N7" s="1"/>
      <c r="O7" s="3" t="str">
        <f>Texte!A692</f>
        <v>Düngungsplan:</v>
      </c>
      <c r="Q7" s="1"/>
      <c r="S7" s="1"/>
      <c r="T7" s="3" t="str">
        <f>Texte!A5342</f>
        <v>Vergärungsprodukte:</v>
      </c>
      <c r="V7" s="1"/>
      <c r="W7" s="962" t="str">
        <f>Texte!A693</f>
        <v>Datum:</v>
      </c>
      <c r="X7" s="1945" t="str">
        <f>IF(Allg!C58="","",Allg!C58)</f>
        <v/>
      </c>
      <c r="Y7" s="23"/>
      <c r="AA7" s="196"/>
      <c r="AB7" s="1"/>
      <c r="AC7" s="1"/>
      <c r="AD7" s="1"/>
    </row>
    <row r="8" spans="1:30" ht="5.0999999999999996" customHeight="1" thickBot="1">
      <c r="A8" s="1"/>
      <c r="B8" s="21"/>
      <c r="C8" s="21"/>
      <c r="D8" s="21"/>
      <c r="E8" s="21"/>
      <c r="F8" s="21"/>
      <c r="G8" s="21"/>
      <c r="H8" s="21"/>
      <c r="I8" s="21"/>
      <c r="J8" s="21"/>
      <c r="K8" s="21"/>
      <c r="L8" s="21"/>
      <c r="M8" s="21"/>
      <c r="N8" s="21"/>
      <c r="O8" s="21"/>
      <c r="P8" s="21"/>
      <c r="Q8" s="21"/>
      <c r="R8" s="21"/>
      <c r="S8" s="21"/>
      <c r="T8" s="21"/>
      <c r="U8" s="21"/>
      <c r="V8" s="21"/>
      <c r="W8" s="21"/>
      <c r="X8" s="21"/>
      <c r="Y8" s="21"/>
      <c r="AA8" s="1"/>
      <c r="AB8" s="1"/>
      <c r="AC8" s="1"/>
      <c r="AD8" s="1"/>
    </row>
    <row r="9" spans="1:30" ht="20.100000000000001" customHeight="1">
      <c r="A9" s="1"/>
      <c r="B9" s="234" t="str">
        <f>Texte!A694</f>
        <v>Formular A: Grundfutterverzehr und verfügbare Nährstoffe</v>
      </c>
      <c r="C9" s="43"/>
      <c r="D9" s="43"/>
      <c r="E9" s="1"/>
      <c r="F9" s="1"/>
      <c r="G9" s="2"/>
      <c r="H9" s="1"/>
      <c r="I9" s="1"/>
      <c r="J9" s="295"/>
      <c r="K9" s="295"/>
      <c r="L9" s="1"/>
      <c r="N9" s="1"/>
      <c r="O9" s="1"/>
      <c r="P9" s="1"/>
      <c r="Q9" s="1"/>
      <c r="R9" s="1"/>
      <c r="S9" s="1"/>
      <c r="T9" s="1"/>
      <c r="U9" s="1"/>
      <c r="V9" s="1"/>
      <c r="W9" s="109"/>
      <c r="X9" s="109"/>
      <c r="Y9" s="109"/>
      <c r="AA9" s="1"/>
      <c r="AB9" s="1"/>
      <c r="AC9" s="1"/>
      <c r="AD9" s="1"/>
    </row>
    <row r="10" spans="1:30" ht="5.0999999999999996" customHeight="1">
      <c r="A10" s="1"/>
      <c r="B10" s="48"/>
      <c r="C10" s="48"/>
      <c r="D10" s="48"/>
      <c r="E10" s="80"/>
      <c r="F10" s="80"/>
      <c r="G10" s="138"/>
      <c r="H10" s="80"/>
      <c r="I10" s="80"/>
      <c r="J10" s="406"/>
      <c r="K10" s="406"/>
      <c r="L10" s="80"/>
      <c r="M10" s="80"/>
      <c r="N10" s="80"/>
      <c r="O10" s="80"/>
      <c r="P10" s="80"/>
      <c r="Q10" s="80"/>
      <c r="R10" s="80"/>
      <c r="S10" s="80"/>
      <c r="T10" s="80"/>
      <c r="U10" s="80"/>
      <c r="V10" s="80"/>
      <c r="W10" s="80"/>
      <c r="X10" s="80"/>
      <c r="Y10" s="80"/>
      <c r="AA10" s="80"/>
      <c r="AB10" s="1"/>
      <c r="AC10" s="1"/>
      <c r="AD10" s="1"/>
    </row>
    <row r="11" spans="1:30" ht="18" customHeight="1">
      <c r="A11" s="30"/>
      <c r="B11" s="2173"/>
      <c r="C11" s="190"/>
      <c r="D11" s="2174"/>
      <c r="E11" s="190"/>
      <c r="F11" s="191"/>
      <c r="G11" s="770"/>
      <c r="H11" s="770"/>
      <c r="I11" s="3419" t="str">
        <f>Texte!A697</f>
        <v>Total Kraftfutterverbrauch für Milchkühe auf Ganzjahresbetrieb</v>
      </c>
      <c r="J11" s="2311">
        <f>D_Klick!StartCon</f>
        <v>8.0625</v>
      </c>
      <c r="K11" s="2175" t="str">
        <f>Texte!A699</f>
        <v>dt / Jahr</v>
      </c>
      <c r="L11" s="770"/>
      <c r="M11" s="770"/>
      <c r="N11" s="194"/>
      <c r="O11" s="1166" t="str">
        <f>Texte!A698</f>
        <v>Alle Milchkühe im Laufstall?</v>
      </c>
      <c r="P11" s="564"/>
      <c r="Q11" s="2176" t="str">
        <f>IF(D_Tierb!$AH$9,Texte!A722,Texte!A723)</f>
        <v>nein</v>
      </c>
      <c r="R11" s="1894"/>
      <c r="S11" s="770"/>
      <c r="T11" s="770"/>
      <c r="U11" s="770"/>
      <c r="V11" s="194" t="str">
        <f>Texte!A704</f>
        <v>Rindviehmast, über 160-tägig</v>
      </c>
      <c r="W11" s="2177"/>
      <c r="X11" s="2898" t="str">
        <f>Texte!A705</f>
        <v>TZW in g</v>
      </c>
      <c r="Y11" s="2183"/>
      <c r="AB11" s="30"/>
      <c r="AC11" s="30"/>
      <c r="AD11" s="30"/>
    </row>
    <row r="12" spans="1:30" ht="18" customHeight="1">
      <c r="A12" s="30"/>
      <c r="B12" s="2643">
        <f>Texte!A696</f>
        <v>0</v>
      </c>
      <c r="C12" s="869"/>
      <c r="D12" s="2178"/>
      <c r="E12" s="2179"/>
      <c r="F12" s="869"/>
      <c r="G12" s="2180"/>
      <c r="H12" s="2181"/>
      <c r="I12" s="546" t="str">
        <f>Texte!A700</f>
        <v>entspricht</v>
      </c>
      <c r="J12" s="2182" t="str">
        <f>IF(Tierb!MiKuh,KraftfutterMiKu/Tierb!MiKuh*100,"")</f>
        <v/>
      </c>
      <c r="K12" s="114" t="str">
        <f>Texte!A701</f>
        <v>kg / Tier / Jahr</v>
      </c>
      <c r="L12" s="114"/>
      <c r="M12" s="114"/>
      <c r="N12" s="114"/>
      <c r="O12" s="546" t="str">
        <f>Texte!A702</f>
        <v>Alles Jungvieh im Laufstall?</v>
      </c>
      <c r="P12" s="1416"/>
      <c r="Q12" s="2176" t="str">
        <f>IF(D_Tierb!$AH$11,Texte!A722,Texte!A723)</f>
        <v>nein</v>
      </c>
      <c r="R12" s="1895"/>
      <c r="S12" s="869"/>
      <c r="T12" s="773"/>
      <c r="U12" s="773"/>
      <c r="V12" s="773"/>
      <c r="W12" s="773"/>
      <c r="X12" s="2277" t="str">
        <f>Texte!A706</f>
        <v>Ausstall-LG in kg</v>
      </c>
      <c r="Y12" s="2183"/>
      <c r="AA12" s="30"/>
      <c r="AB12" s="30"/>
      <c r="AC12" s="30"/>
      <c r="AD12" s="30"/>
    </row>
    <row r="13" spans="1:30">
      <c r="A13" s="1"/>
      <c r="B13" s="1424"/>
      <c r="C13" s="30"/>
      <c r="D13" s="30"/>
      <c r="E13" s="30"/>
      <c r="F13" s="2235"/>
      <c r="G13" s="415" t="str">
        <f>Texte!A726</f>
        <v>Anzahl</v>
      </c>
      <c r="H13" s="416" t="str">
        <f>Texte!A729</f>
        <v>Abzug,</v>
      </c>
      <c r="I13" s="416" t="str">
        <f>Texte!A732</f>
        <v>Anzahl</v>
      </c>
      <c r="J13" s="2230" t="str">
        <f>Texte!A735</f>
        <v>Grundfutterverzehr</v>
      </c>
      <c r="K13" s="2170"/>
      <c r="L13" s="2171" t="str">
        <f>Texte!A742</f>
        <v>Nährstoffanfall je Einheit und Jahr</v>
      </c>
      <c r="M13" s="297"/>
      <c r="N13" s="2171"/>
      <c r="O13" s="2171"/>
      <c r="P13" s="2172"/>
      <c r="Q13" s="739"/>
      <c r="R13" s="466" t="str">
        <f>Texte!A743</f>
        <v>Nährstoffanfall je Jahr</v>
      </c>
      <c r="S13" s="466"/>
      <c r="T13" s="466"/>
      <c r="U13" s="765"/>
      <c r="V13" s="468" t="str">
        <f>Texte!A744</f>
        <v xml:space="preserve">Nges - </v>
      </c>
      <c r="W13" s="468" t="str">
        <f>Texte!A748</f>
        <v xml:space="preserve">Nges - </v>
      </c>
      <c r="X13" s="297" t="str">
        <f>Texte!A752</f>
        <v>Vollmist-Nges</v>
      </c>
      <c r="Y13" s="2172"/>
      <c r="AB13" s="1"/>
      <c r="AC13" s="1"/>
      <c r="AD13" s="25"/>
    </row>
    <row r="14" spans="1:30">
      <c r="A14" s="1"/>
      <c r="B14" s="547" t="str">
        <f>Texte!A724</f>
        <v>Tierart bzw. Tierkategorie</v>
      </c>
      <c r="C14" s="414"/>
      <c r="D14" s="414"/>
      <c r="E14" s="414"/>
      <c r="F14" s="2231" t="str">
        <f>Texte!A725</f>
        <v>Einheit</v>
      </c>
      <c r="G14" s="415" t="str">
        <f>Texte!A727</f>
        <v>Ein-</v>
      </c>
      <c r="H14" s="416" t="str">
        <f>Texte!A730</f>
        <v>Zu-</v>
      </c>
      <c r="I14" s="416" t="str">
        <f>Texte!A733</f>
        <v>korri-</v>
      </c>
      <c r="J14" s="2231" t="str">
        <f>Texte!A738</f>
        <v>dt TS</v>
      </c>
      <c r="K14" s="417" t="str">
        <f>Texte!A740</f>
        <v>dt TS</v>
      </c>
      <c r="L14" s="418" t="s">
        <v>5484</v>
      </c>
      <c r="M14" s="415" t="s">
        <v>5484</v>
      </c>
      <c r="N14" s="415" t="s">
        <v>6627</v>
      </c>
      <c r="O14" s="415" t="s">
        <v>6627</v>
      </c>
      <c r="P14" s="468" t="s">
        <v>6627</v>
      </c>
      <c r="Q14" s="792" t="s">
        <v>5484</v>
      </c>
      <c r="R14" s="415" t="s">
        <v>5484</v>
      </c>
      <c r="S14" s="415" t="s">
        <v>6627</v>
      </c>
      <c r="T14" s="415" t="s">
        <v>6627</v>
      </c>
      <c r="U14" s="468" t="s">
        <v>6627</v>
      </c>
      <c r="V14" s="419" t="str">
        <f>Texte!A745</f>
        <v>Anfall</v>
      </c>
      <c r="W14" s="419" t="str">
        <f>Texte!A749</f>
        <v>Anfall</v>
      </c>
      <c r="X14" s="466" t="str">
        <f>Texte!A753</f>
        <v>je Jahr</v>
      </c>
      <c r="Y14" s="2101"/>
      <c r="AB14" s="1"/>
      <c r="AC14" s="1"/>
      <c r="AD14" s="1"/>
    </row>
    <row r="15" spans="1:30" ht="13.5" thickBot="1">
      <c r="A15" s="1"/>
      <c r="B15" s="2102"/>
      <c r="C15" s="421"/>
      <c r="D15" s="421"/>
      <c r="E15" s="421"/>
      <c r="F15" s="2236"/>
      <c r="G15" s="422" t="str">
        <f>Texte!A728</f>
        <v>heiten</v>
      </c>
      <c r="H15" s="365" t="str">
        <f>Texte!A731</f>
        <v>schlag</v>
      </c>
      <c r="I15" s="365" t="str">
        <f>Texte!A734</f>
        <v>giert</v>
      </c>
      <c r="J15" s="2232" t="str">
        <f>Texte!A739</f>
        <v>je Jahr</v>
      </c>
      <c r="K15" s="423" t="str">
        <f>Texte!A741</f>
        <v>total</v>
      </c>
      <c r="L15" s="424" t="s">
        <v>1511</v>
      </c>
      <c r="M15" s="422" t="str">
        <f>Texte!A755</f>
        <v>Nges</v>
      </c>
      <c r="N15" s="422" t="s">
        <v>7029</v>
      </c>
      <c r="O15" s="422" t="s">
        <v>7030</v>
      </c>
      <c r="P15" s="425" t="s">
        <v>7031</v>
      </c>
      <c r="Q15" s="793" t="s">
        <v>1511</v>
      </c>
      <c r="R15" s="422" t="str">
        <f>Texte!A755</f>
        <v>Nges</v>
      </c>
      <c r="S15" s="422" t="s">
        <v>7029</v>
      </c>
      <c r="T15" s="422" t="s">
        <v>7030</v>
      </c>
      <c r="U15" s="425" t="s">
        <v>7031</v>
      </c>
      <c r="V15" s="419" t="str">
        <f>Texte!A746</f>
        <v xml:space="preserve">im </v>
      </c>
      <c r="W15" s="419" t="str">
        <f>Texte!A750</f>
        <v>auf der</v>
      </c>
      <c r="X15" s="30"/>
      <c r="Y15" s="419" t="str">
        <f>Texte!A756</f>
        <v>kg</v>
      </c>
      <c r="AB15" s="1"/>
      <c r="AC15" s="1"/>
      <c r="AD15" s="1"/>
    </row>
    <row r="16" spans="1:30" ht="12.75" customHeight="1">
      <c r="A16" s="1"/>
      <c r="B16" s="2103"/>
      <c r="C16" s="426"/>
      <c r="D16" s="426"/>
      <c r="E16" s="426"/>
      <c r="F16" s="2237"/>
      <c r="G16" s="427"/>
      <c r="H16" s="427"/>
      <c r="I16" s="427"/>
      <c r="J16" s="428"/>
      <c r="K16" s="428"/>
      <c r="L16" s="428"/>
      <c r="M16" s="428"/>
      <c r="N16" s="428"/>
      <c r="O16" s="428"/>
      <c r="P16" s="428"/>
      <c r="Q16" s="399"/>
      <c r="R16" s="427"/>
      <c r="S16" s="427"/>
      <c r="T16" s="427"/>
      <c r="U16" s="427"/>
      <c r="V16" s="750" t="str">
        <f>Texte!A747</f>
        <v>Laufhof</v>
      </c>
      <c r="W16" s="750" t="str">
        <f>Texte!A751</f>
        <v>Weide</v>
      </c>
      <c r="X16" s="794" t="str">
        <f>Texte!A754</f>
        <v>Typ</v>
      </c>
      <c r="Y16" s="2104" t="str">
        <f>Texte!A755</f>
        <v>Nges</v>
      </c>
      <c r="AB16" s="1"/>
      <c r="AC16" s="1"/>
      <c r="AD16" s="1"/>
    </row>
    <row r="17" spans="1:31">
      <c r="A17" s="1"/>
      <c r="B17" s="354" t="inlineStr">
        <is>
          <t xml:space="preserve">Pferde &gt; 148 cm, über 180-tägig</t>
        </is>
      </c>
      <c r="C17" s="353"/>
      <c r="D17" s="440"/>
      <c r="E17" s="440"/>
      <c r="F17" s="2163" t="inlineStr">
        <is>
          <t xml:space="preserve">Platz</t>
        </is>
      </c>
      <c r="G17" s="1731">
        <v>5</v>
      </c>
      <c r="H17" s="431">
        <v>0</v>
      </c>
      <c r="I17" s="1731">
        <v>5</v>
      </c>
      <c r="J17" s="2233">
        <v>28</v>
      </c>
      <c r="K17" s="434">
        <f t="shared" ref="K17:K38" si="0">IF(AND(I17="",J17=""),"",I17*J17)</f>
        <v>140</v>
      </c>
      <c r="L17" s="433">
        <v>43</v>
      </c>
      <c r="M17" s="2372">
        <v>30.1</v>
      </c>
      <c r="N17" s="431">
        <v>21</v>
      </c>
      <c r="O17" s="431">
        <v>72</v>
      </c>
      <c r="P17" s="431">
        <v>4.5</v>
      </c>
      <c r="Q17" s="436">
        <f t="shared" ref="Q17:Q38" si="1">IF($I17=""," ",$I17*L17)</f>
        <v>215</v>
      </c>
      <c r="R17" s="437">
        <f t="shared" ref="R17:R38" si="2">IF($I17=""," ",$I17*M17)</f>
        <v>150.5</v>
      </c>
      <c r="S17" s="437">
        <f t="shared" ref="S17:S38" si="3">IF($I17=""," ",$I17*N17)</f>
        <v>105</v>
      </c>
      <c r="T17" s="437">
        <f t="shared" ref="T17:T38" si="4">IF($I17=""," ",$I17*O17)</f>
        <v>360</v>
      </c>
      <c r="U17" s="437">
        <f t="shared" ref="U17:U38" si="5">IF($I17=""," ",$I17*P17)</f>
        <v>22.5</v>
      </c>
      <c r="V17" s="805">
        <v>3.710958904109589</v>
      </c>
      <c r="W17" s="805">
        <v>6.872146118721461</v>
      </c>
      <c r="X17" s="1018" t="inlineStr">
        <is>
          <t xml:space="preserve">Typ 100</t>
        </is>
      </c>
      <c r="Y17" s="805">
        <f>IF(Z17=0,0,(R17-V17-W17)*Z17)</f>
        <v>139.91689497716894</v>
      </c>
      <c r="Z17" s="2055">
        <v>1</v>
      </c>
      <c r="AA17" s="804"/>
      <c r="AB17" s="121"/>
      <c r="AC17" s="438"/>
      <c r="AD17" s="348"/>
    </row>
    <row r="18" spans="1:31">
      <c r="A18" s="1"/>
      <c r="B18" s="354" t="inlineStr">
        <is>
          <t xml:space="preserve">Ponys, Kleinpferde, Esel, jeden Alters, bis 148 cm</t>
        </is>
      </c>
      <c r="C18" s="353"/>
      <c r="D18" s="440"/>
      <c r="E18" s="440"/>
      <c r="F18" s="2163" t="inlineStr">
        <is>
          <t xml:space="preserve">Platz</t>
        </is>
      </c>
      <c r="G18" s="1731">
        <v>4</v>
      </c>
      <c r="H18" s="431">
        <v>0</v>
      </c>
      <c r="I18" s="1731">
        <v>4</v>
      </c>
      <c r="J18" s="2234">
        <v>10.4</v>
      </c>
      <c r="K18" s="434">
        <f t="shared" si="0"/>
        <v>41.6</v>
      </c>
      <c r="L18" s="433">
        <v>15.7</v>
      </c>
      <c r="M18" s="2372">
        <v>10.99</v>
      </c>
      <c r="N18" s="431">
        <v>8.2</v>
      </c>
      <c r="O18" s="431">
        <v>26.8</v>
      </c>
      <c r="P18" s="431">
        <v>1.8</v>
      </c>
      <c r="Q18" s="436">
        <f t="shared" si="1"/>
        <v>62.8</v>
      </c>
      <c r="R18" s="437">
        <f t="shared" si="2"/>
        <v>43.96</v>
      </c>
      <c r="S18" s="437">
        <f t="shared" si="3"/>
        <v>32.799999999999997</v>
      </c>
      <c r="T18" s="437">
        <f t="shared" si="4"/>
        <v>107.2</v>
      </c>
      <c r="U18" s="437">
        <f t="shared" si="5"/>
        <v>7.2</v>
      </c>
      <c r="V18" s="805">
        <v>1.0839452054794523</v>
      </c>
      <c r="W18" s="805">
        <v>2.007305936073059</v>
      </c>
      <c r="X18" s="1018" t="inlineStr">
        <is>
          <t xml:space="preserve">Typ 100</t>
        </is>
      </c>
      <c r="Y18" s="805">
        <f t="shared" ref="Y18:Y33" si="6">IF(Z18=0,0,(R18-V18-W18)*Z18)</f>
        <v>40.868748858447489</v>
      </c>
      <c r="Z18" s="2055">
        <v>1</v>
      </c>
      <c r="AA18" s="804"/>
      <c r="AB18" s="121"/>
      <c r="AC18" s="438"/>
      <c r="AD18" s="348"/>
    </row>
    <row r="19" spans="1:31">
      <c r="A19" s="1"/>
      <c r="B19" s="354" t="inlineStr">
        <is>
          <t xml:space="preserve">Milchschafe, Ø Milchmenge:</t>
        </is>
      </c>
      <c r="C19" s="439"/>
      <c r="D19" s="440"/>
      <c r="E19" s="440">
        <v>450</v>
      </c>
      <c r="F19" s="2163" t="inlineStr">
        <is>
          <t xml:space="preserve">Platz</t>
        </is>
      </c>
      <c r="G19" s="1731">
        <v>219</v>
      </c>
      <c r="H19" s="431">
        <v>0</v>
      </c>
      <c r="I19" s="1731">
        <v>219</v>
      </c>
      <c r="J19" s="2234">
        <v>8.9</v>
      </c>
      <c r="K19" s="434">
        <f t="shared" si="0"/>
        <v>1949.1000000000001</v>
      </c>
      <c r="L19" s="433">
        <v>14.94</v>
      </c>
      <c r="M19" s="2372">
        <v>12.66</v>
      </c>
      <c r="N19" s="431">
        <v>6.28</v>
      </c>
      <c r="O19" s="431">
        <v>26.44</v>
      </c>
      <c r="P19" s="431">
        <v>1.48</v>
      </c>
      <c r="Q19" s="436">
        <f t="shared" si="1"/>
        <v>3271.8599999999997</v>
      </c>
      <c r="R19" s="437">
        <f t="shared" si="2"/>
        <v>2772.54</v>
      </c>
      <c r="S19" s="437">
        <f t="shared" si="3"/>
        <v>1375.3200000000002</v>
      </c>
      <c r="T19" s="437">
        <f t="shared" si="4"/>
        <v>5790.3600000000006</v>
      </c>
      <c r="U19" s="437">
        <f t="shared" si="5"/>
        <v>324.12</v>
      </c>
      <c r="V19" s="805">
        <v>0</v>
      </c>
      <c r="W19" s="805">
        <v>0</v>
      </c>
      <c r="X19" s="1018" t="inlineStr">
        <is>
          <t xml:space="preserve">Typ 100</t>
        </is>
      </c>
      <c r="Y19" s="805">
        <f t="shared" si="6"/>
        <v>2772.54</v>
      </c>
      <c r="Z19" s="2055">
        <v>1</v>
      </c>
      <c r="AA19" s="804"/>
      <c r="AB19" s="121"/>
      <c r="AC19" s="438"/>
      <c r="AD19" s="348"/>
    </row>
    <row r="20" spans="1:31">
      <c r="A20" s="1"/>
      <c r="B20" s="354" t="inlineStr">
        <is>
          <t xml:space="preserve">Andere Schafe, über 365-tägig</t>
        </is>
      </c>
      <c r="C20" s="353"/>
      <c r="D20" s="440"/>
      <c r="E20" s="440"/>
      <c r="F20" s="2163" t="inlineStr">
        <is>
          <t xml:space="preserve">Platz</t>
        </is>
      </c>
      <c r="G20" s="1731">
        <v>45</v>
      </c>
      <c r="H20" s="431">
        <v>0</v>
      </c>
      <c r="I20" s="1731">
        <v>45</v>
      </c>
      <c r="J20" s="2234">
        <v>6.5</v>
      </c>
      <c r="K20" s="434">
        <f t="shared" si="0"/>
        <v>292.5</v>
      </c>
      <c r="L20" s="433">
        <v>9.5</v>
      </c>
      <c r="M20" s="2372">
        <v>8.11</v>
      </c>
      <c r="N20" s="431">
        <v>3.8</v>
      </c>
      <c r="O20" s="431">
        <v>16.7</v>
      </c>
      <c r="P20" s="431">
        <v>1</v>
      </c>
      <c r="Q20" s="436">
        <f t="shared" si="1"/>
        <v>427.5</v>
      </c>
      <c r="R20" s="437">
        <f t="shared" si="2"/>
        <v>364.95</v>
      </c>
      <c r="S20" s="437">
        <f t="shared" si="3"/>
        <v>171</v>
      </c>
      <c r="T20" s="437">
        <f t="shared" si="4"/>
        <v>751.5</v>
      </c>
      <c r="U20" s="437">
        <f t="shared" si="5"/>
        <v>45</v>
      </c>
      <c r="V20" s="805">
        <v>0</v>
      </c>
      <c r="W20" s="805">
        <v>0</v>
      </c>
      <c r="X20" s="1018" t="inlineStr">
        <is>
          <t xml:space="preserve">Typ 0</t>
        </is>
      </c>
      <c r="Y20" s="805">
        <f t="shared" si="6"/>
        <v>0</v>
      </c>
      <c r="Z20" s="2055">
        <v>0</v>
      </c>
      <c r="AA20" s="804"/>
      <c r="AB20" s="121"/>
      <c r="AC20" s="438"/>
      <c r="AD20" s="348"/>
    </row>
    <row r="21" spans="1:31">
      <c r="A21" s="1"/>
      <c r="B21" s="354" t="inlineStr">
        <is>
          <t xml:space="preserve">Jungschafe, über 180 bis 365-tägig</t>
        </is>
      </c>
      <c r="C21" s="353"/>
      <c r="D21" s="440"/>
      <c r="E21" s="440"/>
      <c r="F21" s="2163" t="inlineStr">
        <is>
          <t xml:space="preserve">Platz</t>
        </is>
      </c>
      <c r="G21" s="1731">
        <v>106</v>
      </c>
      <c r="H21" s="431">
        <v>0</v>
      </c>
      <c r="I21" s="1731">
        <v>106</v>
      </c>
      <c r="J21" s="2234">
        <v>4.9</v>
      </c>
      <c r="K21" s="434">
        <f t="shared" si="0"/>
        <v>519.40000000000009</v>
      </c>
      <c r="L21" s="433">
        <v>9.8</v>
      </c>
      <c r="M21" s="2372">
        <v>8.36</v>
      </c>
      <c r="N21" s="431">
        <v>3.5</v>
      </c>
      <c r="O21" s="431">
        <v>16.5</v>
      </c>
      <c r="P21" s="431">
        <v>1</v>
      </c>
      <c r="Q21" s="436">
        <f t="shared" si="1"/>
        <v>1038.8000000000002</v>
      </c>
      <c r="R21" s="437">
        <f t="shared" si="2"/>
        <v>886.16</v>
      </c>
      <c r="S21" s="437">
        <f t="shared" si="3"/>
        <v>371</v>
      </c>
      <c r="T21" s="437">
        <f t="shared" si="4"/>
        <v>1749</v>
      </c>
      <c r="U21" s="437">
        <f t="shared" si="5"/>
        <v>106</v>
      </c>
      <c r="V21" s="805">
        <v>0</v>
      </c>
      <c r="W21" s="805">
        <v>0</v>
      </c>
      <c r="X21" s="1018" t="inlineStr">
        <is>
          <t xml:space="preserve">Typ 0</t>
        </is>
      </c>
      <c r="Y21" s="805">
        <f t="shared" si="6"/>
        <v>0</v>
      </c>
      <c r="Z21" s="2055">
        <v>0</v>
      </c>
      <c r="AA21" s="804"/>
      <c r="AB21" s="121"/>
      <c r="AC21" s="438"/>
      <c r="AD21" s="348"/>
    </row>
    <row r="22" spans="1:31">
      <c r="A22" s="1"/>
      <c r="B22" s="354" t="inlineStr">
        <is>
          <t xml:space="preserve">Lämmer, bis 180-tägig</t>
        </is>
      </c>
      <c r="C22" s="353"/>
      <c r="D22" s="440"/>
      <c r="E22" s="440"/>
      <c r="F22" s="2163" t="inlineStr">
        <is>
          <t xml:space="preserve">Platz</t>
        </is>
      </c>
      <c r="G22" s="1731">
        <v>129</v>
      </c>
      <c r="H22" s="431">
        <v>0</v>
      </c>
      <c r="I22" s="1731">
        <v>129</v>
      </c>
      <c r="J22" s="2234">
        <v>1.4</v>
      </c>
      <c r="K22" s="434">
        <f t="shared" si="0"/>
        <v>180.6</v>
      </c>
      <c r="L22" s="433">
        <v>3.3</v>
      </c>
      <c r="M22" s="2372">
        <v>2.85</v>
      </c>
      <c r="N22" s="431">
        <v>1.5</v>
      </c>
      <c r="O22" s="431">
        <v>5.2</v>
      </c>
      <c r="P22" s="431">
        <v>0.4</v>
      </c>
      <c r="Q22" s="436">
        <f t="shared" si="1"/>
        <v>425.7</v>
      </c>
      <c r="R22" s="437">
        <f t="shared" si="2"/>
        <v>367.65000000000003</v>
      </c>
      <c r="S22" s="437">
        <f t="shared" si="3"/>
        <v>193.5</v>
      </c>
      <c r="T22" s="437">
        <f t="shared" si="4"/>
        <v>670.80000000000007</v>
      </c>
      <c r="U22" s="437">
        <f t="shared" si="5"/>
        <v>51.6</v>
      </c>
      <c r="V22" s="805">
        <v>0</v>
      </c>
      <c r="W22" s="805">
        <v>0</v>
      </c>
      <c r="X22" s="1018" t="inlineStr">
        <is>
          <t xml:space="preserve">Typ 0</t>
        </is>
      </c>
      <c r="Y22" s="805">
        <f t="shared" si="6"/>
        <v>0</v>
      </c>
      <c r="Z22" s="2055">
        <v>0</v>
      </c>
      <c r="AA22" s="804"/>
      <c r="AB22" s="121"/>
      <c r="AC22" s="438"/>
      <c r="AD22" s="348"/>
    </row>
    <row r="23" spans="1:31">
      <c r="A23" s="1"/>
      <c r="B23" s="354" t="inlineStr">
        <is>
          <t xml:space="preserve">Milchziegen, Ø Milchmenge:</t>
        </is>
      </c>
      <c r="C23" s="353"/>
      <c r="D23" s="440"/>
      <c r="E23" s="440">
        <v>550</v>
      </c>
      <c r="F23" s="2163" t="inlineStr">
        <is>
          <t xml:space="preserve">Platz</t>
        </is>
      </c>
      <c r="G23" s="1731">
        <v>3</v>
      </c>
      <c r="H23" s="431">
        <v>0</v>
      </c>
      <c r="I23" s="1731">
        <v>3</v>
      </c>
      <c r="J23" s="2234">
        <v>6.2</v>
      </c>
      <c r="K23" s="434">
        <f t="shared" si="0"/>
        <v>18.600000000000001</v>
      </c>
      <c r="L23" s="433">
        <v>9.3</v>
      </c>
      <c r="M23" s="2372">
        <v>7.87</v>
      </c>
      <c r="N23" s="431">
        <v>3.6</v>
      </c>
      <c r="O23" s="431">
        <v>15.7</v>
      </c>
      <c r="P23" s="431">
        <v>0.9</v>
      </c>
      <c r="Q23" s="436">
        <f t="shared" si="1"/>
        <v>27.900000000000002</v>
      </c>
      <c r="R23" s="437">
        <f t="shared" si="2"/>
        <v>23.61</v>
      </c>
      <c r="S23" s="437">
        <f t="shared" si="3"/>
        <v>10.8</v>
      </c>
      <c r="T23" s="437">
        <f t="shared" si="4"/>
        <v>47.099999999999994</v>
      </c>
      <c r="U23" s="437">
        <f t="shared" si="5"/>
        <v>2.7</v>
      </c>
      <c r="V23" s="805">
        <v>0</v>
      </c>
      <c r="W23" s="805">
        <v>0</v>
      </c>
      <c r="X23" s="1018" t="inlineStr">
        <is>
          <t xml:space="preserve">Typ 0</t>
        </is>
      </c>
      <c r="Y23" s="805">
        <f t="shared" si="6"/>
        <v>0</v>
      </c>
      <c r="Z23" s="2055">
        <v>0</v>
      </c>
      <c r="AA23" s="804"/>
      <c r="AB23" s="121"/>
      <c r="AC23" s="438"/>
      <c r="AD23" s="348"/>
    </row>
    <row r="24" spans="1:31">
      <c r="A24" s="1"/>
      <c r="B24" s="354" t="inlineStr">
        <is>
          <t xml:space="preserve">Andere Zeigen, über 365-tägig</t>
        </is>
      </c>
      <c r="C24" s="353"/>
      <c r="D24" s="440"/>
      <c r="E24" s="440"/>
      <c r="F24" s="2163" t="inlineStr">
        <is>
          <t xml:space="preserve">Platz</t>
        </is>
      </c>
      <c r="G24" s="1731">
        <v>1.55</v>
      </c>
      <c r="H24" s="431">
        <v>0</v>
      </c>
      <c r="I24" s="1731">
        <v>1.55</v>
      </c>
      <c r="J24" s="2234">
        <v>5.7</v>
      </c>
      <c r="K24" s="434" t="str">
        <f t="shared" si="0"/>
        <v/>
      </c>
      <c r="L24" s="433">
        <v>8.2</v>
      </c>
      <c r="M24" s="2372">
        <v>6.96</v>
      </c>
      <c r="N24" s="431">
        <v>3.3</v>
      </c>
      <c r="O24" s="431">
        <v>14.5</v>
      </c>
      <c r="P24" s="431">
        <v>0.8</v>
      </c>
      <c r="Q24" s="436" t="str">
        <f t="shared" si="1"/>
        <v xml:space="preserve"> </v>
      </c>
      <c r="R24" s="437" t="str">
        <f t="shared" si="2"/>
        <v xml:space="preserve"> </v>
      </c>
      <c r="S24" s="437" t="str">
        <f t="shared" si="3"/>
        <v xml:space="preserve"> </v>
      </c>
      <c r="T24" s="437" t="str">
        <f t="shared" si="4"/>
        <v xml:space="preserve"> </v>
      </c>
      <c r="U24" s="437" t="str">
        <f t="shared" si="5"/>
        <v xml:space="preserve"> </v>
      </c>
      <c r="V24" s="805">
        <v>0</v>
      </c>
      <c r="W24" s="805">
        <v>0</v>
      </c>
      <c r="X24" s="1018" t="inlineStr">
        <is>
          <t xml:space="preserve">Typ 0</t>
        </is>
      </c>
      <c r="Y24" s="805">
        <f t="shared" si="6"/>
        <v>0</v>
      </c>
      <c r="Z24">
        <v>0</v>
      </c>
      <c r="AA24" s="804"/>
      <c r="AB24" s="121"/>
      <c r="AC24" s="438"/>
      <c r="AD24" s="348"/>
    </row>
    <row r="25" spans="1:31">
      <c r="A25" s="1"/>
      <c r="B25" s="354" t="inlineStr">
        <is>
          <t xml:space="preserve">Jungziegen, über 180 bis 365-tägig</t>
        </is>
      </c>
      <c r="C25" s="353"/>
      <c r="D25" s="440"/>
      <c r="E25" s="440"/>
      <c r="F25" s="2163" t="inlineStr">
        <is>
          <t xml:space="preserve">Platz</t>
        </is>
      </c>
      <c r="G25" s="1731">
        <v>2.79</v>
      </c>
      <c r="H25" s="431">
        <v>0</v>
      </c>
      <c r="I25" s="1731">
        <v>2.79</v>
      </c>
      <c r="J25" s="2234">
        <v>3.5</v>
      </c>
      <c r="K25" s="434" t="str">
        <f t="shared" si="0"/>
        <v/>
      </c>
      <c r="L25" s="433">
        <v>7.7</v>
      </c>
      <c r="M25" s="2372">
        <v>6.55</v>
      </c>
      <c r="N25" s="431">
        <v>3.3</v>
      </c>
      <c r="O25" s="431">
        <v>12.1</v>
      </c>
      <c r="P25" s="431">
        <v>0.8</v>
      </c>
      <c r="Q25" s="436" t="str">
        <f t="shared" si="1"/>
        <v xml:space="preserve"> </v>
      </c>
      <c r="R25" s="437" t="str">
        <f t="shared" si="2"/>
        <v xml:space="preserve"> </v>
      </c>
      <c r="S25" s="437" t="str">
        <f t="shared" si="3"/>
        <v xml:space="preserve"> </v>
      </c>
      <c r="T25" s="437" t="str">
        <f t="shared" si="4"/>
        <v xml:space="preserve"> </v>
      </c>
      <c r="U25" s="437" t="str">
        <f t="shared" si="5"/>
        <v xml:space="preserve"> </v>
      </c>
      <c r="V25" s="805">
        <v>0</v>
      </c>
      <c r="W25" s="805">
        <v>0</v>
      </c>
      <c r="X25" s="1018" t="inlineStr">
        <is>
          <t xml:space="preserve">Typ 0</t>
        </is>
      </c>
      <c r="Y25" s="805">
        <f t="shared" si="6"/>
        <v>0</v>
      </c>
      <c r="Z25">
        <v>0</v>
      </c>
      <c r="AA25" s="804"/>
      <c r="AB25" s="121"/>
      <c r="AC25" s="438"/>
      <c r="AD25" s="348"/>
    </row>
    <row r="26" spans="1:31">
      <c r="A26" s="1"/>
      <c r="B26" s="354" t="inlineStr">
        <is>
          <t xml:space="preserve">Zicklein bis 180-tägig, Milchziegenherde</t>
        </is>
      </c>
      <c r="C26" s="353"/>
      <c r="D26" s="440"/>
      <c r="E26" s="440"/>
      <c r="F26" s="2163" t="inlineStr">
        <is>
          <t xml:space="preserve">Platz</t>
        </is>
      </c>
      <c r="G26" s="1731">
        <v>1.99</v>
      </c>
      <c r="H26" s="431">
        <v>0</v>
      </c>
      <c r="I26" s="1731">
        <v>1.99</v>
      </c>
      <c r="J26" s="2234">
        <v>0.7</v>
      </c>
      <c r="K26" s="434" t="str">
        <f t="shared" si="0"/>
        <v/>
      </c>
      <c r="L26" s="433">
        <v>2.9</v>
      </c>
      <c r="M26" s="2372">
        <v>2.49</v>
      </c>
      <c r="N26" s="431">
        <v>1</v>
      </c>
      <c r="O26" s="431">
        <v>3.6</v>
      </c>
      <c r="P26" s="431">
        <v>0.2</v>
      </c>
      <c r="Q26" s="436" t="str">
        <f t="shared" si="1"/>
        <v xml:space="preserve"> </v>
      </c>
      <c r="R26" s="437" t="str">
        <f t="shared" si="2"/>
        <v xml:space="preserve"> </v>
      </c>
      <c r="S26" s="437" t="str">
        <f t="shared" si="3"/>
        <v xml:space="preserve"> </v>
      </c>
      <c r="T26" s="437" t="str">
        <f t="shared" si="4"/>
        <v xml:space="preserve"> </v>
      </c>
      <c r="U26" s="437" t="str">
        <f t="shared" si="5"/>
        <v xml:space="preserve"> </v>
      </c>
      <c r="V26" s="805">
        <v>0</v>
      </c>
      <c r="W26" s="805">
        <v>0</v>
      </c>
      <c r="X26" s="1018" t="inlineStr">
        <is>
          <t xml:space="preserve">Typ 0</t>
        </is>
      </c>
      <c r="Y26" s="805">
        <f t="shared" si="6"/>
        <v>0</v>
      </c>
      <c r="Z26">
        <v>0</v>
      </c>
      <c r="AA26" s="804"/>
      <c r="AB26" s="121"/>
      <c r="AC26" s="438"/>
      <c r="AD26" s="348"/>
    </row>
    <row r="27" spans="1:31">
      <c r="A27" s="1"/>
      <c r="B27" s="354" t="inlineStr">
        <is>
          <t xml:space="preserve">Zuchtschweine inkl. Ferkel bis 26 kg LG</t>
        </is>
      </c>
      <c r="C27" s="440"/>
      <c r="D27" s="440"/>
      <c r="E27" s="440"/>
      <c r="F27" s="2163" t="inlineStr">
        <is>
          <t xml:space="preserve">Platz</t>
        </is>
      </c>
      <c r="G27" s="1731">
        <v>2</v>
      </c>
      <c r="H27" s="431">
        <v>0</v>
      </c>
      <c r="I27" s="1731">
        <v>2</v>
      </c>
      <c r="J27" s="2234">
        <v>0.5</v>
      </c>
      <c r="K27" s="434" t="str">
        <f t="shared" si="0"/>
        <v/>
      </c>
      <c r="L27" s="433">
        <v>44</v>
      </c>
      <c r="M27" s="2372">
        <v>35.2</v>
      </c>
      <c r="N27" s="431">
        <v>21</v>
      </c>
      <c r="O27" s="431">
        <v>23</v>
      </c>
      <c r="P27" s="431">
        <v>4.2</v>
      </c>
      <c r="Q27" s="436" t="str">
        <f t="shared" si="1"/>
        <v xml:space="preserve"> </v>
      </c>
      <c r="R27" s="437" t="str">
        <f t="shared" si="2"/>
        <v xml:space="preserve"> </v>
      </c>
      <c r="S27" s="437" t="str">
        <f t="shared" si="3"/>
        <v xml:space="preserve"> </v>
      </c>
      <c r="T27" s="437" t="str">
        <f t="shared" si="4"/>
        <v xml:space="preserve"> </v>
      </c>
      <c r="U27" s="437" t="str">
        <f t="shared" si="5"/>
        <v xml:space="preserve"> </v>
      </c>
      <c r="V27" s="805">
        <v>0</v>
      </c>
      <c r="W27" s="805">
        <v>0</v>
      </c>
      <c r="X27" s="1018" t="inlineStr">
        <is>
          <t xml:space="preserve">Typ 0</t>
        </is>
      </c>
      <c r="Y27" s="805">
        <f t="shared" si="6"/>
        <v>0</v>
      </c>
      <c r="Z27">
        <v>0</v>
      </c>
      <c r="AA27" s="804"/>
      <c r="AB27" s="121"/>
      <c r="AC27" s="438"/>
      <c r="AD27" s="348"/>
    </row>
    <row r="28" spans="1:31">
      <c r="A28" s="1"/>
      <c r="B28" s="354"/>
      <c r="C28" s="353"/>
      <c r="D28" s="440"/>
      <c r="E28" s="440"/>
      <c r="F28" s="2163"/>
      <c r="G28" s="1731"/>
      <c r="H28" s="431"/>
      <c r="I28" s="1731"/>
      <c r="J28" s="2234"/>
      <c r="K28" s="434" t="str">
        <f t="shared" si="0"/>
        <v/>
      </c>
      <c r="L28" s="433"/>
      <c r="M28" s="2372"/>
      <c r="N28" s="431"/>
      <c r="O28" s="431"/>
      <c r="P28" s="431"/>
      <c r="Q28" s="436" t="str">
        <f t="shared" si="1"/>
        <v xml:space="preserve"> </v>
      </c>
      <c r="R28" s="437" t="str">
        <f t="shared" si="2"/>
        <v xml:space="preserve"> </v>
      </c>
      <c r="S28" s="437" t="str">
        <f t="shared" si="3"/>
        <v xml:space="preserve"> </v>
      </c>
      <c r="T28" s="437" t="str">
        <f t="shared" si="4"/>
        <v xml:space="preserve"> </v>
      </c>
      <c r="U28" s="437" t="str">
        <f t="shared" si="5"/>
        <v xml:space="preserve"> </v>
      </c>
      <c r="V28" s="805"/>
      <c r="W28" s="805"/>
      <c r="X28" s="1018"/>
      <c r="Y28" s="805">
        <f t="shared" si="6"/>
        <v>0</v>
      </c>
      <c r="AA28" s="804"/>
      <c r="AB28" s="121"/>
      <c r="AC28" s="438"/>
      <c r="AD28" s="348"/>
    </row>
    <row r="29" spans="1:31">
      <c r="A29" s="1"/>
      <c r="B29" s="354"/>
      <c r="C29" s="353"/>
      <c r="D29" s="440"/>
      <c r="E29" s="440"/>
      <c r="F29" s="2163"/>
      <c r="G29" s="1731"/>
      <c r="H29" s="431"/>
      <c r="I29" s="1731"/>
      <c r="J29" s="2234"/>
      <c r="K29" s="434" t="str">
        <f t="shared" si="0"/>
        <v/>
      </c>
      <c r="L29" s="433"/>
      <c r="M29" s="2372"/>
      <c r="N29" s="431"/>
      <c r="O29" s="431"/>
      <c r="P29" s="431"/>
      <c r="Q29" s="436" t="str">
        <f t="shared" si="1"/>
        <v xml:space="preserve"> </v>
      </c>
      <c r="R29" s="437" t="str">
        <f t="shared" si="2"/>
        <v xml:space="preserve"> </v>
      </c>
      <c r="S29" s="437" t="str">
        <f t="shared" si="3"/>
        <v xml:space="preserve"> </v>
      </c>
      <c r="T29" s="437" t="str">
        <f t="shared" si="4"/>
        <v xml:space="preserve"> </v>
      </c>
      <c r="U29" s="437" t="str">
        <f t="shared" si="5"/>
        <v xml:space="preserve"> </v>
      </c>
      <c r="V29" s="805"/>
      <c r="W29" s="805"/>
      <c r="X29" s="1018"/>
      <c r="Y29" s="805">
        <f t="shared" si="6"/>
        <v>0</v>
      </c>
      <c r="AA29" s="804"/>
      <c r="AB29" s="121"/>
      <c r="AC29" s="438"/>
      <c r="AD29" s="348"/>
    </row>
    <row r="30" spans="1:31">
      <c r="A30" s="1"/>
      <c r="B30" s="354"/>
      <c r="C30" s="353"/>
      <c r="D30" s="440"/>
      <c r="E30" s="440"/>
      <c r="F30" s="2163"/>
      <c r="G30" s="1731"/>
      <c r="H30" s="431"/>
      <c r="I30" s="1731"/>
      <c r="J30" s="2234"/>
      <c r="K30" s="434" t="str">
        <f t="shared" si="0"/>
        <v/>
      </c>
      <c r="L30" s="433"/>
      <c r="M30" s="2372"/>
      <c r="N30" s="431"/>
      <c r="O30" s="431"/>
      <c r="P30" s="431"/>
      <c r="Q30" s="436" t="str">
        <f t="shared" si="1"/>
        <v xml:space="preserve"> </v>
      </c>
      <c r="R30" s="437" t="str">
        <f t="shared" si="2"/>
        <v xml:space="preserve"> </v>
      </c>
      <c r="S30" s="437" t="str">
        <f t="shared" si="3"/>
        <v xml:space="preserve"> </v>
      </c>
      <c r="T30" s="437" t="str">
        <f t="shared" si="4"/>
        <v xml:space="preserve"> </v>
      </c>
      <c r="U30" s="437" t="str">
        <f t="shared" si="5"/>
        <v xml:space="preserve"> </v>
      </c>
      <c r="V30" s="805"/>
      <c r="W30" s="805"/>
      <c r="X30" s="1018"/>
      <c r="Y30" s="805">
        <f t="shared" si="6"/>
        <v>0</v>
      </c>
      <c r="AA30" s="804"/>
      <c r="AB30" s="121"/>
      <c r="AC30" s="438"/>
      <c r="AD30" s="348"/>
      <c r="AE30" s="2055"/>
    </row>
    <row r="31" spans="1:31">
      <c r="A31" s="1"/>
      <c r="B31" s="354"/>
      <c r="C31" s="353"/>
      <c r="D31" s="440"/>
      <c r="E31" s="440"/>
      <c r="F31" s="2163"/>
      <c r="G31" s="1731"/>
      <c r="H31" s="431"/>
      <c r="I31" s="1731"/>
      <c r="J31" s="2234"/>
      <c r="K31" s="434" t="str">
        <f t="shared" si="0"/>
        <v/>
      </c>
      <c r="L31" s="433"/>
      <c r="M31" s="2372"/>
      <c r="N31" s="431"/>
      <c r="O31" s="431"/>
      <c r="P31" s="431"/>
      <c r="Q31" s="436" t="str">
        <f t="shared" si="1"/>
        <v xml:space="preserve"> </v>
      </c>
      <c r="R31" s="437" t="str">
        <f t="shared" si="2"/>
        <v xml:space="preserve"> </v>
      </c>
      <c r="S31" s="437" t="str">
        <f t="shared" si="3"/>
        <v xml:space="preserve"> </v>
      </c>
      <c r="T31" s="437" t="str">
        <f t="shared" si="4"/>
        <v xml:space="preserve"> </v>
      </c>
      <c r="U31" s="437" t="str">
        <f t="shared" si="5"/>
        <v xml:space="preserve"> </v>
      </c>
      <c r="V31" s="805"/>
      <c r="W31" s="805"/>
      <c r="X31" s="1018"/>
      <c r="Y31" s="805">
        <f t="shared" si="6"/>
        <v>0</v>
      </c>
      <c r="AA31" s="804"/>
      <c r="AB31" s="121"/>
      <c r="AC31" s="438"/>
      <c r="AD31" s="348"/>
    </row>
    <row r="32" spans="1:31">
      <c r="A32" s="1"/>
      <c r="B32" s="354"/>
      <c r="C32" s="353"/>
      <c r="D32" s="440"/>
      <c r="E32" s="440"/>
      <c r="F32" s="2163"/>
      <c r="G32" s="1731"/>
      <c r="H32" s="431"/>
      <c r="I32" s="1731"/>
      <c r="J32" s="2234"/>
      <c r="K32" s="434" t="str">
        <f t="shared" si="0"/>
        <v/>
      </c>
      <c r="L32" s="433"/>
      <c r="M32" s="2372"/>
      <c r="N32" s="431"/>
      <c r="O32" s="431"/>
      <c r="P32" s="431"/>
      <c r="Q32" s="436" t="str">
        <f t="shared" si="1"/>
        <v xml:space="preserve"> </v>
      </c>
      <c r="R32" s="437" t="str">
        <f t="shared" si="2"/>
        <v xml:space="preserve"> </v>
      </c>
      <c r="S32" s="437" t="str">
        <f t="shared" si="3"/>
        <v xml:space="preserve"> </v>
      </c>
      <c r="T32" s="437" t="str">
        <f t="shared" si="4"/>
        <v xml:space="preserve"> </v>
      </c>
      <c r="U32" s="437" t="str">
        <f t="shared" si="5"/>
        <v xml:space="preserve"> </v>
      </c>
      <c r="V32" s="805"/>
      <c r="W32" s="805"/>
      <c r="X32" s="1018"/>
      <c r="Y32" s="805">
        <f t="shared" si="6"/>
        <v>0</v>
      </c>
      <c r="AA32" s="804"/>
      <c r="AB32" s="121"/>
      <c r="AC32" s="438"/>
      <c r="AD32" s="348"/>
    </row>
    <row r="33" spans="1:31">
      <c r="A33" s="1"/>
      <c r="B33" s="354"/>
      <c r="C33" s="353"/>
      <c r="D33" s="440"/>
      <c r="E33" s="440"/>
      <c r="F33" s="2163"/>
      <c r="G33" s="1731"/>
      <c r="H33" s="431"/>
      <c r="I33" s="1731"/>
      <c r="J33" s="2234"/>
      <c r="K33" s="434" t="str">
        <f t="shared" si="0"/>
        <v/>
      </c>
      <c r="L33" s="433"/>
      <c r="M33" s="2372"/>
      <c r="N33" s="431"/>
      <c r="O33" s="431"/>
      <c r="P33" s="431"/>
      <c r="Q33" s="436" t="str">
        <f t="shared" si="1"/>
        <v xml:space="preserve"> </v>
      </c>
      <c r="R33" s="437" t="str">
        <f t="shared" si="2"/>
        <v xml:space="preserve"> </v>
      </c>
      <c r="S33" s="437" t="str">
        <f t="shared" si="3"/>
        <v xml:space="preserve"> </v>
      </c>
      <c r="T33" s="437" t="str">
        <f t="shared" si="4"/>
        <v xml:space="preserve"> </v>
      </c>
      <c r="U33" s="437" t="str">
        <f t="shared" si="5"/>
        <v xml:space="preserve"> </v>
      </c>
      <c r="V33" s="805"/>
      <c r="W33" s="805"/>
      <c r="X33" s="1018"/>
      <c r="Y33" s="805">
        <f t="shared" si="6"/>
        <v>0</v>
      </c>
      <c r="AA33" s="109"/>
      <c r="AB33" s="121"/>
      <c r="AC33" s="438"/>
      <c r="AD33" s="348"/>
      <c r="AE33" s="156"/>
    </row>
    <row r="34" spans="1:31">
      <c r="A34" s="1"/>
      <c r="B34" s="354"/>
      <c r="C34" s="353"/>
      <c r="D34" s="440"/>
      <c r="E34" s="440"/>
      <c r="F34" s="2163"/>
      <c r="G34" s="1731"/>
      <c r="H34" s="431"/>
      <c r="I34" s="1731"/>
      <c r="J34" s="2234"/>
      <c r="K34" s="434" t="str">
        <f t="shared" si="0"/>
        <v/>
      </c>
      <c r="L34" s="433"/>
      <c r="M34" s="2372"/>
      <c r="N34" s="431"/>
      <c r="O34" s="431"/>
      <c r="P34" s="431"/>
      <c r="Q34" s="436" t="str">
        <f t="shared" si="1"/>
        <v xml:space="preserve"> </v>
      </c>
      <c r="R34" s="437" t="str">
        <f t="shared" si="2"/>
        <v xml:space="preserve"> </v>
      </c>
      <c r="S34" s="437" t="str">
        <f t="shared" si="3"/>
        <v xml:space="preserve"> </v>
      </c>
      <c r="T34" s="437" t="str">
        <f t="shared" si="4"/>
        <v xml:space="preserve"> </v>
      </c>
      <c r="U34" s="437" t="str">
        <f t="shared" si="5"/>
        <v xml:space="preserve"> </v>
      </c>
      <c r="V34" s="805"/>
      <c r="W34" s="805"/>
      <c r="X34" s="1018"/>
      <c r="Y34" s="805">
        <f>IF(Z34=0,0,(R34-V34-W34)*Z34)</f>
        <v>0</v>
      </c>
      <c r="AA34" s="804"/>
      <c r="AB34" s="121"/>
      <c r="AC34" s="438"/>
      <c r="AD34" s="348"/>
      <c r="AE34" s="156">
        <f>SUM(R34)</f>
        <v>0</v>
      </c>
    </row>
    <row r="35" spans="1:31">
      <c r="A35" s="1"/>
      <c r="B35" s="354"/>
      <c r="C35" s="353"/>
      <c r="D35" s="440"/>
      <c r="E35" s="440"/>
      <c r="F35" s="2163"/>
      <c r="G35" s="1731"/>
      <c r="H35" s="431"/>
      <c r="I35" s="1731"/>
      <c r="J35" s="2234"/>
      <c r="K35" s="434" t="str">
        <f t="shared" si="0"/>
        <v/>
      </c>
      <c r="L35" s="433"/>
      <c r="M35" s="2372"/>
      <c r="N35" s="431"/>
      <c r="O35" s="431"/>
      <c r="P35" s="431"/>
      <c r="Q35" s="436" t="str">
        <f t="shared" si="1"/>
        <v xml:space="preserve"> </v>
      </c>
      <c r="R35" s="437" t="str">
        <f t="shared" si="2"/>
        <v xml:space="preserve"> </v>
      </c>
      <c r="S35" s="437" t="str">
        <f t="shared" si="3"/>
        <v xml:space="preserve"> </v>
      </c>
      <c r="T35" s="437" t="str">
        <f t="shared" si="4"/>
        <v xml:space="preserve"> </v>
      </c>
      <c r="U35" s="437" t="str">
        <f t="shared" si="5"/>
        <v xml:space="preserve"> </v>
      </c>
      <c r="V35" s="805"/>
      <c r="W35" s="1013"/>
      <c r="X35" s="1018"/>
      <c r="Y35" s="805">
        <f>IF(Z35=0,0,(R35-V35-W35)*Z35)</f>
        <v>0</v>
      </c>
      <c r="AA35" s="109"/>
      <c r="AB35" s="121"/>
      <c r="AC35" s="438"/>
      <c r="AD35" s="348"/>
      <c r="AE35" s="156">
        <f>SUM(R35)</f>
        <v>0</v>
      </c>
    </row>
    <row r="36" spans="1:31">
      <c r="A36" s="1"/>
      <c r="B36" s="354"/>
      <c r="C36" s="353"/>
      <c r="D36" s="440"/>
      <c r="E36" s="440"/>
      <c r="F36" s="2163"/>
      <c r="G36" s="1731"/>
      <c r="H36" s="431"/>
      <c r="I36" s="1731"/>
      <c r="J36" s="2234"/>
      <c r="K36" s="434" t="str">
        <f t="shared" si="0"/>
        <v/>
      </c>
      <c r="L36" s="433"/>
      <c r="M36" s="2372"/>
      <c r="N36" s="431"/>
      <c r="O36" s="431"/>
      <c r="P36" s="431"/>
      <c r="Q36" s="436" t="str">
        <f t="shared" si="1"/>
        <v xml:space="preserve"> </v>
      </c>
      <c r="R36" s="437" t="str">
        <f t="shared" si="2"/>
        <v xml:space="preserve"> </v>
      </c>
      <c r="S36" s="437" t="str">
        <f t="shared" si="3"/>
        <v xml:space="preserve"> </v>
      </c>
      <c r="T36" s="437" t="str">
        <f t="shared" si="4"/>
        <v xml:space="preserve"> </v>
      </c>
      <c r="U36" s="437" t="str">
        <f t="shared" si="5"/>
        <v xml:space="preserve"> </v>
      </c>
      <c r="V36" s="805"/>
      <c r="W36" s="1013"/>
      <c r="X36" s="1018"/>
      <c r="Y36" s="805">
        <f>IF(Z36=0,0,(R36-V36-W36)*Z36)</f>
        <v>0</v>
      </c>
      <c r="AA36" s="109"/>
      <c r="AB36" s="121"/>
      <c r="AC36" s="438"/>
      <c r="AD36" s="348"/>
      <c r="AE36" s="156">
        <f>SUM(R36)</f>
        <v>0</v>
      </c>
    </row>
    <row r="37" spans="1:31">
      <c r="A37" s="1"/>
      <c r="B37" s="354"/>
      <c r="C37" s="353"/>
      <c r="D37" s="440"/>
      <c r="E37" s="440"/>
      <c r="F37" s="2163"/>
      <c r="G37" s="1731"/>
      <c r="H37" s="431"/>
      <c r="I37" s="1731"/>
      <c r="J37" s="2234"/>
      <c r="K37" s="434" t="str">
        <f t="shared" si="0"/>
        <v/>
      </c>
      <c r="L37" s="433"/>
      <c r="M37" s="2372"/>
      <c r="N37" s="431"/>
      <c r="O37" s="431"/>
      <c r="P37" s="431"/>
      <c r="Q37" s="436" t="str">
        <f t="shared" si="1"/>
        <v xml:space="preserve"> </v>
      </c>
      <c r="R37" s="437" t="str">
        <f t="shared" si="2"/>
        <v xml:space="preserve"> </v>
      </c>
      <c r="S37" s="437" t="str">
        <f t="shared" si="3"/>
        <v xml:space="preserve"> </v>
      </c>
      <c r="T37" s="437" t="str">
        <f t="shared" si="4"/>
        <v xml:space="preserve"> </v>
      </c>
      <c r="U37" s="437" t="str">
        <f t="shared" si="5"/>
        <v xml:space="preserve"> </v>
      </c>
      <c r="V37" s="805"/>
      <c r="W37" s="1013"/>
      <c r="X37" s="1018"/>
      <c r="Y37" s="805">
        <f>IF(Z37=0,0,(R37-V37-W37)*Z37)</f>
        <v>0</v>
      </c>
      <c r="AA37" s="109"/>
      <c r="AB37" s="121"/>
      <c r="AC37" s="438"/>
      <c r="AD37" s="348"/>
      <c r="AE37" s="156">
        <f>SUM(R37)</f>
        <v>0</v>
      </c>
    </row>
    <row r="38" spans="1:31">
      <c r="A38" s="1"/>
      <c r="B38" s="354"/>
      <c r="C38" s="353"/>
      <c r="D38" s="440"/>
      <c r="E38" s="440"/>
      <c r="F38" s="2163"/>
      <c r="G38" s="1731"/>
      <c r="H38" s="431"/>
      <c r="I38" s="1731"/>
      <c r="J38" s="2234"/>
      <c r="K38" s="434" t="str">
        <f t="shared" si="0"/>
        <v/>
      </c>
      <c r="L38" s="433"/>
      <c r="M38" s="2372"/>
      <c r="N38" s="431"/>
      <c r="O38" s="431"/>
      <c r="P38" s="431"/>
      <c r="Q38" s="436" t="str">
        <f t="shared" si="1"/>
        <v xml:space="preserve"> </v>
      </c>
      <c r="R38" s="437" t="str">
        <f t="shared" si="2"/>
        <v xml:space="preserve"> </v>
      </c>
      <c r="S38" s="437" t="str">
        <f t="shared" si="3"/>
        <v xml:space="preserve"> </v>
      </c>
      <c r="T38" s="437" t="str">
        <f t="shared" si="4"/>
        <v xml:space="preserve"> </v>
      </c>
      <c r="U38" s="437" t="str">
        <f t="shared" si="5"/>
        <v xml:space="preserve"> </v>
      </c>
      <c r="V38" s="805"/>
      <c r="W38" s="2086"/>
      <c r="X38" s="1018"/>
      <c r="Y38" s="805">
        <f>IF(Z38=0,0,(R38-V38-W38)*Z38)</f>
        <v>0</v>
      </c>
      <c r="AA38" s="109"/>
      <c r="AB38" s="121"/>
      <c r="AC38" s="438"/>
      <c r="AD38" s="348"/>
      <c r="AE38" s="156">
        <f>SUM(R38)</f>
        <v>0</v>
      </c>
    </row>
    <row r="39" spans="1:31">
      <c r="A39" s="1"/>
      <c r="B39" s="109"/>
      <c r="C39" s="109"/>
      <c r="D39" s="109"/>
      <c r="E39" s="459"/>
      <c r="F39" s="461"/>
      <c r="G39" s="461"/>
      <c r="H39" s="461"/>
      <c r="I39" s="461"/>
      <c r="J39" s="109"/>
      <c r="K39" s="109"/>
      <c r="L39" s="109"/>
      <c r="M39" s="109"/>
      <c r="N39" s="109"/>
      <c r="O39" s="109"/>
      <c r="P39" s="109"/>
      <c r="Q39" s="109"/>
      <c r="R39" s="109"/>
      <c r="S39" s="109"/>
      <c r="T39" s="109"/>
      <c r="U39" s="109"/>
      <c r="V39" s="459"/>
      <c r="W39" s="459"/>
      <c r="AA39" s="1"/>
      <c r="AB39" s="121"/>
      <c r="AC39" s="438"/>
      <c r="AD39" s="348"/>
      <c r="AE39" s="156"/>
    </row>
    <row r="40" spans="1:31" ht="13.5" thickBot="1">
      <c r="A40" s="1"/>
      <c r="B40" s="109"/>
      <c r="C40" s="109"/>
      <c r="D40" s="109"/>
      <c r="E40" s="459"/>
      <c r="F40" s="461"/>
      <c r="G40" s="461"/>
      <c r="H40" s="461"/>
      <c r="I40" s="461"/>
      <c r="J40" s="109"/>
      <c r="K40" s="109"/>
      <c r="L40" s="109"/>
      <c r="M40" s="109"/>
      <c r="N40" s="109"/>
      <c r="O40" s="109"/>
      <c r="P40" s="109"/>
      <c r="Q40" s="109"/>
      <c r="R40" s="109"/>
      <c r="S40" s="109"/>
      <c r="T40" s="109"/>
      <c r="U40" s="109"/>
      <c r="V40" s="459"/>
      <c r="W40" s="459"/>
      <c r="AA40" s="1"/>
      <c r="AB40" s="121"/>
      <c r="AC40" s="438"/>
      <c r="AD40" s="348"/>
      <c r="AE40" s="156"/>
    </row>
    <row r="41" spans="1:31" ht="13.5" thickBot="1">
      <c r="A41" s="1"/>
      <c r="B41" s="749" t="str">
        <f>Texte!A760</f>
        <v xml:space="preserve">Grundfutterverzehr, Nährstoffanfall Betrieb (GFverz)     </v>
      </c>
      <c r="C41" s="43"/>
      <c r="D41" s="43"/>
      <c r="E41" s="2"/>
      <c r="F41" s="2"/>
      <c r="G41" s="2"/>
      <c r="H41" s="2"/>
      <c r="I41" s="3"/>
      <c r="J41" s="2899" t="str">
        <f>Texte!A762</f>
        <v>dt TS pro Jahr</v>
      </c>
      <c r="K41" s="751">
        <f>IF(SUM(K17:K38)=0,0,SUM(K17:K38))</f>
        <v>3141.8</v>
      </c>
      <c r="L41" s="224"/>
      <c r="M41" s="224"/>
      <c r="N41" s="2"/>
      <c r="O41" s="2"/>
      <c r="P41" s="714" t="str">
        <f>Texte!A763</f>
        <v xml:space="preserve">Zwischenwert A1 </v>
      </c>
      <c r="Q41" s="752">
        <f t="shared" ref="Q41:V41" si="7">IF(SUM(Q17:Q38)=0,0,SUM(Q17:Q38))</f>
        <v>5469.5599999999995</v>
      </c>
      <c r="R41" s="753">
        <f t="shared" si="7"/>
        <v>4609.369999999999</v>
      </c>
      <c r="S41" s="753">
        <f t="shared" si="7"/>
        <v>2259.42</v>
      </c>
      <c r="T41" s="753">
        <f t="shared" si="7"/>
        <v>9475.9600000000009</v>
      </c>
      <c r="U41" s="753">
        <f t="shared" si="7"/>
        <v>559.12</v>
      </c>
      <c r="V41" s="806">
        <f t="shared" si="7"/>
        <v>4.7949041095890417</v>
      </c>
      <c r="W41" s="806">
        <f>IF(SUM(W17:W32)=0,0,SUM(W17:W32))</f>
        <v>8.8794520547945197</v>
      </c>
      <c r="X41" s="795" t="s">
        <v>7383</v>
      </c>
      <c r="Y41" s="806">
        <f>IF(SUM(Y17:Y38)=0,0,SUM(Y17:Y38))</f>
        <v>2953.3256438356166</v>
      </c>
      <c r="AA41" s="1"/>
      <c r="AB41" s="1"/>
      <c r="AC41" s="411"/>
      <c r="AD41" s="1"/>
    </row>
    <row r="42" spans="1:31" ht="13.7" customHeight="1">
      <c r="A42" s="1"/>
      <c r="B42" s="2546">
        <f>Texte!A761</f>
        <v>0</v>
      </c>
      <c r="C42" s="1"/>
      <c r="D42" s="1"/>
      <c r="E42" s="2"/>
      <c r="F42" s="2"/>
      <c r="G42" s="2"/>
      <c r="H42" s="2"/>
      <c r="I42" s="2"/>
      <c r="J42" s="1"/>
      <c r="K42" s="2"/>
      <c r="L42" s="2"/>
      <c r="M42" s="2"/>
      <c r="N42" s="2"/>
      <c r="O42" s="2"/>
      <c r="P42" s="2"/>
      <c r="Q42" s="2"/>
      <c r="R42" s="2"/>
      <c r="S42" s="2"/>
      <c r="T42" s="2"/>
      <c r="U42" s="2"/>
      <c r="X42" s="109"/>
      <c r="Y42" s="109"/>
      <c r="AA42" s="1"/>
      <c r="AB42" s="1"/>
      <c r="AC42" s="1"/>
      <c r="AD42" s="1"/>
    </row>
    <row r="43" spans="1:31" ht="13.7" customHeight="1">
      <c r="A43" s="1"/>
      <c r="B43" s="297" t="str">
        <f>Texte!A764</f>
        <v>Abzug für die pro Jahr verfügbare Menge an nährstoffarmem Futter (dt GFnährstoffarm)</v>
      </c>
      <c r="C43" s="57"/>
      <c r="D43" s="57"/>
      <c r="E43" s="359"/>
      <c r="F43" s="359"/>
      <c r="G43" s="359"/>
      <c r="H43" s="359"/>
      <c r="I43" s="359"/>
      <c r="J43" s="30"/>
      <c r="K43" s="457"/>
      <c r="L43" s="444"/>
      <c r="T43" s="450"/>
      <c r="U43" s="450"/>
      <c r="X43" s="297"/>
      <c r="Y43" s="297"/>
      <c r="AA43" s="1"/>
      <c r="AB43" s="1"/>
      <c r="AC43" s="1"/>
      <c r="AD43" s="1"/>
    </row>
    <row r="44" spans="1:31" ht="13.7" customHeight="1">
      <c r="A44" s="1"/>
      <c r="B44" s="443">
        <f>'SB2'!K31</f>
        <v>1376.9829999999997</v>
      </c>
      <c r="C44" s="754" t="str">
        <f>Texte!A765</f>
        <v>betriebseigenes +</v>
      </c>
      <c r="D44" s="446">
        <f>D92</f>
        <v>0</v>
      </c>
      <c r="E44" s="755" t="str">
        <f>Texte!A766</f>
        <v xml:space="preserve"> Zufuhr </v>
      </c>
      <c r="F44" t="s">
        <v>335</v>
      </c>
      <c r="G44" s="907">
        <f>D91</f>
        <v>0</v>
      </c>
      <c r="H44" s="825"/>
      <c r="I44" s="756" t="str">
        <f>Texte!A767</f>
        <v xml:space="preserve"> Wegfuhr</v>
      </c>
      <c r="J44" s="359"/>
      <c r="K44" s="860">
        <f>MIN(B44+D44-G44,K41)</f>
        <v>1376.9829999999997</v>
      </c>
      <c r="L44" s="444"/>
      <c r="M44" s="445">
        <v>0.6</v>
      </c>
      <c r="N44" s="446">
        <v>0.1</v>
      </c>
      <c r="O44" s="447"/>
      <c r="P44" s="447"/>
      <c r="Q44" s="448" t="s">
        <v>337</v>
      </c>
      <c r="R44" s="449">
        <f>IF(K44=0,0,K44*M44)</f>
        <v>826.18979999999976</v>
      </c>
      <c r="S44" s="443">
        <f>IF(K44=0,0,K44*N44)</f>
        <v>137.69829999999999</v>
      </c>
      <c r="T44" s="450"/>
      <c r="U44" s="450"/>
      <c r="X44" s="297"/>
      <c r="Y44" s="297"/>
      <c r="AA44" s="1"/>
      <c r="AB44" s="1"/>
      <c r="AC44" s="1"/>
      <c r="AD44" s="1"/>
    </row>
    <row r="45" spans="1:31" ht="9.9499999999999993" customHeight="1">
      <c r="A45" s="1"/>
      <c r="B45" s="452"/>
      <c r="C45" s="452"/>
      <c r="D45" s="452"/>
      <c r="E45" s="453"/>
      <c r="F45" s="453"/>
      <c r="G45" s="453"/>
      <c r="H45" s="453"/>
      <c r="I45" s="453"/>
      <c r="J45" s="452"/>
      <c r="K45" s="454"/>
      <c r="L45" s="452"/>
      <c r="M45" s="455"/>
      <c r="N45" s="455"/>
      <c r="O45" s="455"/>
      <c r="P45" s="455"/>
      <c r="Q45" s="455"/>
      <c r="R45" s="454"/>
      <c r="S45" s="454"/>
      <c r="T45" s="454"/>
      <c r="U45" s="454"/>
      <c r="X45" s="452"/>
      <c r="Y45" s="452"/>
      <c r="AA45" s="1"/>
      <c r="AB45" s="1"/>
      <c r="AC45" s="1"/>
      <c r="AD45" s="1"/>
    </row>
    <row r="46" spans="1:31" ht="13.7" customHeight="1">
      <c r="A46" s="1"/>
      <c r="B46" s="757" t="str">
        <f>Texte!A768</f>
        <v>Nges-Abzug bei Laufhof- und Weidehaltung:</v>
      </c>
      <c r="C46" s="297"/>
      <c r="D46" s="297"/>
      <c r="E46" s="760">
        <f>V41</f>
        <v>4.7949041095890417</v>
      </c>
      <c r="F46" s="826">
        <v>0.5</v>
      </c>
      <c r="G46" s="443">
        <f>IF(E46=0,0,E46*F46)</f>
        <v>2.3974520547945208</v>
      </c>
      <c r="H46" s="1" t="s">
        <v>338</v>
      </c>
      <c r="I46" s="760">
        <f>W41</f>
        <v>8.8794520547945197</v>
      </c>
      <c r="J46" s="826">
        <v>0.7</v>
      </c>
      <c r="K46" s="443">
        <f>IF(I46=0,0,I46*J46)</f>
        <v>6.2156164383561636</v>
      </c>
      <c r="L46" s="761"/>
      <c r="M46" s="448"/>
      <c r="N46" s="448"/>
      <c r="O46" s="448"/>
      <c r="P46" s="448"/>
      <c r="Q46" s="448" t="s">
        <v>337</v>
      </c>
      <c r="R46" s="443">
        <f>G46+K46</f>
        <v>8.6130684931506849</v>
      </c>
      <c r="S46" s="457"/>
      <c r="T46" s="457"/>
      <c r="U46" s="457"/>
      <c r="X46" s="297"/>
      <c r="Y46" s="297"/>
      <c r="AA46" s="1"/>
      <c r="AB46" s="1"/>
      <c r="AC46" s="1"/>
      <c r="AD46" s="1"/>
    </row>
    <row r="47" spans="1:31" ht="9.9499999999999993" customHeight="1">
      <c r="A47" s="1"/>
      <c r="B47" s="297"/>
      <c r="C47" s="297"/>
      <c r="D47" s="297"/>
      <c r="E47" s="758"/>
      <c r="F47" s="758"/>
      <c r="G47" s="762"/>
      <c r="H47" s="1"/>
      <c r="I47" s="758"/>
      <c r="J47" s="759"/>
      <c r="K47" s="760"/>
      <c r="L47" s="761"/>
      <c r="M47" s="457"/>
      <c r="N47" s="448"/>
      <c r="O47" s="448"/>
      <c r="P47" s="448"/>
      <c r="Q47" s="448"/>
      <c r="R47" s="457"/>
      <c r="S47" s="457"/>
      <c r="T47" s="457"/>
      <c r="U47" s="457"/>
      <c r="V47" s="456"/>
      <c r="X47" s="297"/>
      <c r="Y47" s="297"/>
      <c r="AA47" s="1"/>
      <c r="AB47" s="1"/>
      <c r="AC47" s="1"/>
      <c r="AD47" s="1"/>
    </row>
    <row r="48" spans="1:31" ht="9.9499999999999993" customHeight="1" thickBot="1">
      <c r="A48" s="1"/>
      <c r="B48" s="109"/>
      <c r="C48" s="109"/>
      <c r="D48" s="109"/>
      <c r="E48" s="459"/>
      <c r="F48" s="459"/>
      <c r="G48" s="345"/>
      <c r="H48" s="459"/>
      <c r="I48" s="459"/>
      <c r="J48" s="109"/>
      <c r="K48" s="460"/>
      <c r="L48" s="410"/>
      <c r="M48" s="457"/>
      <c r="N48" s="461"/>
      <c r="O48" s="461"/>
      <c r="P48" s="461"/>
      <c r="Q48" s="461"/>
      <c r="R48" s="462"/>
      <c r="S48" s="462"/>
      <c r="T48" s="462"/>
      <c r="U48" s="462"/>
      <c r="V48" s="456"/>
      <c r="X48" s="1"/>
      <c r="Y48" s="1"/>
      <c r="AA48" s="1"/>
      <c r="AB48" s="1"/>
      <c r="AC48" s="1"/>
      <c r="AD48" s="1"/>
    </row>
    <row r="49" spans="1:30" ht="13.5" thickBot="1">
      <c r="A49" s="1"/>
      <c r="B49" s="43" t="str">
        <f>Texte!A769</f>
        <v>A2: Nährstoffe aus der Tierhaltung</v>
      </c>
      <c r="C49" s="43"/>
      <c r="D49" s="43"/>
      <c r="E49" s="2"/>
      <c r="F49" s="2"/>
      <c r="G49" s="2"/>
      <c r="H49" s="2"/>
      <c r="I49" s="2"/>
      <c r="J49" s="2"/>
      <c r="K49" s="2"/>
      <c r="L49" s="1"/>
      <c r="M49" s="2"/>
      <c r="N49" s="2"/>
      <c r="O49" s="2"/>
      <c r="P49" s="1"/>
      <c r="Q49" s="3" t="s">
        <v>6282</v>
      </c>
      <c r="R49" s="463">
        <f>IF(R41=0,0,IF(AND(R44&lt;&gt;0,R46&lt;&gt;0)=TRUE,R41-R44-R46,IF(AND(R44=0,R46&lt;&gt;0)=TRUE,R41-R46,IF(AND(R44&lt;&gt;0,R46=0)=TRUE,R41-R44,R41))))</f>
        <v>3774.5671315068485</v>
      </c>
      <c r="S49" s="463">
        <f>IF(S41=0,0,IF(S44&lt;&gt;0,S41-S44,S41))</f>
        <v>2121.7217000000001</v>
      </c>
      <c r="T49" s="463">
        <f>T41</f>
        <v>9475.9600000000009</v>
      </c>
      <c r="U49" s="464">
        <f>U41</f>
        <v>559.12</v>
      </c>
      <c r="V49" s="705"/>
      <c r="W49" s="109"/>
      <c r="X49" s="661"/>
      <c r="Y49" s="661"/>
      <c r="AA49" s="109"/>
      <c r="AB49" s="1"/>
      <c r="AC49" s="1"/>
      <c r="AD49" s="1"/>
    </row>
    <row r="50" spans="1:30" ht="9.9499999999999993" customHeight="1">
      <c r="A50" s="1"/>
      <c r="B50" s="1"/>
      <c r="C50" s="1"/>
      <c r="D50" s="1"/>
      <c r="E50" s="1"/>
      <c r="F50" s="1"/>
      <c r="G50" s="2"/>
      <c r="H50" s="1"/>
      <c r="I50" s="1"/>
      <c r="J50" s="1"/>
      <c r="K50" s="1"/>
      <c r="L50" s="1"/>
      <c r="M50" s="1"/>
      <c r="N50" s="1"/>
      <c r="O50" s="1"/>
      <c r="P50" s="1"/>
      <c r="Q50" s="1"/>
      <c r="R50" s="1"/>
      <c r="S50" s="1"/>
      <c r="T50" s="1"/>
      <c r="U50" s="1"/>
      <c r="V50" s="706"/>
      <c r="W50" s="109"/>
      <c r="X50" s="109"/>
      <c r="Y50" s="109"/>
      <c r="AA50" s="1"/>
      <c r="AB50" s="1"/>
      <c r="AC50" s="1"/>
      <c r="AD50" s="1"/>
    </row>
    <row r="51" spans="1:30" ht="9.9499999999999993" customHeight="1">
      <c r="A51" s="1"/>
      <c r="B51" s="1"/>
      <c r="C51" s="1"/>
      <c r="D51" s="1"/>
      <c r="E51" s="1"/>
      <c r="F51" s="1"/>
      <c r="G51" s="109"/>
      <c r="H51" s="413"/>
      <c r="I51" s="413"/>
      <c r="J51" s="413"/>
      <c r="K51" s="413"/>
      <c r="L51" s="413"/>
      <c r="M51" s="413"/>
      <c r="N51" s="223"/>
      <c r="O51" s="223"/>
      <c r="P51" s="413"/>
      <c r="Q51" s="140"/>
      <c r="R51" s="140"/>
      <c r="S51" s="223"/>
      <c r="T51" s="223"/>
      <c r="U51" s="223"/>
      <c r="V51" s="223"/>
      <c r="W51" s="109"/>
      <c r="X51" s="109"/>
      <c r="Y51" s="109"/>
      <c r="AA51" s="1"/>
      <c r="AB51" s="1"/>
      <c r="AC51" s="1"/>
      <c r="AD51" s="1"/>
    </row>
    <row r="52" spans="1:30">
      <c r="A52" s="1"/>
      <c r="B52" s="43"/>
      <c r="C52" s="43"/>
      <c r="D52" s="43"/>
      <c r="E52" s="1"/>
      <c r="F52" s="1"/>
      <c r="G52" s="109"/>
      <c r="I52" s="413"/>
      <c r="J52" s="413"/>
      <c r="K52" s="413"/>
      <c r="L52" s="466"/>
      <c r="M52" s="409" t="str">
        <f>Texte!A770</f>
        <v>Nährstoffgehalt</v>
      </c>
      <c r="N52" s="478"/>
      <c r="O52" s="478"/>
      <c r="P52" s="763"/>
      <c r="Q52" s="758"/>
      <c r="R52" s="764" t="str">
        <f>Texte!A772</f>
        <v>Nährstoffanfall</v>
      </c>
      <c r="S52" s="478"/>
      <c r="T52" s="478"/>
      <c r="U52" s="763"/>
      <c r="V52" s="758"/>
      <c r="W52" s="109"/>
      <c r="AA52" s="1"/>
      <c r="AB52" s="1"/>
      <c r="AC52" s="1"/>
      <c r="AD52" s="1"/>
    </row>
    <row r="53" spans="1:30">
      <c r="A53" s="1"/>
      <c r="B53" s="43"/>
      <c r="C53" s="43"/>
      <c r="D53" s="43"/>
      <c r="E53" s="1"/>
      <c r="F53" s="1"/>
      <c r="G53" s="109"/>
      <c r="I53" s="413"/>
      <c r="J53" s="413"/>
      <c r="K53" s="413"/>
      <c r="L53" s="466"/>
      <c r="M53" s="739" t="str">
        <f>Texte!A771</f>
        <v xml:space="preserve"> in kg je Einheit</v>
      </c>
      <c r="N53" s="466"/>
      <c r="O53" s="466"/>
      <c r="P53" s="765"/>
      <c r="Q53" s="758"/>
      <c r="R53" s="412" t="str">
        <f>Texte!A773</f>
        <v>je Jahr in kg</v>
      </c>
      <c r="S53" s="466"/>
      <c r="T53" s="466"/>
      <c r="U53" s="765"/>
      <c r="V53" s="416"/>
      <c r="W53" s="109"/>
      <c r="AA53" s="1"/>
      <c r="AB53" s="109"/>
      <c r="AC53" s="1"/>
      <c r="AD53" s="1"/>
    </row>
    <row r="54" spans="1:30">
      <c r="A54" s="1"/>
      <c r="B54" s="1"/>
      <c r="C54" s="1"/>
      <c r="D54" s="1"/>
      <c r="E54" s="1"/>
      <c r="F54" s="1"/>
      <c r="G54" s="109"/>
      <c r="H54" s="109"/>
      <c r="I54" s="109"/>
      <c r="J54" s="109"/>
      <c r="K54" s="896" t="str">
        <f>Texte!A774</f>
        <v>Menge</v>
      </c>
      <c r="L54" s="896" t="str">
        <f>Texte!A775</f>
        <v>Einheit</v>
      </c>
      <c r="M54" s="435" t="str">
        <f>Texte!A755</f>
        <v>Nges</v>
      </c>
      <c r="N54" s="430" t="s">
        <v>7029</v>
      </c>
      <c r="O54" s="430" t="s">
        <v>7030</v>
      </c>
      <c r="P54" s="470" t="s">
        <v>7031</v>
      </c>
      <c r="Q54" s="459"/>
      <c r="R54" s="766" t="str">
        <f>Texte!A755</f>
        <v>Nges</v>
      </c>
      <c r="S54" s="430" t="s">
        <v>7029</v>
      </c>
      <c r="T54" s="430" t="s">
        <v>7030</v>
      </c>
      <c r="U54" s="470" t="s">
        <v>7031</v>
      </c>
      <c r="V54" s="796"/>
      <c r="W54" s="109"/>
      <c r="X54" s="109"/>
      <c r="Y54" s="109"/>
      <c r="AA54" s="1"/>
      <c r="AB54" s="451"/>
      <c r="AC54" s="1"/>
      <c r="AD54" s="1"/>
    </row>
    <row r="55" spans="1:30">
      <c r="A55" s="1"/>
      <c r="B55" s="797" t="str">
        <f>Texte!A776</f>
        <v>Zufuhr von Hofdüngern gemäss HODUFLU:</v>
      </c>
      <c r="C55" s="405"/>
      <c r="D55" s="405"/>
      <c r="E55" s="12"/>
      <c r="F55" s="404" t="str">
        <f>Texte!A778</f>
        <v>Mist:</v>
      </c>
      <c r="G55" t="s">
        <v>12236</v>
      </c>
      <c r="H55" s="899"/>
      <c r="I55" s="899"/>
      <c r="J55" s="899"/>
      <c r="K55" s="897">
        <v>90</v>
      </c>
      <c r="L55" s="895" t="s">
        <v>4111</v>
      </c>
      <c r="M55" s="2373">
        <v>21</v>
      </c>
      <c r="N55" s="2256">
        <v>17</v>
      </c>
      <c r="O55" s="2256"/>
      <c r="P55" s="2257"/>
      <c r="Q55" s="413" t="s">
        <v>4112</v>
      </c>
      <c r="R55" s="437">
        <f>IF(K55="","",K55*M55)</f>
        <v>1890</v>
      </c>
      <c r="S55" s="473">
        <f>IF(K55="","",K55*N55)</f>
        <v>1530</v>
      </c>
      <c r="T55" s="473">
        <f>IF(K55="","",K55*O55)</f>
        <v>0</v>
      </c>
      <c r="U55" s="474">
        <f>IF(K55="","",K55*P55)</f>
        <v>0</v>
      </c>
      <c r="V55" s="109"/>
      <c r="W55" s="109"/>
      <c r="X55" s="1019" t="inlineStr">
        <is>
          <t xml:space="preserve">Typ 50/100</t>
        </is>
      </c>
      <c r="Y55" s="841">
        <f>IF(Z55=0,0,R55)</f>
        <v>0</v>
      </c>
      <c r="Z55">
        <v>1</v>
      </c>
      <c r="AA55" s="1"/>
      <c r="AB55" s="456"/>
      <c r="AC55" s="1"/>
      <c r="AD55" s="1"/>
    </row>
    <row r="56" spans="1:30">
      <c r="A56" s="1"/>
      <c r="B56" s="898"/>
      <c r="C56" s="109"/>
      <c r="D56" s="109"/>
      <c r="E56" s="1"/>
      <c r="F56" s="355"/>
      <c r="G56" s="910"/>
      <c r="H56" s="768"/>
      <c r="I56" s="768"/>
      <c r="J56" s="768"/>
      <c r="K56" s="897"/>
      <c r="L56" s="895" t="s">
        <v>4111</v>
      </c>
      <c r="M56" s="2373"/>
      <c r="N56" s="2256"/>
      <c r="O56" s="2256"/>
      <c r="P56" s="2257"/>
      <c r="Q56" s="413" t="s">
        <v>4112</v>
      </c>
      <c r="R56" s="437" t="str">
        <f>IF(K56="","",K56*M56)</f>
        <v/>
      </c>
      <c r="S56" s="473" t="str">
        <f>IF(K56="","",K56*N56)</f>
        <v/>
      </c>
      <c r="T56" s="473" t="str">
        <f>IF(K56="","",K56*O56)</f>
        <v/>
      </c>
      <c r="U56" s="474" t="str">
        <f>IF(K56="","",K56*P56)</f>
        <v/>
      </c>
      <c r="V56" s="109"/>
      <c r="W56" s="109"/>
      <c r="X56" s="1019"/>
      <c r="Y56" s="841">
        <f>IF(Z56=0,0,R56)</f>
        <v>0</v>
      </c>
      <c r="AA56" s="1"/>
      <c r="AB56" s="456"/>
      <c r="AC56" s="1"/>
      <c r="AD56" s="1"/>
    </row>
    <row r="57" spans="1:30">
      <c r="A57" s="1"/>
      <c r="B57" s="469"/>
      <c r="C57" s="109"/>
      <c r="D57" s="109"/>
      <c r="E57" s="1"/>
      <c r="F57" s="355" t="str">
        <f>Texte!A779</f>
        <v>Gülle:</v>
      </c>
      <c r="G57" s="3454" t="inlineStr">
        <is>
          <t xml:space="preserve">Schweinegülle</t>
        </is>
      </c>
      <c r="H57" s="768"/>
      <c r="I57" s="768"/>
      <c r="J57" s="768"/>
      <c r="K57" s="897">
        <v>60</v>
      </c>
      <c r="L57" s="895" t="s">
        <v>1177</v>
      </c>
      <c r="M57" s="2373">
        <v>5</v>
      </c>
      <c r="N57" s="2256">
        <v>2.5</v>
      </c>
      <c r="O57" s="2256">
        <v>4.3</v>
      </c>
      <c r="P57" s="2257">
        <v>1.2</v>
      </c>
      <c r="Q57" s="413" t="s">
        <v>4112</v>
      </c>
      <c r="R57" s="437">
        <f>IF(K57="","",K57*M57)</f>
        <v>420</v>
      </c>
      <c r="S57" s="473">
        <f>IF(K57="","",K57*N57)</f>
        <v>168</v>
      </c>
      <c r="T57" s="473">
        <f>IF(K57="","",K57*O57)</f>
        <v>0</v>
      </c>
      <c r="U57" s="474">
        <f>IF(K57="","",K57*P57)</f>
        <v>0</v>
      </c>
      <c r="V57" s="109"/>
      <c r="W57" s="109"/>
      <c r="X57" s="109"/>
      <c r="Y57" s="1014"/>
      <c r="AA57" s="1"/>
      <c r="AB57" s="458"/>
      <c r="AC57" s="1"/>
      <c r="AD57" s="1"/>
    </row>
    <row r="58" spans="1:30">
      <c r="A58" s="1"/>
      <c r="B58" s="354"/>
      <c r="C58" s="353"/>
      <c r="D58" s="353"/>
      <c r="E58" s="246"/>
      <c r="F58" s="798"/>
      <c r="G58" s="910"/>
      <c r="H58" s="768"/>
      <c r="I58" s="768"/>
      <c r="J58" s="768"/>
      <c r="K58" s="897"/>
      <c r="L58" s="895" t="s">
        <v>1177</v>
      </c>
      <c r="M58" s="2373"/>
      <c r="N58" s="2256"/>
      <c r="O58" s="2256"/>
      <c r="P58" s="2257"/>
      <c r="Q58" s="413" t="s">
        <v>4112</v>
      </c>
      <c r="R58" s="437" t="str">
        <f>IF(K58="","",K58*M58)</f>
        <v/>
      </c>
      <c r="S58" s="473" t="str">
        <f>IF(K58="","",K58*N58)</f>
        <v/>
      </c>
      <c r="T58" s="473" t="str">
        <f>IF(K58="","",K58*O58)</f>
        <v/>
      </c>
      <c r="U58" s="474" t="str">
        <f>IF(K58="","",K58*P58)</f>
        <v/>
      </c>
      <c r="V58" s="109"/>
      <c r="W58" s="109"/>
      <c r="X58" s="109"/>
      <c r="Y58" s="1014"/>
      <c r="AA58" s="1"/>
      <c r="AB58" s="458"/>
      <c r="AC58" s="1"/>
      <c r="AD58" s="1"/>
    </row>
    <row r="59" spans="1:30">
      <c r="A59" s="1"/>
      <c r="B59" s="797" t="str">
        <f>Texte!A777</f>
        <v>Wegfuhr von Hofdüngern gemäss HODUFLU:</v>
      </c>
      <c r="C59" s="405"/>
      <c r="D59" s="405"/>
      <c r="E59" s="12"/>
      <c r="F59" s="404" t="str">
        <f>Texte!A778</f>
        <v>Mist:</v>
      </c>
      <c r="G59" s="909"/>
      <c r="H59" s="899"/>
      <c r="I59" s="899"/>
      <c r="J59" s="899"/>
      <c r="K59" s="897"/>
      <c r="L59" s="895" t="s">
        <v>4111</v>
      </c>
      <c r="M59" s="2373"/>
      <c r="N59" s="2256"/>
      <c r="O59" s="2256"/>
      <c r="P59" s="2257"/>
      <c r="Q59" s="413" t="s">
        <v>337</v>
      </c>
      <c r="R59" s="437" t="str">
        <f>IF(K59="","",K59*M59*(-1))</f>
        <v/>
      </c>
      <c r="S59" s="473" t="str">
        <f>IF(K59="","",K59*N59*(-1))</f>
        <v/>
      </c>
      <c r="T59" s="473" t="str">
        <f>IF(K59="","",K59*O59*(-1))</f>
        <v/>
      </c>
      <c r="U59" s="474" t="str">
        <f>IF(K59="","",K59*P59*(-1))</f>
        <v/>
      </c>
      <c r="V59" s="109"/>
      <c r="W59" s="109"/>
      <c r="X59" s="1019"/>
      <c r="Y59" s="805">
        <f>IF(Z59=0,0,R59)</f>
        <v>0</v>
      </c>
      <c r="AA59" s="1"/>
      <c r="AB59" s="456"/>
      <c r="AC59" s="1"/>
      <c r="AD59" s="1"/>
    </row>
    <row r="60" spans="1:30">
      <c r="A60" s="1"/>
      <c r="B60" s="898"/>
      <c r="C60" s="109"/>
      <c r="D60" s="109"/>
      <c r="E60" s="1"/>
      <c r="F60" s="355"/>
      <c r="G60" s="910"/>
      <c r="H60" s="768"/>
      <c r="I60" s="768"/>
      <c r="J60" s="768"/>
      <c r="K60" s="897"/>
      <c r="L60" s="895" t="s">
        <v>4111</v>
      </c>
      <c r="M60" s="2373"/>
      <c r="N60" s="2256"/>
      <c r="O60" s="2256"/>
      <c r="P60" s="2257"/>
      <c r="Q60" s="413" t="s">
        <v>337</v>
      </c>
      <c r="R60" s="437" t="str">
        <f>IF(K60="","",K60*M60*(-1))</f>
        <v/>
      </c>
      <c r="S60" s="473" t="str">
        <f>IF(K60="","",K60*N60*(-1))</f>
        <v/>
      </c>
      <c r="T60" s="473" t="str">
        <f>IF(K60="","",K60*O60*(-1))</f>
        <v/>
      </c>
      <c r="U60" s="474" t="str">
        <f>IF(K60="","",K60*P60*(-1))</f>
        <v/>
      </c>
      <c r="V60" s="109"/>
      <c r="W60" s="109"/>
      <c r="X60" s="1019"/>
      <c r="Y60" s="805">
        <f>IF(Z60=0,0,R60)</f>
        <v>0</v>
      </c>
      <c r="AA60" s="1"/>
      <c r="AB60" s="456"/>
      <c r="AC60" s="1"/>
      <c r="AD60" s="1"/>
    </row>
    <row r="61" spans="1:30">
      <c r="A61" s="1"/>
      <c r="B61" s="469"/>
      <c r="C61" s="109"/>
      <c r="D61" s="109"/>
      <c r="E61" s="1"/>
      <c r="F61" s="355" t="str">
        <f>Texte!A779</f>
        <v>Gülle:</v>
      </c>
      <c r="G61" s="910"/>
      <c r="H61" s="768"/>
      <c r="I61" s="768"/>
      <c r="J61" s="768"/>
      <c r="K61" s="897"/>
      <c r="L61" s="895" t="s">
        <v>1177</v>
      </c>
      <c r="M61" s="2373"/>
      <c r="N61" s="2256"/>
      <c r="O61" s="2256"/>
      <c r="P61" s="2257"/>
      <c r="Q61" s="413" t="s">
        <v>337</v>
      </c>
      <c r="R61" s="437" t="str">
        <f>IF(K61="","",K61*M61*(-1))</f>
        <v/>
      </c>
      <c r="S61" s="473" t="str">
        <f>IF(K61="","",K61*N61*(-1))</f>
        <v/>
      </c>
      <c r="T61" s="473" t="str">
        <f>IF(K61="","",K61*O61*(-1))</f>
        <v/>
      </c>
      <c r="U61" s="474" t="str">
        <f>IF(K61="","",K61*P61*(-1))</f>
        <v/>
      </c>
      <c r="V61" s="109"/>
      <c r="W61" s="109"/>
      <c r="X61" s="109"/>
      <c r="Y61" s="1014"/>
      <c r="AA61" s="1"/>
      <c r="AB61" s="1"/>
      <c r="AC61" s="1"/>
      <c r="AD61" s="1"/>
    </row>
    <row r="62" spans="1:30">
      <c r="A62" s="1"/>
      <c r="B62" s="354"/>
      <c r="C62" s="353"/>
      <c r="D62" s="353"/>
      <c r="E62" s="246"/>
      <c r="F62" s="798"/>
      <c r="G62" s="910"/>
      <c r="H62" s="768"/>
      <c r="I62" s="768"/>
      <c r="J62" s="768"/>
      <c r="K62" s="897"/>
      <c r="L62" s="895" t="s">
        <v>1177</v>
      </c>
      <c r="M62" s="2373"/>
      <c r="N62" s="2256"/>
      <c r="O62" s="2256"/>
      <c r="P62" s="2257"/>
      <c r="Q62" s="413" t="s">
        <v>337</v>
      </c>
      <c r="R62" s="437" t="str">
        <f>IF(K62="","",K62*M62*(-1))</f>
        <v/>
      </c>
      <c r="S62" s="473" t="str">
        <f>IF(K62="","",K62*N62*(-1))</f>
        <v/>
      </c>
      <c r="T62" s="473" t="str">
        <f>IF(K62="","",K62*O62*(-1))</f>
        <v/>
      </c>
      <c r="U62" s="474" t="str">
        <f>IF(K62="","",K62*P62*(-1))</f>
        <v/>
      </c>
      <c r="V62" s="109"/>
      <c r="W62" s="109"/>
      <c r="X62" s="109"/>
      <c r="Y62" s="1014"/>
      <c r="AA62" s="1"/>
      <c r="AB62" s="1"/>
      <c r="AC62" s="1"/>
      <c r="AD62" s="1"/>
    </row>
    <row r="63" spans="1:30" ht="7.5" customHeight="1" thickBot="1">
      <c r="A63" s="1"/>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AA63" s="1"/>
      <c r="AB63" s="1"/>
      <c r="AC63" s="1"/>
      <c r="AD63" s="1"/>
    </row>
    <row r="64" spans="1:30" ht="13.5" thickBot="1">
      <c r="A64" s="1"/>
      <c r="B64" s="43" t="str">
        <f>Texte!A780</f>
        <v>A3: Zu- und Wegfuhren von Hofdüngern</v>
      </c>
      <c r="C64" s="43"/>
      <c r="D64" s="43"/>
      <c r="E64" s="1"/>
      <c r="F64" s="1"/>
      <c r="G64" s="2"/>
      <c r="H64" s="2"/>
      <c r="I64" s="2"/>
      <c r="J64" s="2"/>
      <c r="K64" s="2"/>
      <c r="L64" s="2"/>
      <c r="M64" s="2"/>
      <c r="N64" s="1"/>
      <c r="O64" s="1"/>
      <c r="P64" s="3"/>
      <c r="Q64" s="3" t="s">
        <v>2661</v>
      </c>
      <c r="R64" s="463">
        <f>IF(COUNT(R55:R62)=0,0,SUM(R55:R62))</f>
        <v>2310</v>
      </c>
      <c r="S64" s="463">
        <f>IF(COUNT(S55:S62)=0,0,SUM(S55:S62))</f>
        <v>1698</v>
      </c>
      <c r="T64" s="463">
        <f>IF(COUNT(T55:T62)=0,0,SUM(T55:T62))</f>
        <v>0</v>
      </c>
      <c r="U64" s="464">
        <f>IF(COUNT(U55:U62)=0,0,SUM(U55:U62))</f>
        <v>0</v>
      </c>
      <c r="V64" s="462"/>
      <c r="W64" s="109"/>
      <c r="X64" s="714" t="s">
        <v>2662</v>
      </c>
      <c r="Y64" s="887">
        <f>IF(AND(Y55="",Y56="",Y59="",Y60="")=TRUE,0,Y55+Y56+Y59+Y60)</f>
        <v>0</v>
      </c>
      <c r="AA64" s="1"/>
      <c r="AB64" s="1"/>
      <c r="AC64" s="1"/>
      <c r="AD64" s="1"/>
    </row>
    <row r="65" spans="1:30" ht="7.5" customHeight="1" thickBot="1">
      <c r="A65" s="1"/>
      <c r="B65" s="43"/>
      <c r="C65" s="43"/>
      <c r="D65" s="43"/>
      <c r="E65" s="1"/>
      <c r="F65" s="1"/>
      <c r="G65" s="2"/>
      <c r="H65" s="2"/>
      <c r="I65" s="2"/>
      <c r="J65" s="2"/>
      <c r="K65" s="2"/>
      <c r="L65" s="2"/>
      <c r="M65" s="2"/>
      <c r="N65" s="1"/>
      <c r="O65" s="1"/>
      <c r="P65" s="3"/>
      <c r="Q65" s="43"/>
      <c r="R65" s="462"/>
      <c r="S65" s="462"/>
      <c r="T65" s="462"/>
      <c r="U65" s="462"/>
      <c r="V65" s="1"/>
      <c r="W65" s="109"/>
      <c r="X65" s="109"/>
      <c r="Y65" s="109"/>
      <c r="AA65" s="1"/>
      <c r="AB65" s="1"/>
      <c r="AC65" s="1"/>
      <c r="AD65" s="1"/>
    </row>
    <row r="66" spans="1:30" ht="13.7" customHeight="1" thickBot="1">
      <c r="A66" s="1"/>
      <c r="B66" s="43"/>
      <c r="C66" s="43"/>
      <c r="D66" s="43"/>
      <c r="E66" s="1"/>
      <c r="F66" s="1"/>
      <c r="G66" s="2"/>
      <c r="H66" s="2"/>
      <c r="I66" s="2"/>
      <c r="J66" s="2"/>
      <c r="K66" s="2"/>
      <c r="L66" s="2"/>
      <c r="M66" s="2"/>
      <c r="N66" s="1"/>
      <c r="O66" s="1"/>
      <c r="P66" s="3"/>
      <c r="Q66" s="3" t="s">
        <v>2663</v>
      </c>
      <c r="R66" s="463">
        <f>IF(AND(R41=0,R64=0)=TRUE,"",R41+R64)</f>
        <v>6919.369999999999</v>
      </c>
      <c r="S66" s="463">
        <f>IF(AND(S41=0,S64=0)=TRUE,"",S41+S64)</f>
        <v>3957.42</v>
      </c>
      <c r="T66" s="463">
        <f>IF(AND(T41=0,T64=0)=TRUE,"",T41+T64)</f>
        <v>9475.9600000000009</v>
      </c>
      <c r="U66" s="464">
        <f>IF(AND(U41=0,U64=0)=TRUE,"",U41+U64)</f>
        <v>559.12</v>
      </c>
      <c r="V66" s="1"/>
      <c r="W66" s="109"/>
      <c r="X66" s="714" t="s">
        <v>2664</v>
      </c>
      <c r="Y66" s="464">
        <f>IF(AND(Y41="",Y64="")=TRUE,"",Y41+Y64)</f>
        <v>2953.3256438356166</v>
      </c>
      <c r="AA66" s="1"/>
      <c r="AB66" s="1"/>
      <c r="AC66" s="1"/>
      <c r="AD66" s="1"/>
    </row>
    <row r="67" spans="1:30" ht="7.5" customHeight="1" thickBot="1">
      <c r="A67" s="1"/>
      <c r="B67" s="43"/>
      <c r="C67" s="234"/>
      <c r="D67" s="234"/>
      <c r="E67" s="1"/>
      <c r="F67" s="1"/>
      <c r="G67" s="2"/>
      <c r="H67" s="2"/>
      <c r="I67" s="2"/>
      <c r="J67" s="2"/>
      <c r="K67" s="2"/>
      <c r="L67" s="2"/>
      <c r="M67" s="2"/>
      <c r="N67" s="2"/>
      <c r="O67" s="2"/>
      <c r="P67" s="2"/>
      <c r="Q67" s="2"/>
      <c r="R67" s="2"/>
      <c r="S67" s="1"/>
      <c r="T67" s="1"/>
      <c r="U67" s="1"/>
      <c r="V67" s="1"/>
      <c r="W67" s="109"/>
      <c r="X67" s="109"/>
      <c r="Y67" s="109"/>
      <c r="AA67" s="1"/>
      <c r="AB67" s="1"/>
      <c r="AC67" s="1"/>
      <c r="AD67" s="1"/>
    </row>
    <row r="68" spans="1:30" ht="12.75" customHeight="1" thickBot="1">
      <c r="A68" s="1"/>
      <c r="B68" s="43"/>
      <c r="C68" s="234"/>
      <c r="D68" s="234"/>
      <c r="E68" s="1"/>
      <c r="F68" s="1"/>
      <c r="G68" s="2"/>
      <c r="H68" s="2"/>
      <c r="I68" s="2"/>
      <c r="J68" s="2"/>
      <c r="K68" s="2"/>
      <c r="L68" s="2"/>
      <c r="M68" s="2"/>
      <c r="N68" s="2"/>
      <c r="O68" s="2"/>
      <c r="P68" s="2"/>
      <c r="Q68" s="2"/>
      <c r="R68" s="2"/>
      <c r="S68" s="1"/>
      <c r="T68" s="1"/>
      <c r="U68" s="1"/>
      <c r="V68" s="328" t="str">
        <f>Texte!A781</f>
        <v>Anteile Vollmist-Nges (V1+V2) / (A1+A3)</v>
      </c>
      <c r="W68" s="882">
        <f>IF(OR(Y66=0,R66=0)=TRUE,0,MAX(Y66/R66*100,0))</f>
        <v>42.682002029601207</v>
      </c>
      <c r="X68" s="109"/>
      <c r="Y68" s="109"/>
      <c r="AA68" s="1"/>
      <c r="AB68" s="1"/>
      <c r="AC68" s="1"/>
      <c r="AD68" s="1"/>
    </row>
    <row r="69" spans="1:30" ht="20.100000000000001" customHeight="1">
      <c r="A69" s="1"/>
      <c r="B69" s="234" t="str">
        <f>Texte!A782</f>
        <v>Formular B: Berechnung der Grundfutterproduktion auf der Futterfläche</v>
      </c>
      <c r="C69" s="1"/>
      <c r="D69" s="1"/>
      <c r="E69" s="1"/>
      <c r="F69" s="1"/>
      <c r="G69" s="345"/>
      <c r="H69" s="1"/>
      <c r="I69" s="1"/>
      <c r="J69" s="1"/>
      <c r="K69" s="1"/>
      <c r="L69" s="1"/>
      <c r="M69" s="1"/>
      <c r="N69" s="1"/>
      <c r="O69" s="1"/>
      <c r="P69" s="1"/>
      <c r="Q69" s="1"/>
      <c r="R69" s="1"/>
      <c r="S69" s="1"/>
      <c r="T69" s="2"/>
      <c r="U69" s="1"/>
      <c r="V69" s="1"/>
      <c r="W69" s="1"/>
      <c r="X69" s="1"/>
      <c r="Y69" s="1"/>
      <c r="AA69" s="1"/>
      <c r="AB69" s="1"/>
      <c r="AC69" s="1"/>
      <c r="AD69" s="1"/>
    </row>
    <row r="70" spans="1:30" ht="13.5" thickBot="1">
      <c r="O70" s="769" t="str">
        <f>Texte!A783</f>
        <v>dt TS</v>
      </c>
      <c r="P70" s="769"/>
    </row>
    <row r="71" spans="1:30" ht="13.5" thickBot="1">
      <c r="B71" s="799" t="str">
        <f>Texte!A784</f>
        <v>Grundfutterverzehr auf dem Betrieb (GFverz)</v>
      </c>
      <c r="O71" s="808">
        <f>K41</f>
        <v>3141.8</v>
      </c>
      <c r="P71" s="809"/>
    </row>
    <row r="72" spans="1:30">
      <c r="B72" s="799" t="str">
        <f>Texte!A785</f>
        <v>Zu- und Wegfuhr von Grundfutter und Grundfutterproduktion ausserhalb der Futterfläche (FF)</v>
      </c>
      <c r="Q72" s="540" t="str">
        <f>Texte!A815</f>
        <v>Legende</v>
      </c>
      <c r="R72" s="405"/>
      <c r="S72" s="770"/>
      <c r="T72" s="770"/>
      <c r="U72" s="770"/>
      <c r="V72" s="770"/>
      <c r="W72" s="770"/>
      <c r="X72" s="770"/>
      <c r="Y72" s="771"/>
    </row>
    <row r="73" spans="1:30" ht="15" customHeight="1">
      <c r="Q73" s="2391" t="s">
        <v>2122</v>
      </c>
      <c r="R73" s="827" t="str">
        <f>Texte!A816</f>
        <v>Nges-Anfall im Laufhof =</v>
      </c>
      <c r="S73" s="674"/>
      <c r="T73" s="674"/>
      <c r="U73" s="674"/>
      <c r="V73" s="674"/>
      <c r="X73" s="1776" t="str">
        <f>Texte!A818</f>
        <v>Anz. Einheiten x Laufhoftage x Nges x 0.1</v>
      </c>
      <c r="Y73" s="671"/>
      <c r="AA73" s="674"/>
    </row>
    <row r="74" spans="1:30">
      <c r="B74" s="489"/>
      <c r="C74" s="405"/>
      <c r="D74" s="405"/>
      <c r="E74" s="2087" t="str">
        <f>Texte!A786</f>
        <v>Menge</v>
      </c>
      <c r="F74" s="2085"/>
      <c r="G74" s="2087" t="s">
        <v>1512</v>
      </c>
      <c r="H74" s="2085"/>
      <c r="I74" s="2087" t="str">
        <f>Texte!A789</f>
        <v>Wegfuhr</v>
      </c>
      <c r="J74" s="2085"/>
      <c r="K74" s="2087" t="str">
        <f>Texte!A791</f>
        <v>Zufuhr</v>
      </c>
      <c r="L74" s="2085"/>
      <c r="M74" s="2087" t="str">
        <f>Texte!A792</f>
        <v>GFprod</v>
      </c>
      <c r="N74" s="2088"/>
      <c r="Q74" s="2391"/>
      <c r="R74" s="109"/>
      <c r="S74" s="109"/>
      <c r="T74" s="109"/>
      <c r="U74" s="804"/>
      <c r="V74" s="804"/>
      <c r="W74" s="804"/>
      <c r="X74" s="459">
        <v>365</v>
      </c>
      <c r="Y74" s="1705"/>
      <c r="AA74" s="674"/>
    </row>
    <row r="75" spans="1:30">
      <c r="B75" s="469"/>
      <c r="C75" s="109"/>
      <c r="D75" s="109"/>
      <c r="E75" s="800"/>
      <c r="F75" s="801"/>
      <c r="G75" s="800"/>
      <c r="H75" s="801"/>
      <c r="I75" s="800"/>
      <c r="J75" s="801"/>
      <c r="K75" s="800"/>
      <c r="L75" s="801"/>
      <c r="M75" s="800" t="str">
        <f>Texte!A793</f>
        <v>ausserhalb</v>
      </c>
      <c r="N75" s="2089"/>
      <c r="Q75" s="2391" t="s">
        <v>10979</v>
      </c>
      <c r="R75" s="109" t="str">
        <f>Texte!A819</f>
        <v>Nges-Anfall auf der Weide =</v>
      </c>
      <c r="S75" s="109"/>
      <c r="T75" s="109"/>
      <c r="U75" s="804"/>
      <c r="V75" s="804"/>
      <c r="W75" s="1704" t="str">
        <f>Texte!A820</f>
        <v>Anz. Einheiten x Stunden x Weidetage x Nges</v>
      </c>
      <c r="X75" s="804"/>
      <c r="Y75" s="2208"/>
      <c r="AA75" s="674"/>
    </row>
    <row r="76" spans="1:30">
      <c r="B76" s="354"/>
      <c r="C76" s="353"/>
      <c r="D76" s="353"/>
      <c r="E76" s="802" t="str">
        <f>Texte!A787</f>
        <v>dt FS</v>
      </c>
      <c r="F76" s="803"/>
      <c r="G76" s="802" t="str">
        <f>Texte!A788</f>
        <v>TS</v>
      </c>
      <c r="H76" s="803"/>
      <c r="I76" s="802" t="str">
        <f>Texte!A790</f>
        <v>dt TS</v>
      </c>
      <c r="J76" s="803"/>
      <c r="K76" s="802" t="str">
        <f>Texte!A790</f>
        <v>dt TS</v>
      </c>
      <c r="L76" s="803"/>
      <c r="M76" s="802" t="str">
        <f>Texte!A794</f>
        <v>der FF</v>
      </c>
      <c r="N76" s="2090"/>
      <c r="Q76" s="2391"/>
      <c r="R76" s="109"/>
      <c r="S76" s="109"/>
      <c r="T76" s="109"/>
      <c r="U76" s="804"/>
      <c r="V76" s="804"/>
      <c r="W76" s="459" t="s">
        <v>5016</v>
      </c>
      <c r="X76" s="804"/>
      <c r="Y76" s="2208"/>
      <c r="AA76" s="674"/>
    </row>
    <row r="77" spans="1:30">
      <c r="B77" s="354" t="str">
        <f>Texte!A795</f>
        <v>Gras, Grassilage</v>
      </c>
      <c r="C77" s="353"/>
      <c r="D77" s="353"/>
      <c r="E77" s="880">
        <v>975</v>
      </c>
      <c r="F77" s="812"/>
      <c r="G77" s="880">
        <v>35</v>
      </c>
      <c r="H77" s="812"/>
      <c r="I77" s="880">
        <v>341.25</v>
      </c>
      <c r="J77" s="812"/>
      <c r="K77" s="880"/>
      <c r="L77" s="812"/>
      <c r="M77" s="2094"/>
      <c r="N77" s="1013"/>
      <c r="Q77" s="2391" t="s">
        <v>10968</v>
      </c>
      <c r="R77" s="109" t="str">
        <f>Texte!A821</f>
        <v>Aufstallungssysteme ohne Gülleanfall = Vollmist-Systeme (siehe Wegleitung)</v>
      </c>
      <c r="S77" s="109"/>
      <c r="T77" s="109"/>
      <c r="U77" s="804"/>
      <c r="V77" s="804"/>
      <c r="W77" s="109"/>
      <c r="X77" s="109"/>
      <c r="Y77" s="2208"/>
      <c r="AA77" s="674"/>
    </row>
    <row r="78" spans="1:30">
      <c r="B78" s="354" t="str">
        <f>Texte!A796</f>
        <v>Dürrfutter</v>
      </c>
      <c r="C78" s="353"/>
      <c r="D78" s="353"/>
      <c r="E78" s="880">
        <v>150</v>
      </c>
      <c r="F78" s="812"/>
      <c r="G78" s="880">
        <v>88</v>
      </c>
      <c r="H78" s="812"/>
      <c r="I78" s="880"/>
      <c r="J78" s="812"/>
      <c r="K78" s="880">
        <v>132</v>
      </c>
      <c r="L78" s="812"/>
      <c r="M78" s="2094"/>
      <c r="N78" s="1013"/>
      <c r="Q78" s="2391" t="s">
        <v>10969</v>
      </c>
      <c r="R78" s="827" t="str">
        <f>Texte!A822</f>
        <v xml:space="preserve">-Typ 0: Herstellung von nur Gülle, Gülle und Stapelmist, </v>
      </c>
      <c r="S78" s="109"/>
      <c r="T78" s="109"/>
      <c r="U78" s="109"/>
      <c r="V78" s="109"/>
      <c r="W78" s="827"/>
      <c r="X78" s="109"/>
      <c r="Y78" s="2208"/>
      <c r="AA78" s="674"/>
    </row>
    <row r="79" spans="1:30">
      <c r="B79" s="354" t="str">
        <f>Texte!A797</f>
        <v>Dürrfutter, "nährstoffarm"</v>
      </c>
      <c r="C79" s="353"/>
      <c r="D79" s="353"/>
      <c r="E79" s="880"/>
      <c r="F79" s="812"/>
      <c r="G79" s="880"/>
      <c r="H79" s="812"/>
      <c r="I79" s="880"/>
      <c r="J79" s="812"/>
      <c r="K79" s="880"/>
      <c r="L79" s="812"/>
      <c r="M79" s="2094"/>
      <c r="N79" s="1013"/>
      <c r="Q79" s="2391"/>
      <c r="R79" s="827" t="str">
        <f>Texte!A823</f>
        <v>Gülle und &lt; 10 % Vollmist</v>
      </c>
      <c r="S79" s="109"/>
      <c r="T79" s="109"/>
      <c r="U79" s="827"/>
      <c r="V79" s="827"/>
      <c r="W79" s="827"/>
      <c r="X79" s="109"/>
      <c r="Y79" s="2208"/>
      <c r="AA79" s="674"/>
    </row>
    <row r="80" spans="1:30">
      <c r="B80" s="354" t="str">
        <f>Texte!A798</f>
        <v>Silomais</v>
      </c>
      <c r="C80" s="353"/>
      <c r="D80" s="353"/>
      <c r="E80" s="880"/>
      <c r="F80" s="812"/>
      <c r="G80" s="880"/>
      <c r="H80" s="812"/>
      <c r="I80" s="880"/>
      <c r="J80" s="812"/>
      <c r="K80" s="880"/>
      <c r="L80" s="812"/>
      <c r="M80" s="2094"/>
      <c r="N80" s="1013"/>
      <c r="Q80" s="2391"/>
      <c r="R80" s="827" t="str">
        <f>Texte!A824</f>
        <v xml:space="preserve">-Typ 100: Einraumlaufstall (Tiefstreu) für Raufutterverzehrer, </v>
      </c>
      <c r="S80" s="109"/>
      <c r="T80" s="109"/>
      <c r="U80" s="109"/>
      <c r="V80" s="109"/>
      <c r="W80" s="827"/>
      <c r="X80" s="109"/>
      <c r="Y80" s="2208"/>
      <c r="AA80" s="674"/>
    </row>
    <row r="81" spans="2:27">
      <c r="B81" s="354" t="str">
        <f>Texte!A799</f>
        <v>Futterrüben</v>
      </c>
      <c r="C81" s="353"/>
      <c r="D81" s="353"/>
      <c r="E81" s="880"/>
      <c r="F81" s="812"/>
      <c r="G81" s="880"/>
      <c r="H81" s="812"/>
      <c r="I81" s="880"/>
      <c r="J81" s="812"/>
      <c r="K81" s="880"/>
      <c r="L81" s="812"/>
      <c r="M81" s="2095"/>
      <c r="N81" s="2086"/>
      <c r="Q81" s="2391"/>
      <c r="R81" s="827" t="str">
        <f>Texte!A825</f>
        <v>Tiefstreulaufstall für Schweine, alle Systeme für Geflügel (&lt;10 % Gülle).</v>
      </c>
      <c r="S81" s="109"/>
      <c r="T81" s="109"/>
      <c r="U81" s="827"/>
      <c r="V81" s="109"/>
      <c r="W81" s="827"/>
      <c r="X81" s="109"/>
      <c r="Y81" s="2208"/>
      <c r="AA81" s="674"/>
    </row>
    <row r="82" spans="2:27">
      <c r="B82" s="2091"/>
      <c r="C82" s="353"/>
      <c r="D82" s="353"/>
      <c r="E82" s="880"/>
      <c r="F82" s="812"/>
      <c r="G82" s="880"/>
      <c r="H82" s="812"/>
      <c r="I82" s="880"/>
      <c r="J82" s="812"/>
      <c r="K82" s="880"/>
      <c r="L82" s="812"/>
      <c r="M82" s="880"/>
      <c r="N82" s="2092"/>
      <c r="Q82" s="2391"/>
      <c r="R82" s="827" t="str">
        <f>Texte!A826</f>
        <v>Nges-Anfall ganz übertragen</v>
      </c>
      <c r="S82" s="109"/>
      <c r="T82" s="109"/>
      <c r="U82" s="827"/>
      <c r="V82" s="109"/>
      <c r="W82" s="827"/>
      <c r="X82" s="109"/>
      <c r="Y82" s="2208"/>
      <c r="AA82" s="674"/>
    </row>
    <row r="83" spans="2:27">
      <c r="B83" s="2091" t="str">
        <f>Texte!A802</f>
        <v>Zuckerrüben</v>
      </c>
      <c r="C83" s="353"/>
      <c r="D83" s="353"/>
      <c r="E83" s="880"/>
      <c r="F83" s="812"/>
      <c r="G83" s="880"/>
      <c r="H83" s="812"/>
      <c r="I83" s="2093"/>
      <c r="J83" s="2097"/>
      <c r="K83" s="2096"/>
      <c r="L83" s="812"/>
      <c r="M83" s="880"/>
      <c r="N83" s="2092"/>
      <c r="Q83" s="2391"/>
      <c r="R83" s="827" t="str">
        <f>Texte!A827</f>
        <v xml:space="preserve"> -Typ 50: Zweiraumlaufstall (10-90 % Vollmist). </v>
      </c>
      <c r="S83" s="109"/>
      <c r="T83" s="109"/>
      <c r="U83" s="109"/>
      <c r="V83" s="109"/>
      <c r="W83" s="827"/>
      <c r="X83" s="109"/>
      <c r="Y83" s="2208"/>
      <c r="AA83" s="674"/>
    </row>
    <row r="84" spans="2:27">
      <c r="B84" s="354" t="str">
        <f>Texte!A800</f>
        <v>Biertreber, getrocknet</v>
      </c>
      <c r="C84" s="353"/>
      <c r="D84" s="353"/>
      <c r="E84" s="880"/>
      <c r="F84" s="812"/>
      <c r="G84" s="880"/>
      <c r="H84" s="812"/>
      <c r="I84" s="2094"/>
      <c r="J84" s="2098"/>
      <c r="K84" s="2096"/>
      <c r="L84" s="812"/>
      <c r="M84" s="880"/>
      <c r="N84" s="2092"/>
      <c r="Q84" s="2391"/>
      <c r="R84" s="827" t="str">
        <f>Texte!A828</f>
        <v>Nges-Anfall zur Hälfte übertragen</v>
      </c>
      <c r="S84" s="109"/>
      <c r="T84" s="109"/>
      <c r="U84" s="109"/>
      <c r="V84" s="109"/>
      <c r="W84" s="827"/>
      <c r="X84" s="109"/>
      <c r="Y84" s="2208"/>
      <c r="AA84" s="674"/>
    </row>
    <row r="85" spans="2:27">
      <c r="B85" s="354" t="str">
        <f>Texte!A801</f>
        <v>Nebenprodukte Trocken- und Schälmüllerei</v>
      </c>
      <c r="C85" s="353"/>
      <c r="D85" s="353"/>
      <c r="E85" s="880"/>
      <c r="F85" s="812"/>
      <c r="G85" s="880"/>
      <c r="H85" s="812"/>
      <c r="I85" s="2094"/>
      <c r="J85" s="2098"/>
      <c r="K85" s="2096"/>
      <c r="L85" s="812"/>
      <c r="M85" s="2094"/>
      <c r="N85" s="1013"/>
      <c r="Q85" s="2391" t="s">
        <v>10970</v>
      </c>
      <c r="R85" s="827" t="str">
        <f>Texte!A829</f>
        <v>Betriebseigenes nährstoffarmes Grundfutter</v>
      </c>
      <c r="S85" s="109"/>
      <c r="T85" s="109"/>
      <c r="U85" s="109"/>
      <c r="V85" s="109"/>
      <c r="W85" s="827"/>
      <c r="X85" s="109"/>
      <c r="Y85" s="2208"/>
      <c r="AA85" s="674"/>
    </row>
    <row r="86" spans="2:27">
      <c r="B86" s="354" t="str">
        <f>Texte!A803</f>
        <v>Zuckerrübenschnitzel</v>
      </c>
      <c r="C86" s="353"/>
      <c r="D86" s="353"/>
      <c r="E86" s="880">
        <v>200</v>
      </c>
      <c r="F86" s="812"/>
      <c r="G86" s="880">
        <v>30</v>
      </c>
      <c r="H86" s="812"/>
      <c r="I86" s="2094"/>
      <c r="J86" s="2098"/>
      <c r="K86" s="2096">
        <v>60</v>
      </c>
      <c r="L86" s="812"/>
      <c r="M86" s="2094"/>
      <c r="N86" s="1013"/>
      <c r="Q86" s="2391" t="s">
        <v>10971</v>
      </c>
      <c r="R86" s="109" t="str">
        <f>Texte!A830</f>
        <v>Nährstoffarmes Grundfutter aus Zu- und Wegfuhren</v>
      </c>
      <c r="S86" s="109"/>
      <c r="T86" s="109"/>
      <c r="U86" s="1704"/>
      <c r="V86" s="109"/>
      <c r="W86" s="827"/>
      <c r="X86" s="109"/>
      <c r="Y86" s="2208"/>
      <c r="AA86" s="674"/>
    </row>
    <row r="87" spans="2:27">
      <c r="B87" s="354" t="str">
        <f>Texte!A804</f>
        <v>Zuckerrübenblätter</v>
      </c>
      <c r="C87" s="353"/>
      <c r="D87" s="353"/>
      <c r="E87" s="880"/>
      <c r="F87" s="812"/>
      <c r="G87" s="880"/>
      <c r="H87" s="812"/>
      <c r="I87" s="2094"/>
      <c r="J87" s="2098"/>
      <c r="K87" s="2096"/>
      <c r="L87" s="812"/>
      <c r="M87" s="2095"/>
      <c r="N87" s="2086"/>
      <c r="Q87" s="2391" t="s">
        <v>10972</v>
      </c>
      <c r="R87" s="109" t="str">
        <f>Texte!A831</f>
        <v xml:space="preserve">N-Bedarf ist zu reduzieren für Ackerkulturen mit </v>
      </c>
      <c r="S87" s="109"/>
      <c r="T87" s="109"/>
      <c r="U87" s="109"/>
      <c r="V87" s="109"/>
      <c r="W87" s="827"/>
      <c r="X87" s="109"/>
      <c r="Y87" s="2208"/>
      <c r="AA87" s="674"/>
    </row>
    <row r="88" spans="2:27">
      <c r="B88" s="354" t="str">
        <f>Texte!A805</f>
        <v>Kartoffeln</v>
      </c>
      <c r="C88" s="353"/>
      <c r="D88" s="353"/>
      <c r="E88" s="880"/>
      <c r="F88" s="812"/>
      <c r="G88" s="880"/>
      <c r="H88" s="812"/>
      <c r="I88" s="2094"/>
      <c r="J88" s="2098"/>
      <c r="K88" s="2096"/>
      <c r="L88" s="812"/>
      <c r="M88" s="880"/>
      <c r="N88" s="2092"/>
      <c r="Q88" s="2391"/>
      <c r="R88" s="109" t="str">
        <f>Texte!A832</f>
        <v>besonders tiefen Erträgen. Bei regelmässig über dem 3-Jahresdurchschnitt</v>
      </c>
      <c r="S88" s="827"/>
      <c r="T88" s="827"/>
      <c r="U88" s="827"/>
      <c r="V88" s="827"/>
      <c r="W88" s="827"/>
      <c r="X88" s="827"/>
      <c r="Y88" s="1705"/>
      <c r="AA88" s="674"/>
    </row>
    <row r="89" spans="2:27">
      <c r="B89" s="354" t="str">
        <f>Texte!A806</f>
        <v>Zukauf von Stroh zur Verfütterung</v>
      </c>
      <c r="C89" s="353"/>
      <c r="D89" s="353"/>
      <c r="E89" s="880"/>
      <c r="F89" s="812"/>
      <c r="G89" s="880"/>
      <c r="H89" s="812"/>
      <c r="I89" s="2095"/>
      <c r="J89" s="2099"/>
      <c r="K89" s="2096"/>
      <c r="L89" s="812"/>
      <c r="M89" s="2095"/>
      <c r="N89" s="2100"/>
      <c r="Q89" s="2391"/>
      <c r="R89" s="109" t="str">
        <f>Texte!A5344</f>
        <v>liegenden Erträgen, kann der N-Bedarf erhöht werden (siehe Wegleitung)</v>
      </c>
      <c r="S89" s="827"/>
      <c r="T89" s="827"/>
      <c r="U89" s="827"/>
      <c r="V89" s="827"/>
      <c r="W89" s="827"/>
      <c r="X89" s="827"/>
      <c r="Y89" s="1705"/>
      <c r="AA89" s="674"/>
    </row>
    <row r="90" spans="2:27" ht="13.7" customHeight="1">
      <c r="Q90" s="2391" t="s">
        <v>10977</v>
      </c>
      <c r="R90" s="109" t="str">
        <f>Texte!A833</f>
        <v>Werte für Nebenprodukte anderer Kulturen (siehe Wegleitung)</v>
      </c>
      <c r="S90" s="804"/>
      <c r="T90" s="804"/>
      <c r="U90" s="804"/>
      <c r="V90" s="804"/>
      <c r="W90" s="804"/>
      <c r="X90" s="804"/>
      <c r="Y90" s="1705"/>
    </row>
    <row r="91" spans="2:27">
      <c r="B91" s="804" t="str">
        <f>Texte!A808</f>
        <v xml:space="preserve">Total Wegfuhr (davon  </v>
      </c>
      <c r="D91" s="881">
        <f>I79</f>
        <v>0</v>
      </c>
      <c r="E91" s="804" t="str">
        <f>Texte!A807</f>
        <v>dt TS)</v>
      </c>
      <c r="I91" s="810">
        <f>SUM(I77:I82)</f>
        <v>341.25</v>
      </c>
      <c r="J91" s="811"/>
      <c r="O91" s="810">
        <f>I91</f>
        <v>341.25</v>
      </c>
      <c r="P91" s="2389"/>
      <c r="Q91" s="2391" t="s">
        <v>10974</v>
      </c>
      <c r="R91" s="109" t="str">
        <f>Texte!A834</f>
        <v>Nur auf dem Betrieb verfüttertes Futter von ungedüngten</v>
      </c>
      <c r="S91" s="804"/>
      <c r="T91" s="804"/>
      <c r="U91" s="804"/>
      <c r="V91" s="804"/>
      <c r="W91" s="804"/>
      <c r="X91" s="804"/>
      <c r="Y91" s="1705"/>
    </row>
    <row r="92" spans="2:27">
      <c r="B92" s="804" t="str">
        <f>Texte!A809</f>
        <v>Total Zufuhr    (davon</v>
      </c>
      <c r="D92" s="881">
        <f>K79+K89</f>
        <v>0</v>
      </c>
      <c r="E92" s="804" t="str">
        <f>Texte!A807</f>
        <v>dt TS)</v>
      </c>
      <c r="K92" s="810">
        <f>SUM(K77:K89)</f>
        <v>192</v>
      </c>
      <c r="L92" s="811"/>
      <c r="O92" s="810">
        <f>-K92</f>
        <v>-192</v>
      </c>
      <c r="P92" s="2389"/>
      <c r="Q92" s="2391"/>
      <c r="R92" s="109" t="str">
        <f>Texte!A835</f>
        <v>Wiesen; max. 1/4 von GFprod anrechenbar</v>
      </c>
      <c r="S92" s="804"/>
      <c r="T92" s="804"/>
      <c r="U92" s="804"/>
      <c r="V92" s="804"/>
      <c r="W92" s="804"/>
      <c r="X92" s="804"/>
      <c r="Y92" s="1705"/>
    </row>
    <row r="93" spans="2:27" ht="13.5" thickBot="1">
      <c r="B93" s="804" t="str">
        <f>Texte!A810</f>
        <v>Total Produktion ausserhalb der Futterfläche (FF)</v>
      </c>
      <c r="M93" s="810">
        <f>SUM(M82:M83,M88)</f>
        <v>0</v>
      </c>
      <c r="N93" s="811"/>
      <c r="O93" s="810">
        <f>-M93</f>
        <v>0</v>
      </c>
      <c r="P93" s="2389"/>
      <c r="Q93" s="2391" t="s">
        <v>10975</v>
      </c>
      <c r="R93" s="109" t="str">
        <f>Texte!A836</f>
        <v>"Unechter" Nährstoffbedarf = Nährstoffanfall der Weidetiere</v>
      </c>
      <c r="S93" s="804"/>
      <c r="T93" s="804"/>
      <c r="U93" s="804"/>
      <c r="V93" s="804"/>
      <c r="W93" s="804"/>
      <c r="X93" s="804"/>
      <c r="Y93" s="1705"/>
    </row>
    <row r="94" spans="2:27" ht="13.5" thickBot="1">
      <c r="B94" s="804" t="str">
        <f>Texte!A811</f>
        <v>Total Netto-Grundfutterbedarf</v>
      </c>
      <c r="O94" s="808">
        <f>SUM(O71,O91:O93)</f>
        <v>3291.05</v>
      </c>
      <c r="P94" s="2390"/>
      <c r="Q94" s="2391" t="s">
        <v>10978</v>
      </c>
      <c r="R94" s="109" t="str">
        <f>Texte!A837</f>
        <v>Betriebsspezifischer N-Ausnutzungsgrad (siehe Wegleitung)</v>
      </c>
      <c r="S94" s="804"/>
      <c r="T94" s="804"/>
      <c r="U94" s="804"/>
      <c r="V94" s="804"/>
      <c r="W94" s="804"/>
      <c r="X94" s="804"/>
      <c r="Y94" s="1705"/>
    </row>
    <row r="95" spans="2:27">
      <c r="B95" s="804" t="str">
        <f>Texte!A812</f>
        <v>Zuzüglich Lagerungs- und Krippenverluste, 0 - 5 % von Netto-Grundfutterbedarf</v>
      </c>
      <c r="Q95" s="2391" t="s">
        <v>10976</v>
      </c>
      <c r="R95" s="109" t="str">
        <f>Texte!A838</f>
        <v>Betriebsspezifischer Fehlerbereich bei Abweichung vom Normalfall DZV</v>
      </c>
      <c r="S95" s="804"/>
      <c r="T95" s="804"/>
      <c r="U95" s="804"/>
      <c r="V95" s="804"/>
      <c r="W95" s="804"/>
      <c r="X95" s="804"/>
      <c r="Y95" s="1705"/>
    </row>
    <row r="96" spans="2:27" ht="13.5" thickBot="1">
      <c r="B96" s="804" t="str">
        <f>Texte!A813</f>
        <v>Fehlerbereich der Grundfutterbilanz: 0 - 5 %</v>
      </c>
      <c r="K96" s="814" t="s">
        <v>1639</v>
      </c>
      <c r="M96" s="886">
        <v>10</v>
      </c>
      <c r="N96" s="774"/>
      <c r="O96" s="810">
        <f>O94*M96/100</f>
        <v>329.10500000000002</v>
      </c>
      <c r="P96" s="811"/>
      <c r="Q96" s="2392"/>
      <c r="R96" s="109" t="str">
        <f>Texte!A839</f>
        <v>nur gültig bis einschliesslich Erntejahr 2023</v>
      </c>
      <c r="S96" s="804"/>
      <c r="T96" s="804"/>
      <c r="U96" s="804"/>
      <c r="V96" s="804"/>
      <c r="W96" s="804"/>
      <c r="X96" s="804"/>
      <c r="Y96" s="1705"/>
    </row>
    <row r="97" spans="2:25" ht="13.5" thickBot="1">
      <c r="B97" s="813" t="str">
        <f>Texte!A814</f>
        <v>Total auf der Futterfläche zu produzierendes Grundfutter (GFprod)</v>
      </c>
      <c r="O97" s="808">
        <f>SUM(O94,O96)</f>
        <v>3620.1550000000002</v>
      </c>
      <c r="P97" s="809"/>
      <c r="Q97" s="2393"/>
      <c r="R97" s="2209"/>
      <c r="S97" s="2209"/>
      <c r="T97" s="2209"/>
      <c r="U97" s="2209"/>
      <c r="V97" s="2209"/>
      <c r="W97" s="2209"/>
      <c r="X97" s="2209"/>
      <c r="Y97" s="2210"/>
    </row>
    <row r="98" spans="2:25" ht="22.7" customHeight="1">
      <c r="Q98" s="3431"/>
      <c r="R98" s="3431"/>
      <c r="S98" s="3431"/>
      <c r="T98" s="3431"/>
      <c r="U98" s="3431"/>
      <c r="V98" s="3431"/>
      <c r="W98" s="3431"/>
      <c r="X98" s="3431"/>
      <c r="Y98" s="3431"/>
    </row>
  </sheetData>
  <sheetProtection algorithmName="SHA-512" hashValue="+S5YMuQbKy7oH/Jp2RfC+JpaaY9Yc9532kAG2KEzQcZOqWjQACCVEleltqJA+3zykSfx6jo3ZZcaAV/7fhBUww==" saltValue="tlJke2vZXJtOeHDkKXMTXA==" spinCount="100000" sheet="1" objects="1" scenarios="1"/>
  <mergeCells count="2">
    <mergeCell ref="Q98:Y98"/>
    <mergeCell ref="V3:W3"/>
  </mergeCells>
  <phoneticPr fontId="65" type="noConversion"/>
  <printOptions horizontalCentered="1"/>
  <pageMargins left="0.39370078740157483" right="0.19685039370078741" top="0.51181102362204722" bottom="0.51181102362204722" header="0" footer="0.31496062992125984"/>
  <pageSetup paperSize="9" scale="57"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2292" r:id="rId4" name="Butt NB2">
              <controlPr defaultSize="0" print="0" autoFill="0" autoLine="0" autoPict="0" macro="[0]!D_Tierb_nach_Nb1">
                <anchor moveWithCells="1" sizeWithCells="1">
                  <from>
                    <xdr:col>11</xdr:col>
                    <xdr:colOff>9525</xdr:colOff>
                    <xdr:row>8</xdr:row>
                    <xdr:rowOff>57150</xdr:rowOff>
                  </from>
                  <to>
                    <xdr:col>21</xdr:col>
                    <xdr:colOff>0</xdr:colOff>
                    <xdr:row>8</xdr:row>
                    <xdr:rowOff>238125</xdr:rowOff>
                  </to>
                </anchor>
              </controlPr>
            </control>
          </ns1:Choice>
        </ns1:AlternateContent>
        <ns1:AlternateContent>
          <ns1:Choice Requires="x14">
            <control shapeId="12294" r:id="rId5" name="chkLaufstallJungvieh">
              <controlPr locked="0" defaultSize="0" print="0" autoFill="0" autoLine="0" autoPict="0">
                <anchor moveWithCells="1">
                  <from>
                    <xdr:col>15</xdr:col>
                    <xdr:colOff>9525</xdr:colOff>
                    <xdr:row>10</xdr:row>
                    <xdr:rowOff>219075</xdr:rowOff>
                  </from>
                  <to>
                    <xdr:col>15</xdr:col>
                    <xdr:colOff>314325</xdr:colOff>
                    <xdr:row>11</xdr:row>
                    <xdr:rowOff>209550</xdr:rowOff>
                  </to>
                </anchor>
              </controlPr>
            </control>
          </ns1:Choice>
        </ns1:AlternateContent>
        <ns1:AlternateContent>
          <ns1:Choice Requires="x14">
            <control shapeId="12296" r:id="rId6" name="Butt NPr">
              <controlPr defaultSize="0" print="0" autoFill="0" autoLine="0" autoPict="0" macro="[0]!DlgNPr_Zeigen">
                <anchor moveWithCells="1" sizeWithCells="1">
                  <from>
                    <xdr:col>1</xdr:col>
                    <xdr:colOff>9525</xdr:colOff>
                    <xdr:row>14</xdr:row>
                    <xdr:rowOff>171450</xdr:rowOff>
                  </from>
                  <to>
                    <xdr:col>9</xdr:col>
                    <xdr:colOff>0</xdr:colOff>
                    <xdr:row>16</xdr:row>
                    <xdr:rowOff>9525</xdr:rowOff>
                  </to>
                </anchor>
              </controlPr>
            </control>
          </ns1:Choice>
        </ns1:AlternateContent>
        <ns1:AlternateContent>
          <ns1:Choice Requires="x14">
            <control shapeId="12323" r:id="rId7" name="chkLaufstallMiKu">
              <controlPr locked="0" defaultSize="0" print="0" autoFill="0" autoLine="0" autoPict="0">
                <anchor moveWithCells="1">
                  <from>
                    <xdr:col>15</xdr:col>
                    <xdr:colOff>9525</xdr:colOff>
                    <xdr:row>10</xdr:row>
                    <xdr:rowOff>9525</xdr:rowOff>
                  </from>
                  <to>
                    <xdr:col>15</xdr:col>
                    <xdr:colOff>304800</xdr:colOff>
                    <xdr:row>11</xdr:row>
                    <xdr:rowOff>9525</xdr:rowOff>
                  </to>
                </anchor>
              </controlPr>
            </control>
          </ns1:Choice>
        </ns1:AlternateContent>
        <ns1:AlternateContent>
          <ns1:Choice Requires="x14">
            <control shapeId="12337" r:id="rId8" name="chk_Impex">
              <controlPr defaultSize="0" autoFill="0" autoLine="0" autoPict="0">
                <anchor moveWithCells="1">
                  <from>
                    <xdr:col>3</xdr:col>
                    <xdr:colOff>0</xdr:colOff>
                    <xdr:row>5</xdr:row>
                    <xdr:rowOff>38100</xdr:rowOff>
                  </from>
                  <to>
                    <xdr:col>3</xdr:col>
                    <xdr:colOff>247650</xdr:colOff>
                    <xdr:row>7</xdr:row>
                    <xdr:rowOff>38100</xdr:rowOff>
                  </to>
                </anchor>
              </controlPr>
            </control>
          </ns1:Choice>
        </ns1:AlternateContent>
        <ns1:AlternateContent>
          <ns1:Choice Requires="x14">
            <control shapeId="12338" r:id="rId9" name="chk_Linear">
              <controlPr defaultSize="0" autoFill="0" autoLine="0" autoPict="0">
                <anchor moveWithCells="1">
                  <from>
                    <xdr:col>6</xdr:col>
                    <xdr:colOff>323850</xdr:colOff>
                    <xdr:row>5</xdr:row>
                    <xdr:rowOff>38100</xdr:rowOff>
                  </from>
                  <to>
                    <xdr:col>7</xdr:col>
                    <xdr:colOff>257175</xdr:colOff>
                    <xdr:row>7</xdr:row>
                    <xdr:rowOff>38100</xdr:rowOff>
                  </to>
                </anchor>
              </controlPr>
            </control>
          </ns1:Choice>
        </ns1:AlternateContent>
        <ns1:AlternateContent>
          <ns1:Choice Requires="x14">
            <control shapeId="12339" r:id="rId10" name="chk_Spezkulturen">
              <controlPr defaultSize="0" autoFill="0" autoLine="0" autoPict="0">
                <anchor moveWithCells="1">
                  <from>
                    <xdr:col>11</xdr:col>
                    <xdr:colOff>495300</xdr:colOff>
                    <xdr:row>5</xdr:row>
                    <xdr:rowOff>38100</xdr:rowOff>
                  </from>
                  <to>
                    <xdr:col>12</xdr:col>
                    <xdr:colOff>285750</xdr:colOff>
                    <xdr:row>7</xdr:row>
                    <xdr:rowOff>38100</xdr:rowOff>
                  </to>
                </anchor>
              </controlPr>
            </control>
          </ns1:Choice>
        </ns1:AlternateContent>
        <ns1:AlternateContent>
          <ns1:Choice Requires="x14">
            <control shapeId="12340" r:id="rId11" name="chk_Dungplan">
              <controlPr defaultSize="0" autoFill="0" autoLine="0" autoPict="0">
                <anchor moveWithCells="1">
                  <from>
                    <xdr:col>14</xdr:col>
                    <xdr:colOff>333375</xdr:colOff>
                    <xdr:row>5</xdr:row>
                    <xdr:rowOff>38100</xdr:rowOff>
                  </from>
                  <to>
                    <xdr:col>15</xdr:col>
                    <xdr:colOff>266700</xdr:colOff>
                    <xdr:row>7</xdr:row>
                    <xdr:rowOff>38100</xdr:rowOff>
                  </to>
                </anchor>
              </controlPr>
            </control>
          </ns1:Choice>
        </ns1:AlternateContent>
        <ns1:AlternateContent>
          <ns1:Choice Requires="x14">
            <control shapeId="12348" r:id="rId12" name="Butt Impex">
              <controlPr defaultSize="0" print="0" autoFill="0" autoLine="0" autoPict="0" macro="[0]!DlgImp_Zeigen">
                <anchor moveWithCells="1" sizeWithCells="1">
                  <from>
                    <xdr:col>9</xdr:col>
                    <xdr:colOff>9525</xdr:colOff>
                    <xdr:row>15</xdr:row>
                    <xdr:rowOff>0</xdr:rowOff>
                  </from>
                  <to>
                    <xdr:col>21</xdr:col>
                    <xdr:colOff>0</xdr:colOff>
                    <xdr:row>16</xdr:row>
                    <xdr:rowOff>9525</xdr:rowOff>
                  </to>
                </anchor>
              </controlPr>
            </control>
          </ns1:Choice>
        </ns1:AlternateContent>
        <ns1:AlternateContent>
          <ns1:Choice Requires="x14">
            <control shapeId="374981" r:id="rId13" name="chk_Vergaerung">
              <controlPr defaultSize="0" autoFill="0" autoLine="0" autoPict="0">
                <anchor moveWithCells="1">
                  <from>
                    <xdr:col>19</xdr:col>
                    <xdr:colOff>323850</xdr:colOff>
                    <xdr:row>5</xdr:row>
                    <xdr:rowOff>38100</xdr:rowOff>
                  </from>
                  <to>
                    <xdr:col>20</xdr:col>
                    <xdr:colOff>257175</xdr:colOff>
                    <xdr:row>7</xdr:row>
                    <xdr:rowOff>38100</xdr:rowOff>
                  </to>
                </anchor>
              </controlPr>
            </control>
          </ns1:Choice>
        </ns1:AlternateContent>
      </controls>
    </ns1:Choice>
  </ns1:AlternateContent>
</worksheet>
</file>

<file path=xl/worksheets/sheet12.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4">
    <tabColor indexed="43"/>
    <pageSetUpPr fitToPage="1"/>
  </sheetPr>
  <dimension ref="A1:Y127"/>
  <sheetViews>
    <sheetView showGridLines="0" showRowColHeaders="0" showZeros="0" tabSelected="1" topLeftCell="A93" workbookViewId="0">
      <selection activeCell="K17" sqref="K17"/>
      <extLst>
        <ext uri="{77bfe23e-c014-4d31-8a63-9c772dbf06b6}">
          <ns2:showDataTypeIcons visible="0"/>
        </ext>
      </extLst>
    </sheetView>
  </sheetViews>
  <sheetFormatPr baseColWidth="10" defaultRowHeight="12"/>
  <cols>
    <col min="1" max="1" width="0.85546875" customWidth="1"/>
    <col min="2" max="2" width="1" customWidth="1"/>
    <col min="3" max="3" width="38.5703125" customWidth="1"/>
    <col min="4" max="4" width="6.5703125" customWidth="1"/>
    <col min="5" max="5" width="3.28515625" customWidth="1"/>
    <col min="6" max="6" width="3.7109375" customWidth="1"/>
    <col min="7" max="7" width="6.85546875" customWidth="1"/>
    <col min="8" max="12" width="8.7109375" customWidth="1"/>
    <col min="13" max="13" width="8.7109375" style="2844" hidden="1" customWidth="1"/>
    <col min="14" max="21" width="7.28515625" customWidth="1"/>
    <col min="23" max="23" width="14.85546875" style="648" hidden="1" customWidth="1"/>
    <col min="24" max="24" width="4.7109375" hidden="1" customWidth="1"/>
    <col min="25" max="25" width="11.42578125" hidden="1" customWidth="1"/>
  </cols>
  <sheetData>
    <row r="1" spans="2:25" ht="42" customHeight="1">
      <c r="B1" s="19" t="str">
        <f>Q!NW_Tit</f>
        <v xml:space="preserve">                                   Nachweis</v>
      </c>
      <c r="D1" s="19"/>
      <c r="E1" s="19"/>
      <c r="F1" s="1"/>
      <c r="G1" s="1"/>
      <c r="H1" s="356"/>
      <c r="I1" s="1005" t="str">
        <f>Texte!A678</f>
        <v>Suisse-Bilanz</v>
      </c>
      <c r="J1" s="537" t="str">
        <f>Q!F203</f>
        <v>Version 1.19</v>
      </c>
      <c r="K1" s="1"/>
      <c r="L1" s="1"/>
      <c r="M1" s="2842"/>
      <c r="N1" s="1"/>
      <c r="O1" s="1"/>
      <c r="P1" s="1"/>
      <c r="Q1" s="1"/>
      <c r="R1" s="1"/>
      <c r="S1" s="1"/>
      <c r="T1" s="1"/>
      <c r="U1" s="20" t="str">
        <f>Q!F21</f>
        <v>SuiBi: Bedarf und Bilanz</v>
      </c>
      <c r="W1" s="2502"/>
      <c r="X1" s="2502"/>
      <c r="Y1" s="2502"/>
    </row>
    <row r="2" spans="2:25" ht="16.5" thickBot="1">
      <c r="B2" s="1"/>
      <c r="C2" s="2775" t="str">
        <f>IF(1=1,"",Q!F219)</f>
        <v/>
      </c>
      <c r="D2" s="21"/>
      <c r="E2" s="21"/>
      <c r="F2" s="21"/>
      <c r="G2" s="21"/>
      <c r="H2" s="21"/>
      <c r="I2" s="21"/>
      <c r="J2" s="21"/>
      <c r="K2" s="21"/>
      <c r="L2" s="21"/>
      <c r="M2" s="2843"/>
      <c r="N2" s="21"/>
      <c r="O2" s="21"/>
      <c r="P2" s="21"/>
      <c r="Q2" s="21"/>
      <c r="R2" s="21"/>
      <c r="S2" s="21"/>
      <c r="T2" s="21"/>
      <c r="U2" s="2370"/>
      <c r="W2" s="2502"/>
      <c r="X2" s="2502"/>
      <c r="Y2" s="2502"/>
    </row>
    <row r="3" spans="2:25" ht="6" customHeight="1">
      <c r="B3" s="1"/>
      <c r="C3" s="30"/>
      <c r="D3" s="30"/>
      <c r="E3" s="30"/>
      <c r="F3" s="30"/>
      <c r="G3" s="30"/>
      <c r="H3" s="30"/>
      <c r="I3" s="30"/>
      <c r="J3" s="30"/>
      <c r="K3" s="30"/>
      <c r="L3" s="30"/>
      <c r="M3" s="2845"/>
      <c r="N3" s="30"/>
      <c r="O3" s="30"/>
      <c r="P3" s="30"/>
      <c r="Q3" s="30"/>
      <c r="R3" s="30"/>
      <c r="S3" s="1"/>
      <c r="T3" s="30"/>
      <c r="U3" s="1"/>
      <c r="W3" s="2502"/>
      <c r="X3" s="2502"/>
      <c r="Y3" s="2502"/>
    </row>
    <row r="4" spans="2:25" ht="12.2" customHeight="1">
      <c r="B4" s="1"/>
      <c r="C4" s="358" t="str">
        <f>Texte!A13</f>
        <v>Betrieb:</v>
      </c>
      <c r="D4" s="357" t="str">
        <f>Allg!$C$9&amp;""</f>
        <v>Imhof &amp; Zaehner Betriebsgemeinschaft</v>
      </c>
      <c r="E4" s="358"/>
      <c r="H4" s="359"/>
      <c r="I4" s="360"/>
      <c r="J4" s="361"/>
      <c r="K4" s="3" t="str">
        <f>Texte!A842</f>
        <v>Zone:</v>
      </c>
      <c r="L4" s="357" t="str">
        <f>Allg!G15&amp;""</f>
        <v>31 Talzone</v>
      </c>
      <c r="M4" s="2846"/>
      <c r="N4" s="30"/>
      <c r="O4" s="1"/>
      <c r="P4" s="3" t="str">
        <f>Texte!A14</f>
        <v>Variante:</v>
      </c>
      <c r="Q4" s="357" t="str">
        <f>IF(Allg!G7="","",Allg!G7)</f>
        <v/>
      </c>
      <c r="R4" s="30"/>
      <c r="S4" s="1"/>
      <c r="T4" s="3" t="str">
        <f>Texte!A15</f>
        <v>Jahr:</v>
      </c>
      <c r="U4" s="360">
        <f>IF(Allg!G6="","",Allg!G6)</f>
        <v>2026</v>
      </c>
      <c r="W4" s="2502"/>
      <c r="X4" s="2502"/>
      <c r="Y4" s="2502"/>
    </row>
    <row r="5" spans="2:25" ht="6" customHeight="1">
      <c r="B5" s="1"/>
      <c r="C5" s="224"/>
      <c r="D5" s="362"/>
      <c r="E5" s="224"/>
      <c r="G5" s="1"/>
      <c r="H5" s="2"/>
      <c r="I5" s="196"/>
      <c r="J5" s="362"/>
      <c r="K5" s="1"/>
      <c r="L5" s="1"/>
      <c r="M5" s="2842"/>
      <c r="N5" s="196"/>
      <c r="O5" s="1"/>
      <c r="P5" s="196"/>
      <c r="Q5" s="362"/>
      <c r="R5" s="43"/>
      <c r="S5" s="1"/>
      <c r="W5" s="2502"/>
      <c r="X5" s="2502"/>
      <c r="Y5" s="2502"/>
    </row>
    <row r="6" spans="2:25" ht="16.5" thickBot="1">
      <c r="B6" s="1"/>
      <c r="C6" s="234" t="str">
        <f>Texte!A843</f>
        <v>Formular C:  Nährstoffbedarf der Kulturen</v>
      </c>
      <c r="D6" s="234"/>
      <c r="E6" s="234"/>
      <c r="F6" s="1"/>
      <c r="G6" s="1"/>
      <c r="H6" s="2"/>
      <c r="I6" s="1"/>
      <c r="J6" s="1"/>
      <c r="K6" s="1"/>
      <c r="L6" s="1"/>
      <c r="M6" s="2842"/>
      <c r="N6" s="1"/>
      <c r="O6" s="1"/>
      <c r="P6" s="1"/>
      <c r="Q6" s="1"/>
      <c r="R6" s="1"/>
      <c r="S6" s="1"/>
      <c r="T6" s="109"/>
      <c r="U6" s="1"/>
      <c r="W6" s="2502"/>
      <c r="X6" s="2502"/>
      <c r="Y6" s="2502"/>
    </row>
    <row r="7" spans="2:25" ht="24" customHeight="1">
      <c r="B7" s="1"/>
      <c r="C7" s="380" t="str">
        <f>Texte!A845</f>
        <v>C1: Bedarf für die Grundfutterproduktion</v>
      </c>
      <c r="D7" s="376"/>
      <c r="E7" s="376"/>
      <c r="F7" s="395"/>
      <c r="G7" s="395"/>
      <c r="H7" s="817" t="str">
        <f>Texte!A846</f>
        <v>Standard-ertrag</v>
      </c>
      <c r="I7" s="818" t="str">
        <f>Texte!A848</f>
        <v>Fläche</v>
      </c>
      <c r="J7" s="817" t="str">
        <f>Texte!A849</f>
        <v>Feld-ertrag</v>
      </c>
      <c r="K7" s="819" t="str">
        <f>Texte!A851</f>
        <v>Menge total</v>
      </c>
      <c r="L7" s="817" t="str">
        <f>Texte!A853</f>
        <v>N-Be-
darf 7]</v>
      </c>
      <c r="M7" s="2847"/>
      <c r="N7" s="1763" t="str">
        <f>Texte!A855</f>
        <v>Netto-Nährstoffbedarf, kg / dt TS</v>
      </c>
      <c r="O7" s="820"/>
      <c r="P7" s="820"/>
      <c r="Q7" s="1764"/>
      <c r="R7" s="1763" t="str">
        <f>Texte!A856</f>
        <v>Netto-Nährstoffbedarf, kg / Jahr</v>
      </c>
      <c r="S7" s="820"/>
      <c r="T7" s="821"/>
      <c r="U7" s="822"/>
      <c r="W7" s="2502"/>
      <c r="X7" s="2502"/>
      <c r="Y7" s="2502"/>
    </row>
    <row r="8" spans="2:25" ht="18" customHeight="1" thickBot="1">
      <c r="B8" s="1"/>
      <c r="C8" s="363"/>
      <c r="D8" s="775"/>
      <c r="E8" s="775"/>
      <c r="F8" s="116"/>
      <c r="G8" s="116"/>
      <c r="H8" s="72" t="str">
        <f>Texte!A847</f>
        <v>dt / TS ha</v>
      </c>
      <c r="I8" s="364" t="s">
        <v>5675</v>
      </c>
      <c r="J8" s="72" t="str">
        <f>Texte!A850</f>
        <v>dt / TS ha</v>
      </c>
      <c r="K8" s="72" t="str">
        <f>Texte!A852</f>
        <v>dt TS</v>
      </c>
      <c r="L8" s="72" t="s">
        <v>1866</v>
      </c>
      <c r="M8" s="2848"/>
      <c r="N8" s="382" t="s">
        <v>1511</v>
      </c>
      <c r="O8" s="71" t="s">
        <v>7029</v>
      </c>
      <c r="P8" s="71" t="s">
        <v>7030</v>
      </c>
      <c r="Q8" s="73" t="s">
        <v>7031</v>
      </c>
      <c r="R8" s="382" t="s">
        <v>1511</v>
      </c>
      <c r="S8" s="71" t="s">
        <v>7029</v>
      </c>
      <c r="T8" s="71" t="s">
        <v>7030</v>
      </c>
      <c r="U8" s="73" t="s">
        <v>7031</v>
      </c>
      <c r="W8" s="2502"/>
      <c r="X8" s="2502"/>
      <c r="Y8" s="2502"/>
    </row>
    <row r="9" spans="2:25" ht="13.5" thickBot="1">
      <c r="B9" s="1"/>
      <c r="C9" s="776" t="str">
        <f>Texte!A857</f>
        <v>Total auf der Futterfläche zu produzierendes Grundfutter (Gfprod),  Übertrag aus B</v>
      </c>
      <c r="D9" s="777"/>
      <c r="E9" s="777"/>
      <c r="F9" s="773"/>
      <c r="G9" s="773"/>
      <c r="H9" s="773"/>
      <c r="I9" s="773"/>
      <c r="J9" s="773"/>
      <c r="K9" s="2574">
        <f>'SB1'!O97</f>
        <v>3620.1550000000002</v>
      </c>
      <c r="L9" s="773"/>
      <c r="M9" s="2849"/>
      <c r="N9" s="773"/>
      <c r="O9" s="773"/>
      <c r="P9" s="773"/>
      <c r="Q9" s="773"/>
      <c r="R9" s="773"/>
      <c r="S9" s="773"/>
      <c r="T9" s="773"/>
      <c r="U9" s="2948"/>
      <c r="W9" s="2884" t="s">
        <v>11742</v>
      </c>
      <c r="X9" s="2502"/>
      <c r="Y9" s="2502"/>
    </row>
    <row r="10" spans="2:25" ht="12.75">
      <c r="B10" s="1"/>
      <c r="C10" s="366" t="str">
        <f>Texte!A858</f>
        <v>Ganzpflanzen-Mais, Silomais</v>
      </c>
      <c r="D10" s="110"/>
      <c r="E10" s="110"/>
      <c r="F10" s="396"/>
      <c r="G10" s="396"/>
      <c r="H10" s="303">
        <v>185</v>
      </c>
      <c r="I10" s="2499">
        <f>Fläche!N27</f>
        <v>2</v>
      </c>
      <c r="J10" s="2498">
        <f>D_Fläche!R47</f>
        <v>185</v>
      </c>
      <c r="K10" s="2498">
        <f t="shared" ref="K10:K16" si="0">I10*J10</f>
        <v>370</v>
      </c>
      <c r="L10" s="2498">
        <f>IF(OR(J10&gt;H10*0.8,J10=0),110,110*(1-(H10-J10)/H10))</f>
        <v>110</v>
      </c>
      <c r="M10" s="2853"/>
      <c r="N10" s="2278"/>
      <c r="O10" s="369">
        <v>0.57999999999999996</v>
      </c>
      <c r="P10" s="369">
        <v>1.3</v>
      </c>
      <c r="Q10" s="369">
        <v>0.13</v>
      </c>
      <c r="R10" s="2498">
        <f>$L10*I10</f>
        <v>220</v>
      </c>
      <c r="S10" s="2522">
        <f>$K10*O10</f>
        <v>214.6</v>
      </c>
      <c r="T10" s="2522">
        <f>$K10*P10</f>
        <v>481</v>
      </c>
      <c r="U10" s="2523">
        <f>$K10*Q10</f>
        <v>48.1</v>
      </c>
      <c r="W10" s="2502"/>
      <c r="X10" s="2502"/>
      <c r="Y10" s="2502">
        <f>D_Fläche!M47</f>
        <v>185</v>
      </c>
    </row>
    <row r="11" spans="2:25" ht="12.75">
      <c r="B11" s="1"/>
      <c r="C11" s="366" t="str">
        <f>Texte!A859</f>
        <v>Ganzpflanzen-Sorghum</v>
      </c>
      <c r="D11" s="110"/>
      <c r="E11" s="110"/>
      <c r="F11" s="396"/>
      <c r="G11" s="396"/>
      <c r="H11" s="303">
        <v>185</v>
      </c>
      <c r="I11" s="2499">
        <f>Fläche!N28</f>
        <v>0</v>
      </c>
      <c r="J11" s="2498">
        <f>D_Fläche!R48</f>
        <v>0</v>
      </c>
      <c r="K11" s="2498">
        <f t="shared" si="0"/>
        <v>0</v>
      </c>
      <c r="L11" s="2572">
        <f>IF(OR(J11&gt;H11*0.8,J11=0),110,110*(1-(H11-J11)/H11))</f>
        <v>110</v>
      </c>
      <c r="M11" s="2853"/>
      <c r="N11" s="2278"/>
      <c r="O11" s="369">
        <v>0.57999999999999996</v>
      </c>
      <c r="P11" s="369">
        <v>1.3</v>
      </c>
      <c r="Q11" s="369">
        <v>0.13</v>
      </c>
      <c r="R11" s="2498">
        <f t="shared" ref="R11:R16" si="1">$L11*I11</f>
        <v>0</v>
      </c>
      <c r="S11" s="2522">
        <f t="shared" ref="S11:S18" si="2">$K11*O11</f>
        <v>0</v>
      </c>
      <c r="T11" s="2522">
        <f t="shared" ref="T11:T18" si="3">$K11*P11</f>
        <v>0</v>
      </c>
      <c r="U11" s="2523">
        <f t="shared" ref="U11:U18" si="4">$K11*Q11</f>
        <v>0</v>
      </c>
      <c r="W11" s="2502"/>
      <c r="X11" s="2502"/>
      <c r="Y11" s="2502">
        <f>D_Fläche!M48</f>
        <v>0</v>
      </c>
    </row>
    <row r="12" spans="2:25" ht="12.75">
      <c r="B12" s="1"/>
      <c r="C12" s="366" t="str">
        <f>Texte!A860</f>
        <v>Futterrüben, ohne Blätter</v>
      </c>
      <c r="D12" s="110"/>
      <c r="E12" s="110"/>
      <c r="F12" s="110"/>
      <c r="G12" s="110"/>
      <c r="H12" s="303">
        <v>175</v>
      </c>
      <c r="I12" s="2499">
        <f>Fläche!N29</f>
        <v>0</v>
      </c>
      <c r="J12" s="2498">
        <f>D_Fläche!R43</f>
        <v>0</v>
      </c>
      <c r="K12" s="2498">
        <f t="shared" si="0"/>
        <v>0</v>
      </c>
      <c r="L12" s="2572">
        <f>IF(OR(J12&gt;H12*0.8,J12=0),100,100*(1-(H12-J12)/H12))</f>
        <v>100</v>
      </c>
      <c r="M12" s="2853"/>
      <c r="N12" s="2278"/>
      <c r="O12" s="369">
        <v>0.5</v>
      </c>
      <c r="P12" s="369">
        <v>1.1200000000000001</v>
      </c>
      <c r="Q12" s="369">
        <v>0.13</v>
      </c>
      <c r="R12" s="2498">
        <f t="shared" si="1"/>
        <v>0</v>
      </c>
      <c r="S12" s="2522">
        <f t="shared" si="2"/>
        <v>0</v>
      </c>
      <c r="T12" s="2522">
        <f t="shared" si="3"/>
        <v>0</v>
      </c>
      <c r="U12" s="2523">
        <f t="shared" si="4"/>
        <v>0</v>
      </c>
      <c r="W12" s="2502"/>
      <c r="X12" s="2502"/>
      <c r="Y12" s="2502">
        <f>D_Fläche!M43</f>
        <v>0</v>
      </c>
    </row>
    <row r="13" spans="2:25" ht="12.75">
      <c r="B13" s="1"/>
      <c r="C13" s="366" t="str">
        <f>Texte!A861</f>
        <v>Getreide-Silage</v>
      </c>
      <c r="D13" s="110"/>
      <c r="E13" s="110"/>
      <c r="F13" s="110"/>
      <c r="G13" s="110"/>
      <c r="H13" s="303">
        <v>106</v>
      </c>
      <c r="I13" s="2499">
        <f>Fläche!E23</f>
        <v>0</v>
      </c>
      <c r="J13" s="2498">
        <f>D_Fläche!R27</f>
        <v>0</v>
      </c>
      <c r="K13" s="2498">
        <f t="shared" si="0"/>
        <v>0</v>
      </c>
      <c r="L13" s="2572">
        <v>110</v>
      </c>
      <c r="M13" s="2853"/>
      <c r="N13" s="2278"/>
      <c r="O13" s="369">
        <f>63/H13</f>
        <v>0.59433962264150941</v>
      </c>
      <c r="P13" s="369">
        <f>102/H13</f>
        <v>0.96226415094339623</v>
      </c>
      <c r="Q13" s="369">
        <f>11/106</f>
        <v>0.10377358490566038</v>
      </c>
      <c r="R13" s="2498">
        <f t="shared" si="1"/>
        <v>0</v>
      </c>
      <c r="S13" s="2522">
        <f t="shared" si="2"/>
        <v>0</v>
      </c>
      <c r="T13" s="2522">
        <f t="shared" si="3"/>
        <v>0</v>
      </c>
      <c r="U13" s="2523">
        <f t="shared" si="4"/>
        <v>0</v>
      </c>
      <c r="W13" s="2502"/>
      <c r="X13" s="2502"/>
      <c r="Y13" s="2502">
        <f>D_Fläche!M27</f>
        <v>0</v>
      </c>
    </row>
    <row r="14" spans="2:25" ht="12.75">
      <c r="B14" s="1"/>
      <c r="C14" s="366" t="str">
        <f>Texte!A862</f>
        <v>Getreide-Silage mit Leguminosen</v>
      </c>
      <c r="D14" s="110"/>
      <c r="E14" s="110"/>
      <c r="F14" s="110"/>
      <c r="G14" s="110"/>
      <c r="H14" s="303">
        <v>106</v>
      </c>
      <c r="I14" s="2499">
        <f>Fläche!E24</f>
        <v>1.6211</v>
      </c>
      <c r="J14" s="2498">
        <f>D_Fläche!R28</f>
        <v>106</v>
      </c>
      <c r="K14" s="2498">
        <f t="shared" si="0"/>
        <v>171.8366</v>
      </c>
      <c r="L14" s="2572">
        <v>80</v>
      </c>
      <c r="M14" s="2853"/>
      <c r="N14" s="2278"/>
      <c r="O14" s="369">
        <f>60/H14</f>
        <v>0.56603773584905659</v>
      </c>
      <c r="P14" s="369">
        <f>120/H14</f>
        <v>1.1320754716981132</v>
      </c>
      <c r="Q14" s="369">
        <f>10/H14</f>
        <v>9.4339622641509441E-2</v>
      </c>
      <c r="R14" s="2498">
        <f t="shared" si="1"/>
        <v>129.68799999999999</v>
      </c>
      <c r="S14" s="2522">
        <f t="shared" si="2"/>
        <v>97.266000000000005</v>
      </c>
      <c r="T14" s="2522">
        <f t="shared" si="3"/>
        <v>194.53200000000001</v>
      </c>
      <c r="U14" s="2523">
        <f t="shared" si="4"/>
        <v>16.211000000000002</v>
      </c>
      <c r="W14" s="2502"/>
      <c r="X14" s="2502"/>
      <c r="Y14" s="2502">
        <f>D_Fläche!M28</f>
        <v>106</v>
      </c>
    </row>
    <row r="15" spans="2:25" ht="12.75">
      <c r="B15" s="1"/>
      <c r="C15" s="366" t="str">
        <f>Texte!A863</f>
        <v>Grünmais, Zweitkultur</v>
      </c>
      <c r="D15" s="110"/>
      <c r="E15" s="110"/>
      <c r="F15" s="110"/>
      <c r="G15" s="110"/>
      <c r="H15" s="303">
        <v>60</v>
      </c>
      <c r="I15" s="2499">
        <f>Fläche!N44</f>
        <v>0</v>
      </c>
      <c r="J15" s="2498">
        <f>D_Fläche!R105</f>
        <v>0</v>
      </c>
      <c r="K15" s="2498">
        <f t="shared" si="0"/>
        <v>0</v>
      </c>
      <c r="L15" s="2572">
        <f>IF(OR(J15&gt;H15*0.8,J15=0),70,70*(1-(H15-J15)/H15))</f>
        <v>70</v>
      </c>
      <c r="M15" s="2853"/>
      <c r="N15" s="2278"/>
      <c r="O15" s="369">
        <v>0.65</v>
      </c>
      <c r="P15" s="369">
        <v>2.7</v>
      </c>
      <c r="Q15" s="369">
        <v>0.1</v>
      </c>
      <c r="R15" s="2498">
        <f t="shared" si="1"/>
        <v>0</v>
      </c>
      <c r="S15" s="2522">
        <f t="shared" si="2"/>
        <v>0</v>
      </c>
      <c r="T15" s="2522">
        <f t="shared" si="3"/>
        <v>0</v>
      </c>
      <c r="U15" s="2523">
        <f t="shared" si="4"/>
        <v>0</v>
      </c>
      <c r="W15" s="2502"/>
      <c r="X15" s="2502"/>
      <c r="Y15" s="2956">
        <f>D_Fläche!M105</f>
        <v>0</v>
      </c>
    </row>
    <row r="16" spans="2:25" ht="12.75">
      <c r="B16" s="1"/>
      <c r="C16" s="366" t="str">
        <f>Texte!A864</f>
        <v>Ganzpflanzen-Sorghum, Zweitkultur</v>
      </c>
      <c r="D16" s="110"/>
      <c r="E16" s="110"/>
      <c r="F16" s="110"/>
      <c r="G16" s="110"/>
      <c r="H16" s="303">
        <v>60</v>
      </c>
      <c r="I16" s="2499">
        <f>Fläche!N45</f>
        <v>0</v>
      </c>
      <c r="J16" s="2498">
        <f>D_Fläche!R106</f>
        <v>0</v>
      </c>
      <c r="K16" s="2498">
        <f t="shared" si="0"/>
        <v>0</v>
      </c>
      <c r="L16" s="2572">
        <f>IF(OR(J16&gt;H16*0.8,J16=0),70,70*(1-(H16-J16)/H16))</f>
        <v>70</v>
      </c>
      <c r="M16" s="2853"/>
      <c r="N16" s="2278"/>
      <c r="O16" s="369">
        <v>0.65</v>
      </c>
      <c r="P16" s="369">
        <v>2.7</v>
      </c>
      <c r="Q16" s="369">
        <v>0.1</v>
      </c>
      <c r="R16" s="2498">
        <f t="shared" si="1"/>
        <v>0</v>
      </c>
      <c r="S16" s="2522">
        <f t="shared" si="2"/>
        <v>0</v>
      </c>
      <c r="T16" s="2522">
        <f t="shared" si="3"/>
        <v>0</v>
      </c>
      <c r="U16" s="2523">
        <f t="shared" si="4"/>
        <v>0</v>
      </c>
      <c r="W16" s="2502"/>
      <c r="X16" s="2502"/>
      <c r="Y16" s="2956">
        <f>D_Fläche!M106</f>
        <v>0</v>
      </c>
    </row>
    <row r="17" spans="2:25" ht="12.75">
      <c r="B17" s="1"/>
      <c r="C17" s="366" t="str">
        <f>Texte!A865</f>
        <v>Verfüttertes Stroh, nur betriebseigenes 8]</v>
      </c>
      <c r="D17" s="110"/>
      <c r="E17" s="110"/>
      <c r="F17" s="110"/>
      <c r="G17" s="110"/>
      <c r="H17" s="303">
        <v>40</v>
      </c>
      <c r="I17" s="2577"/>
      <c r="J17" s="2524"/>
      <c r="K17" s="2575"/>
      <c r="L17" s="2793" t="s">
        <v>11963</v>
      </c>
      <c r="M17" s="2853"/>
      <c r="N17" s="2278"/>
      <c r="O17" s="369">
        <v>0.22</v>
      </c>
      <c r="P17" s="369">
        <v>0.92</v>
      </c>
      <c r="Q17" s="369">
        <v>0.13</v>
      </c>
      <c r="R17" s="2498"/>
      <c r="S17" s="2522">
        <f t="shared" si="2"/>
        <v>0</v>
      </c>
      <c r="T17" s="2522">
        <f t="shared" si="3"/>
        <v>0</v>
      </c>
      <c r="U17" s="2523">
        <f t="shared" si="4"/>
        <v>0</v>
      </c>
      <c r="W17" s="2502"/>
      <c r="X17" s="2502"/>
      <c r="Y17" s="2502"/>
    </row>
    <row r="18" spans="2:25" ht="12.75">
      <c r="B18" s="1"/>
      <c r="C18" s="366" t="str">
        <f>Texte!A866</f>
        <v xml:space="preserve">Verfütterte Rübenblätter, nur betriebseigene 8] </v>
      </c>
      <c r="D18" s="110"/>
      <c r="E18" s="110"/>
      <c r="F18" s="110"/>
      <c r="G18" s="110"/>
      <c r="H18" s="303">
        <v>50</v>
      </c>
      <c r="I18" s="2578"/>
      <c r="J18" s="2527"/>
      <c r="K18" s="2575"/>
      <c r="L18" s="2791"/>
      <c r="M18" s="2853"/>
      <c r="N18" s="2278"/>
      <c r="O18" s="369">
        <v>0.52</v>
      </c>
      <c r="P18" s="369">
        <v>2.62</v>
      </c>
      <c r="Q18" s="369">
        <v>0.6</v>
      </c>
      <c r="R18" s="2498"/>
      <c r="S18" s="2522">
        <f t="shared" si="2"/>
        <v>0</v>
      </c>
      <c r="T18" s="2522">
        <f t="shared" si="3"/>
        <v>0</v>
      </c>
      <c r="U18" s="2523">
        <f t="shared" si="4"/>
        <v>0</v>
      </c>
      <c r="W18" s="2502"/>
      <c r="X18" s="2502"/>
      <c r="Y18" s="2502"/>
    </row>
    <row r="19" spans="2:25" ht="12.75">
      <c r="B19" s="1"/>
      <c r="C19" s="366" t="str">
        <f>Texte!A867</f>
        <v>Zwischenfutter, ohne Kunstwiesen</v>
      </c>
      <c r="D19" s="110"/>
      <c r="E19" s="110"/>
      <c r="F19" s="110"/>
      <c r="G19" s="110"/>
      <c r="H19" s="303">
        <f>D_Fläche!V107</f>
        <v>25</v>
      </c>
      <c r="I19" s="2499">
        <f>Fläche!N46</f>
        <v>0</v>
      </c>
      <c r="J19" s="2498">
        <f>D_Fläche!R107</f>
        <v>0</v>
      </c>
      <c r="K19" s="2498">
        <f>I19*J19</f>
        <v>0</v>
      </c>
      <c r="L19" s="2791"/>
      <c r="M19" s="2853">
        <f>D_Fläche!V107</f>
        <v>25</v>
      </c>
      <c r="N19" s="304">
        <v>1.2</v>
      </c>
      <c r="O19" s="369">
        <v>0.96</v>
      </c>
      <c r="P19" s="369">
        <v>2.88</v>
      </c>
      <c r="Q19" s="369">
        <v>0.28999999999999998</v>
      </c>
      <c r="R19" s="2498">
        <f t="shared" ref="R19:U23" si="5">$K19*N19</f>
        <v>0</v>
      </c>
      <c r="S19" s="2522">
        <f t="shared" si="5"/>
        <v>0</v>
      </c>
      <c r="T19" s="2522">
        <f t="shared" si="5"/>
        <v>0</v>
      </c>
      <c r="U19" s="2523">
        <f t="shared" si="5"/>
        <v>0</v>
      </c>
      <c r="W19" s="2502"/>
      <c r="X19" s="2502"/>
      <c r="Y19" s="2956">
        <f>D_Fläche!M107</f>
        <v>0</v>
      </c>
    </row>
    <row r="20" spans="2:25" ht="12.2" customHeight="1">
      <c r="B20" s="1"/>
      <c r="C20" s="366" t="str">
        <f>Texte!A868</f>
        <v>Zwischenfutter (KW), Aeugstlen, Frühjahrsschnitt vor Umbruch</v>
      </c>
      <c r="D20" s="110"/>
      <c r="E20" s="110"/>
      <c r="F20" s="110"/>
      <c r="G20" s="110"/>
      <c r="H20" s="303" t="s">
        <v>5668</v>
      </c>
      <c r="I20" s="2499">
        <f>SUM(Fläche!N47:N49)</f>
        <v>0</v>
      </c>
      <c r="J20" s="2498">
        <f>D_Fläche!R108</f>
        <v>0</v>
      </c>
      <c r="K20" s="2498">
        <f>I20*J20</f>
        <v>0</v>
      </c>
      <c r="L20" s="2791"/>
      <c r="M20" s="2947">
        <v>50</v>
      </c>
      <c r="N20" s="304">
        <v>1.2</v>
      </c>
      <c r="O20" s="369">
        <v>0.82</v>
      </c>
      <c r="P20" s="369">
        <v>2.7</v>
      </c>
      <c r="Q20" s="369">
        <v>0.25</v>
      </c>
      <c r="R20" s="2498">
        <f t="shared" si="5"/>
        <v>0</v>
      </c>
      <c r="S20" s="2522">
        <f t="shared" si="5"/>
        <v>0</v>
      </c>
      <c r="T20" s="2522">
        <f t="shared" si="5"/>
        <v>0</v>
      </c>
      <c r="U20" s="2523">
        <f t="shared" si="5"/>
        <v>0</v>
      </c>
      <c r="W20" s="2884"/>
      <c r="X20" s="2502"/>
      <c r="Y20" s="2956">
        <f>D_Fläche!M108</f>
        <v>0</v>
      </c>
    </row>
    <row r="21" spans="2:25" ht="12.2" customHeight="1">
      <c r="B21" s="1"/>
      <c r="C21" s="366" t="str">
        <f>Texte!A869</f>
        <v>Samenproduktion: Leguminosen Reinbestand</v>
      </c>
      <c r="D21" s="110"/>
      <c r="E21" s="110"/>
      <c r="F21" s="110"/>
      <c r="G21" s="110"/>
      <c r="H21" s="303">
        <v>120</v>
      </c>
      <c r="I21" s="2499">
        <f>Fläche!N23</f>
        <v>0</v>
      </c>
      <c r="J21" s="2498">
        <f>D_Fläche!R100</f>
        <v>0</v>
      </c>
      <c r="K21" s="2498">
        <f>I21*J21</f>
        <v>0</v>
      </c>
      <c r="L21" s="2791"/>
      <c r="M21" s="2853">
        <f>D_Fläche!V100</f>
        <v>120</v>
      </c>
      <c r="N21" s="304" t="s">
        <v>1869</v>
      </c>
      <c r="O21" s="369">
        <v>0.71</v>
      </c>
      <c r="P21" s="369">
        <v>2.2999999999999998</v>
      </c>
      <c r="Q21" s="369">
        <v>0.25</v>
      </c>
      <c r="R21" s="2498">
        <f t="shared" si="5"/>
        <v>0</v>
      </c>
      <c r="S21" s="2522">
        <f t="shared" si="5"/>
        <v>0</v>
      </c>
      <c r="T21" s="2522">
        <f t="shared" si="5"/>
        <v>0</v>
      </c>
      <c r="U21" s="2523">
        <f t="shared" si="5"/>
        <v>0</v>
      </c>
      <c r="W21" s="2502"/>
      <c r="X21" s="2502"/>
      <c r="Y21" s="2956">
        <f>D_Fläche!M100</f>
        <v>0</v>
      </c>
    </row>
    <row r="22" spans="2:25" ht="12.2" customHeight="1">
      <c r="B22" s="1"/>
      <c r="C22" s="366" t="str">
        <f>Texte!A870</f>
        <v>Samenproduktion: Gras Reinbestand</v>
      </c>
      <c r="D22" s="110"/>
      <c r="E22" s="110"/>
      <c r="F22" s="110"/>
      <c r="G22" s="110"/>
      <c r="H22" s="303">
        <v>120</v>
      </c>
      <c r="I22" s="2499">
        <f>Fläche!N24</f>
        <v>0</v>
      </c>
      <c r="J22" s="2498">
        <f>D_Fläche!R101</f>
        <v>0</v>
      </c>
      <c r="K22" s="2498">
        <f>I22*J22</f>
        <v>0</v>
      </c>
      <c r="L22" s="2791"/>
      <c r="M22" s="2853">
        <f>D_Fläche!V101</f>
        <v>180</v>
      </c>
      <c r="N22" s="304">
        <v>1.7</v>
      </c>
      <c r="O22" s="369">
        <v>0.71</v>
      </c>
      <c r="P22" s="369">
        <v>2.2999999999999998</v>
      </c>
      <c r="Q22" s="369">
        <v>0.25</v>
      </c>
      <c r="R22" s="2498">
        <f t="shared" si="5"/>
        <v>0</v>
      </c>
      <c r="S22" s="2522">
        <f t="shared" si="5"/>
        <v>0</v>
      </c>
      <c r="T22" s="2522">
        <f t="shared" si="5"/>
        <v>0</v>
      </c>
      <c r="U22" s="2523">
        <f t="shared" si="5"/>
        <v>0</v>
      </c>
      <c r="W22" s="2502"/>
      <c r="X22" s="2502"/>
      <c r="Y22" s="2956">
        <f>D_Fläche!M101</f>
        <v>0</v>
      </c>
    </row>
    <row r="23" spans="2:25" ht="12.75">
      <c r="B23" s="1"/>
      <c r="C23" s="778"/>
      <c r="D23" s="246"/>
      <c r="E23" s="246"/>
      <c r="F23" s="110"/>
      <c r="G23" s="110"/>
      <c r="H23" s="429"/>
      <c r="I23" s="2578"/>
      <c r="J23" s="2527"/>
      <c r="K23" s="2576"/>
      <c r="L23" s="2791"/>
      <c r="M23" s="2853"/>
      <c r="N23" s="2279"/>
      <c r="O23" s="389"/>
      <c r="P23" s="779"/>
      <c r="Q23" s="389"/>
      <c r="R23" s="2498">
        <f t="shared" si="5"/>
        <v>0</v>
      </c>
      <c r="S23" s="2522">
        <f t="shared" si="5"/>
        <v>0</v>
      </c>
      <c r="T23" s="2522">
        <f t="shared" si="5"/>
        <v>0</v>
      </c>
      <c r="U23" s="2523">
        <f t="shared" si="5"/>
        <v>0</v>
      </c>
      <c r="W23" s="2502"/>
      <c r="X23" s="2502"/>
      <c r="Y23" s="2502"/>
    </row>
    <row r="24" spans="2:25" ht="12.75" customHeight="1">
      <c r="B24" s="1"/>
      <c r="C24" s="366" t="str">
        <f>Texte!A871</f>
        <v>Extensive Wiesen</v>
      </c>
      <c r="D24" s="110"/>
      <c r="E24" s="110"/>
      <c r="F24" s="396"/>
      <c r="G24" s="396"/>
      <c r="H24" s="303" t="s">
        <v>3393</v>
      </c>
      <c r="I24" s="2499">
        <f>SUM(Fläche!N10,Fläche!N37)</f>
        <v>14.1776</v>
      </c>
      <c r="J24" s="2498">
        <f>D_Fläche!R87</f>
        <v>24.999999999999996</v>
      </c>
      <c r="K24" s="2498">
        <f>I24*J24</f>
        <v>354.43999999999994</v>
      </c>
      <c r="L24" s="2793" t="s">
        <v>11964</v>
      </c>
      <c r="M24" s="2853">
        <v>30</v>
      </c>
      <c r="N24" s="2280"/>
      <c r="O24" s="397"/>
      <c r="P24" s="397"/>
      <c r="Q24" s="397"/>
      <c r="R24" s="2524"/>
      <c r="S24" s="2525"/>
      <c r="T24" s="2525"/>
      <c r="U24" s="2526"/>
      <c r="W24" s="2502"/>
      <c r="X24" s="2502"/>
      <c r="Y24" s="2873"/>
    </row>
    <row r="25" spans="2:25" ht="12.75" customHeight="1">
      <c r="B25" s="1"/>
      <c r="C25" s="366" t="str">
        <f>Texte!A872</f>
        <v>Übrige Wiesen mit Düngeverbot</v>
      </c>
      <c r="D25" s="110"/>
      <c r="E25" s="110"/>
      <c r="F25" s="110"/>
      <c r="G25" s="110"/>
      <c r="H25" s="303" t="s">
        <v>3393</v>
      </c>
      <c r="I25" s="2499">
        <f>Fläche!N12</f>
        <v>0</v>
      </c>
      <c r="J25" s="2498">
        <f>D_Fläche!R89</f>
        <v>0</v>
      </c>
      <c r="K25" s="2498">
        <f>I25*J25</f>
        <v>0</v>
      </c>
      <c r="L25" s="2793" t="s">
        <v>11964</v>
      </c>
      <c r="M25" s="2853">
        <v>30</v>
      </c>
      <c r="N25" s="2281"/>
      <c r="O25" s="375"/>
      <c r="P25" s="375"/>
      <c r="Q25" s="375"/>
      <c r="R25" s="2527"/>
      <c r="S25" s="2528"/>
      <c r="T25" s="2528"/>
      <c r="U25" s="2529"/>
      <c r="W25" s="2896"/>
      <c r="X25" s="2502"/>
      <c r="Y25" s="2873"/>
    </row>
    <row r="26" spans="2:25" ht="12.75" customHeight="1" thickBot="1">
      <c r="B26" s="1"/>
      <c r="C26" s="366" t="str">
        <f>Texte!A873</f>
        <v>Extensive Weiden, Waldweiden</v>
      </c>
      <c r="D26" s="110"/>
      <c r="E26" s="110"/>
      <c r="F26" s="396"/>
      <c r="G26" s="396"/>
      <c r="H26" s="303" t="s">
        <v>3395</v>
      </c>
      <c r="I26" s="2499">
        <f>SUM(Fläche!N14,Fläche!N15)</f>
        <v>2.2204000000000002</v>
      </c>
      <c r="J26" s="2681">
        <f>D_Fläche!R92</f>
        <v>20</v>
      </c>
      <c r="K26" s="2498">
        <f>I26*J26</f>
        <v>44.408000000000001</v>
      </c>
      <c r="L26" s="2793" t="s">
        <v>11963</v>
      </c>
      <c r="M26" s="2853">
        <v>25</v>
      </c>
      <c r="N26" s="2798">
        <v>0.5</v>
      </c>
      <c r="O26" s="2794">
        <v>0.5</v>
      </c>
      <c r="P26" s="2794">
        <v>1.2</v>
      </c>
      <c r="Q26" s="2794">
        <v>0.2</v>
      </c>
      <c r="R26" s="2498">
        <f t="shared" ref="R26:U29" si="6">$K26*N26</f>
        <v>22.204000000000001</v>
      </c>
      <c r="S26" s="2522">
        <f t="shared" si="6"/>
        <v>22.204000000000001</v>
      </c>
      <c r="T26" s="2522">
        <f t="shared" si="6"/>
        <v>53.2896</v>
      </c>
      <c r="U26" s="2523">
        <f t="shared" si="6"/>
        <v>8.8816000000000006</v>
      </c>
      <c r="W26" s="2885"/>
      <c r="X26" s="2502"/>
      <c r="Y26" s="2873"/>
    </row>
    <row r="27" spans="2:25" ht="12.75">
      <c r="B27" s="1"/>
      <c r="C27" s="366" t="str">
        <f>Texte!A874</f>
        <v>Wenig intensive Wiesen und Weiden, 1-3 Nutzungen</v>
      </c>
      <c r="D27" s="110"/>
      <c r="E27" s="110"/>
      <c r="F27" s="110"/>
      <c r="G27" s="110"/>
      <c r="H27" s="303" t="s">
        <v>6050</v>
      </c>
      <c r="I27" s="2499">
        <f>SUM(Fläche!N11,Fläche!N16)</f>
        <v>19.5747</v>
      </c>
      <c r="J27" s="3068">
        <f>IF(I27&gt;0,IF(AND(I29=0,I28=0,$K$9&gt;0),($K$9-SUM(K10:K26))/I27,D_Fläche!R88),0)</f>
        <v>49.969348189244272</v>
      </c>
      <c r="K27" s="3065">
        <f>I27*J27</f>
        <v>978.13499999999988</v>
      </c>
      <c r="L27" s="2793" t="s">
        <v>11963</v>
      </c>
      <c r="M27" s="2853">
        <f>D_Fläche!V88</f>
        <v>65</v>
      </c>
      <c r="N27" s="2798">
        <v>0.5</v>
      </c>
      <c r="O27" s="2794">
        <v>0.56999999999999995</v>
      </c>
      <c r="P27" s="2794">
        <v>1.7</v>
      </c>
      <c r="Q27" s="2794">
        <v>0.15</v>
      </c>
      <c r="R27" s="2498">
        <f t="shared" si="6"/>
        <v>489.06749999999994</v>
      </c>
      <c r="S27" s="2522">
        <f t="shared" si="6"/>
        <v>557.53694999999993</v>
      </c>
      <c r="T27" s="2522">
        <f t="shared" si="6"/>
        <v>1662.8294999999998</v>
      </c>
      <c r="U27" s="2523">
        <f t="shared" si="6"/>
        <v>146.72024999999996</v>
      </c>
      <c r="W27" s="2885"/>
      <c r="X27" s="3063">
        <f>IF(AND(M27-J27 &gt; -eps, J27 &gt; -eps),1,0)</f>
        <v>1</v>
      </c>
      <c r="Y27" s="2873"/>
    </row>
    <row r="28" spans="2:25" ht="12.75" customHeight="1">
      <c r="B28" s="1"/>
      <c r="C28" s="366" t="str">
        <f>Texte!A875</f>
        <v>Mittelintensive Wiesen und Weiden, 1-5 Nutzungen</v>
      </c>
      <c r="D28" s="110"/>
      <c r="E28" s="110"/>
      <c r="F28" s="110"/>
      <c r="G28" s="110"/>
      <c r="H28" s="303" t="s">
        <v>6051</v>
      </c>
      <c r="I28" s="2521">
        <f>SUM(Fläche!N17:'Fläche'!N18,Fläche!N21)</f>
        <v>0</v>
      </c>
      <c r="J28" s="3069">
        <f>IF(I28&gt;0,IF(AND(I29=0,$K$9&gt;0),($K$9-SUM(K10:K27))/I28,D_Fläche!R94),0)</f>
        <v>0</v>
      </c>
      <c r="K28" s="3066">
        <f>I28*J28</f>
        <v>0</v>
      </c>
      <c r="L28" s="2791"/>
      <c r="M28" s="2853">
        <v>100</v>
      </c>
      <c r="N28" s="2798">
        <v>0.95</v>
      </c>
      <c r="O28" s="2794">
        <v>0.71</v>
      </c>
      <c r="P28" s="2794">
        <v>2.2999999999999998</v>
      </c>
      <c r="Q28" s="2794">
        <v>0.2</v>
      </c>
      <c r="R28" s="2498">
        <f t="shared" si="6"/>
        <v>0</v>
      </c>
      <c r="S28" s="2522">
        <f t="shared" si="6"/>
        <v>0</v>
      </c>
      <c r="T28" s="2522">
        <f t="shared" si="6"/>
        <v>0</v>
      </c>
      <c r="U28" s="2523">
        <f t="shared" si="6"/>
        <v>0</v>
      </c>
      <c r="W28" s="2885"/>
      <c r="X28" s="3063">
        <f>IF(AND(M28-J28 &gt; -eps, J28 &gt; -eps),1,0)</f>
        <v>1</v>
      </c>
      <c r="Y28" s="2873"/>
    </row>
    <row r="29" spans="2:25" ht="12.75" customHeight="1" thickBot="1">
      <c r="B29" s="1"/>
      <c r="C29" s="390" t="str">
        <f>Texte!A876</f>
        <v>Intensive Wiesen und Weiden, 2-6 Nutzungen</v>
      </c>
      <c r="D29" s="392"/>
      <c r="E29" s="392"/>
      <c r="F29" s="392"/>
      <c r="G29" s="392"/>
      <c r="H29" s="144" t="s">
        <v>6052</v>
      </c>
      <c r="I29" s="2570">
        <f>SUM(Fläche!N19,Fläche!N20,Fläche!N22,Fläche!N25,Fläche!N13)</f>
        <v>19</v>
      </c>
      <c r="J29" s="3070">
        <f>IF(I29&gt;0,($K$9-SUM(K10:K28))/I29,0)</f>
        <v>89.543968421052654</v>
      </c>
      <c r="K29" s="3067">
        <f>$K$9-SUM(K10:K28)</f>
        <v>1701.3354000000004</v>
      </c>
      <c r="L29" s="2792"/>
      <c r="M29" s="2946">
        <v>135</v>
      </c>
      <c r="N29" s="2799">
        <v>1.2</v>
      </c>
      <c r="O29" s="2794">
        <v>0.82</v>
      </c>
      <c r="P29" s="2794">
        <v>2.7</v>
      </c>
      <c r="Q29" s="2794">
        <v>0.25</v>
      </c>
      <c r="R29" s="2681">
        <f t="shared" si="6"/>
        <v>2041.6024800000005</v>
      </c>
      <c r="S29" s="2682">
        <f t="shared" si="6"/>
        <v>1395.0950280000002</v>
      </c>
      <c r="T29" s="2682">
        <f t="shared" si="6"/>
        <v>4593.6055800000013</v>
      </c>
      <c r="U29" s="2957">
        <f t="shared" si="6"/>
        <v>425.3338500000001</v>
      </c>
      <c r="V29" s="999"/>
      <c r="W29" s="2885"/>
      <c r="X29" s="3063">
        <f>IF(AND(ErtragInt &lt; eps, ABS(K29) &gt; eps),0,IF(AND(SUM(ErtragInt,-$M$29) &lt; eps, ErtragInt &gt; -eps),1,0))</f>
        <v>1</v>
      </c>
      <c r="Y29" s="2873"/>
    </row>
    <row r="30" spans="2:25" ht="4.7" customHeight="1" thickBot="1">
      <c r="B30" s="1"/>
      <c r="C30" s="80"/>
      <c r="D30" s="80"/>
      <c r="E30" s="80"/>
      <c r="F30" s="80"/>
      <c r="G30" s="80"/>
      <c r="H30" s="80"/>
      <c r="I30" s="2579"/>
      <c r="J30" s="2533"/>
      <c r="K30" s="2545"/>
      <c r="L30" s="80"/>
      <c r="M30" s="2850"/>
      <c r="N30" s="80"/>
      <c r="O30" s="131"/>
      <c r="P30" s="131"/>
      <c r="Q30" s="131"/>
      <c r="R30" s="2958"/>
      <c r="S30" s="2958"/>
      <c r="T30" s="2958"/>
      <c r="U30" s="2958"/>
      <c r="W30" s="2502"/>
      <c r="X30" s="2502"/>
      <c r="Y30" s="2873"/>
    </row>
    <row r="31" spans="2:25" ht="16.5" thickBot="1">
      <c r="B31" s="1"/>
      <c r="C31" s="43" t="str">
        <f>Texte!A899</f>
        <v>C1: Zwischentotal Futterflächen</v>
      </c>
      <c r="D31" s="43"/>
      <c r="E31" s="43"/>
      <c r="F31" s="80"/>
      <c r="H31" s="555"/>
      <c r="I31" s="2573">
        <f>SUM(I10:I14,I21:I22,I24:I29)</f>
        <v>58.593800000000002</v>
      </c>
      <c r="J31" s="196"/>
      <c r="K31" s="2571">
        <f>SUM(K17,K24:K27)</f>
        <v>1376.9829999999997</v>
      </c>
      <c r="L31" s="2789" t="str">
        <f>Texte!A877</f>
        <v>GFnährstoffarm</v>
      </c>
      <c r="M31" s="2851"/>
      <c r="N31" s="1"/>
      <c r="O31" s="80"/>
      <c r="P31" s="138"/>
      <c r="Q31" s="379" t="s">
        <v>3626</v>
      </c>
      <c r="R31" s="2534">
        <f>SUM(R10:R29)</f>
        <v>2902.5619800000004</v>
      </c>
      <c r="S31" s="2535">
        <f>SUM(S10:S29)</f>
        <v>2286.7019780000001</v>
      </c>
      <c r="T31" s="2535">
        <f>SUM(T10:T29)</f>
        <v>6985.2566800000013</v>
      </c>
      <c r="U31" s="2536">
        <f>SUM(U10:U29)</f>
        <v>645.24670000000015</v>
      </c>
      <c r="W31" s="2950"/>
      <c r="X31" s="3064">
        <f>PRODUCT(X27:X29)</f>
        <v>1</v>
      </c>
      <c r="Y31" s="2949" t="s">
        <v>12093</v>
      </c>
    </row>
    <row r="32" spans="2:25" ht="12.2" customHeight="1">
      <c r="B32" s="1"/>
      <c r="C32" s="48"/>
      <c r="D32" s="48"/>
      <c r="E32" s="48"/>
      <c r="F32" s="80"/>
      <c r="G32" s="80"/>
      <c r="H32" s="138"/>
      <c r="I32" s="2951">
        <f>IF(X31=0,Texte!A878,0)</f>
        <v>0</v>
      </c>
      <c r="J32" s="3091">
        <f>IF(ABS(J11)&gt;0,IF(OR(AND(J10&gt;0,J10&lt;TS_Ertrag*1.25),AND(J11&gt;0,J11&lt;TS_Ertrag*1.25)),Texte!A881,0),0)</f>
        <v>0</v>
      </c>
      <c r="K32" s="326"/>
      <c r="L32" s="138"/>
      <c r="M32" s="2851"/>
      <c r="N32" s="138"/>
      <c r="O32" s="49"/>
      <c r="P32" s="326"/>
      <c r="Q32" s="326"/>
      <c r="R32" s="326"/>
      <c r="S32" s="326"/>
      <c r="T32" s="80"/>
      <c r="U32" s="80"/>
      <c r="W32" s="3090"/>
      <c r="X32" s="3090"/>
      <c r="Y32" s="3090"/>
    </row>
    <row r="33" spans="2:25" ht="12.75" customHeight="1">
      <c r="B33" s="1"/>
      <c r="C33" s="48" t="str">
        <f>Texte!A882</f>
        <v>T: Innerbetrieblicher Nährstofftransfer für Futter von ungedüngten Wiesen (GFT)</v>
      </c>
      <c r="D33" s="48"/>
      <c r="E33" s="48"/>
      <c r="F33" s="80"/>
      <c r="G33" s="80"/>
      <c r="H33" s="138"/>
      <c r="I33" s="213"/>
      <c r="J33" s="196"/>
      <c r="K33" s="2952">
        <f>IF(SUM(K24:K25)=0,0,IF(MIN(SUM(K24:K25)-'SB1'!I79,K9/4)&gt;0,MIN('SB1'!K41,MIN(SUM(K24:K25)-'SB1'!I79,K9/4)),0))</f>
        <v>354.43999999999994</v>
      </c>
      <c r="L33" s="2790" t="str">
        <f>Texte!A883</f>
        <v>dt TS GFT</v>
      </c>
      <c r="M33" s="2851"/>
      <c r="N33" s="325"/>
      <c r="O33" s="402">
        <v>0.4</v>
      </c>
      <c r="P33" s="138"/>
      <c r="Q33" s="379"/>
      <c r="R33" s="326"/>
      <c r="S33" s="2952">
        <f>K33*O33</f>
        <v>141.77599999999998</v>
      </c>
      <c r="T33" s="326"/>
      <c r="U33" s="326"/>
      <c r="W33" s="2886"/>
      <c r="X33" s="2502"/>
      <c r="Y33" s="2502"/>
    </row>
    <row r="34" spans="2:25" ht="7.5" customHeight="1" thickBot="1">
      <c r="B34" s="1"/>
      <c r="C34" s="234"/>
      <c r="D34" s="234"/>
      <c r="E34" s="234"/>
      <c r="F34" s="1"/>
      <c r="G34" s="1"/>
      <c r="H34" s="2"/>
      <c r="I34" s="1"/>
      <c r="J34" s="1"/>
      <c r="K34" s="1"/>
      <c r="L34" s="1"/>
      <c r="M34" s="2842"/>
      <c r="N34" s="1"/>
      <c r="O34" s="1"/>
      <c r="P34" s="1"/>
      <c r="Q34" s="1"/>
      <c r="R34" s="1"/>
      <c r="S34" s="1"/>
      <c r="T34" s="109"/>
      <c r="U34" s="1"/>
      <c r="W34" s="2502"/>
      <c r="X34" s="2502"/>
      <c r="Y34" s="2502"/>
    </row>
    <row r="35" spans="2:25" ht="24" customHeight="1">
      <c r="B35" s="1"/>
      <c r="C35" s="815" t="str">
        <f>Texte!A884</f>
        <v>C2: Bedarf der Ackerkulturen</v>
      </c>
      <c r="D35" s="131"/>
      <c r="E35" s="131"/>
      <c r="F35" s="131"/>
      <c r="G35" s="131"/>
      <c r="H35" s="817" t="str">
        <f>Texte!A885</f>
        <v>Standard-ertrag</v>
      </c>
      <c r="I35" s="816" t="str">
        <f>Texte!A886</f>
        <v>Fläche</v>
      </c>
      <c r="J35" s="817" t="str">
        <f>Texte!A887</f>
        <v>Feld-ertrag</v>
      </c>
      <c r="K35" s="819" t="str">
        <f>Texte!A888</f>
        <v>Menge total</v>
      </c>
      <c r="L35" s="817" t="str">
        <f>Texte!A889</f>
        <v>N-Be
darf 7]</v>
      </c>
      <c r="M35" s="2847"/>
      <c r="N35" s="1763" t="str">
        <f>Texte!A890</f>
        <v>Netto-Nährstoffbedarf, kg / ha, kg / dt</v>
      </c>
      <c r="O35" s="820"/>
      <c r="P35" s="820"/>
      <c r="Q35" s="1764"/>
      <c r="R35" s="1763" t="str">
        <f>Texte!A891</f>
        <v>Netto-Nährstoffbedarf, kg / Jahr</v>
      </c>
      <c r="S35" s="820"/>
      <c r="T35" s="821"/>
      <c r="U35" s="822"/>
      <c r="W35" s="2502"/>
      <c r="X35" s="2502"/>
      <c r="Y35" s="2502"/>
    </row>
    <row r="36" spans="2:25" ht="18" customHeight="1" thickBot="1">
      <c r="B36" s="1"/>
      <c r="C36" s="363"/>
      <c r="D36" s="775"/>
      <c r="E36" s="775"/>
      <c r="F36" s="116"/>
      <c r="G36" s="116"/>
      <c r="H36" s="2644" t="s">
        <v>11045</v>
      </c>
      <c r="I36" s="364" t="s">
        <v>5675</v>
      </c>
      <c r="J36" s="2644" t="s">
        <v>11045</v>
      </c>
      <c r="K36" s="72" t="s">
        <v>345</v>
      </c>
      <c r="L36" s="72" t="s">
        <v>1866</v>
      </c>
      <c r="M36" s="2848"/>
      <c r="N36" s="382" t="s">
        <v>1511</v>
      </c>
      <c r="O36" s="71" t="s">
        <v>7029</v>
      </c>
      <c r="P36" s="71" t="s">
        <v>7030</v>
      </c>
      <c r="Q36" s="73" t="s">
        <v>7031</v>
      </c>
      <c r="R36" s="382" t="s">
        <v>1511</v>
      </c>
      <c r="S36" s="71" t="s">
        <v>7029</v>
      </c>
      <c r="T36" s="71" t="s">
        <v>7030</v>
      </c>
      <c r="U36" s="73" t="s">
        <v>7031</v>
      </c>
      <c r="W36" s="2502"/>
      <c r="X36" s="2502"/>
      <c r="Y36" s="2502"/>
    </row>
    <row r="37" spans="2:25" ht="12.75" hidden="1">
      <c r="B37" s="1"/>
      <c r="C37" s="366"/>
      <c r="D37" s="110"/>
      <c r="E37" s="2999"/>
      <c r="F37" s="367"/>
      <c r="G37" s="110"/>
      <c r="H37" s="303"/>
      <c r="I37" s="304"/>
      <c r="J37" s="306"/>
      <c r="K37" s="306" t="str">
        <f>IF(I37=""," ",I37*J37)</f>
        <v xml:space="preserve"> </v>
      </c>
      <c r="L37" s="306"/>
      <c r="M37" s="2852"/>
      <c r="N37" s="2795"/>
      <c r="O37" s="2794"/>
      <c r="P37" s="2794"/>
      <c r="Q37" s="2794"/>
      <c r="R37" s="2498" t="str">
        <f>IF($I37=""," ",I37*M37)</f>
        <v xml:space="preserve"> </v>
      </c>
      <c r="S37" s="2522" t="str">
        <f t="shared" ref="S37:U43" si="7">IF($I37=""," ",$K37*O37)</f>
        <v xml:space="preserve"> </v>
      </c>
      <c r="T37" s="2522" t="str">
        <f t="shared" si="7"/>
        <v xml:space="preserve"> </v>
      </c>
      <c r="U37" s="2523" t="str">
        <f t="shared" si="7"/>
        <v xml:space="preserve"> </v>
      </c>
      <c r="W37" s="2502"/>
      <c r="X37" s="2502"/>
      <c r="Y37" s="2502"/>
    </row>
    <row r="38" spans="2:25" s="3426" customFormat="1" ht="12.75">
      <c r="B38" s="1"/>
      <c r="C38" s="366" t="inlineStr">
        <is>
          <t xml:space="preserve">Winterweizen</t>
        </is>
      </c>
      <c r="D38" s="110" t="inlineStr">
        <is>
          <t xml:space="preserve"/>
        </is>
      </c>
      <c r="E38" s="2999"/>
      <c r="F38" s="367"/>
      <c r="G38" s="110"/>
      <c r="H38" s="303">
        <v>60</v>
      </c>
      <c r="I38" s="304">
        <v>8.1344</v>
      </c>
      <c r="J38" s="306">
        <v>60</v>
      </c>
      <c r="K38" s="306">
        <f>IF(I38=""," ",I38*J38)</f>
        <v>292.8</v>
      </c>
      <c r="L38" s="306">
        <v>140</v>
      </c>
      <c r="M38" s="2852">
        <v>140</v>
      </c>
      <c r="N38" s="2795"/>
      <c r="O38" s="2794">
        <v>0.83</v>
      </c>
      <c r="P38" s="2794">
        <v>0.1</v>
      </c>
      <c r="Q38" s="2794">
        <v>0.12</v>
      </c>
      <c r="R38" s="2498">
        <f>IF($I38=""," ",I38*M38)</f>
        <v>683.19999999999993</v>
      </c>
      <c r="S38" s="2522">
        <f t="shared" ref="S38:S42" si="8">IF($I38=""," ",$K38*O38)</f>
        <v>243.024</v>
      </c>
      <c r="T38" s="2522">
        <f t="shared" ref="T38:T42" si="9">IF($I38=""," ",$K38*P38)</f>
        <v>29.28</v>
      </c>
      <c r="U38" s="2523">
        <f t="shared" ref="U38:U42" si="10">IF($I38=""," ",$K38*Q38)</f>
        <v>35.136000000000003</v>
      </c>
      <c r="W38" s="2502"/>
      <c r="X38" s="2502"/>
      <c r="Y38" s="2502"/>
    </row>
    <row r="39" spans="2:25" s="3426" customFormat="1" ht="12.75">
      <c r="B39" s="1"/>
      <c r="C39" s="366" t="inlineStr">
        <is>
          <t xml:space="preserve">Dinkel, Winterkorn</t>
        </is>
      </c>
      <c r="D39" s="110"/>
      <c r="E39" s="2999"/>
      <c r="F39" s="367"/>
      <c r="G39" s="110"/>
      <c r="H39" s="303">
        <v>45</v>
      </c>
      <c r="I39" s="304">
        <v>6.9566</v>
      </c>
      <c r="J39" s="306">
        <v>45</v>
      </c>
      <c r="K39" s="306">
        <f>IF(I39=""," ",I39*J39)</f>
        <v>313.04699999999997</v>
      </c>
      <c r="L39" s="306">
        <v>100</v>
      </c>
      <c r="M39" s="2852">
        <v>100</v>
      </c>
      <c r="N39" s="2795"/>
      <c r="O39" s="2794">
        <v>0.8</v>
      </c>
      <c r="P39" s="2794">
        <v>0.04</v>
      </c>
      <c r="Q39" s="2794">
        <v>0.11</v>
      </c>
      <c r="R39" s="2498">
        <f>IF($I39=""," ",I39*M39)</f>
        <v>695.66</v>
      </c>
      <c r="S39" s="2522">
        <f t="shared" si="8"/>
        <v>250.43759999999997</v>
      </c>
      <c r="T39" s="2522">
        <f t="shared" si="9"/>
        <v>12.521879999999999</v>
      </c>
      <c r="U39" s="2523">
        <f t="shared" si="10"/>
        <v>34.435169999999999</v>
      </c>
      <c r="W39" s="2502"/>
      <c r="X39" s="2502"/>
      <c r="Y39" s="2502"/>
    </row>
    <row r="40" spans="2:25" s="3426" customFormat="1" ht="12.75">
      <c r="B40" s="1"/>
      <c r="C40" s="366" t="inlineStr">
        <is>
          <t xml:space="preserve">Kartoffeln, Pflanz-</t>
        </is>
      </c>
      <c r="D40" s="110" t="inlineStr">
        <is>
          <t xml:space="preserve">Gruppe b</t>
        </is>
      </c>
      <c r="E40" s="2999"/>
      <c r="F40" s="367"/>
      <c r="G40" s="110"/>
      <c r="H40" s="303">
        <v>250</v>
      </c>
      <c r="I40" s="304">
        <v>6.1825</v>
      </c>
      <c r="J40" s="306">
        <v>250</v>
      </c>
      <c r="K40" s="306">
        <f>IF(I40=""," ",I40*J40)</f>
        <v>3600</v>
      </c>
      <c r="L40" s="306">
        <v>100</v>
      </c>
      <c r="M40" s="2852">
        <v>100</v>
      </c>
      <c r="N40" s="2795"/>
      <c r="O40" s="2794">
        <v>0.19</v>
      </c>
      <c r="P40" s="2794">
        <v>0.71</v>
      </c>
      <c r="Q40" s="2794">
        <v>0.03</v>
      </c>
      <c r="R40" s="2498">
        <f>IF($I40=""," ",I40*M40)</f>
        <v>960</v>
      </c>
      <c r="S40" s="2522">
        <f t="shared" si="8"/>
        <v>576</v>
      </c>
      <c r="T40" s="2522">
        <f t="shared" si="9"/>
        <v>2556</v>
      </c>
      <c r="U40" s="2523">
        <f t="shared" si="10"/>
        <v>108</v>
      </c>
      <c r="W40" s="2502"/>
      <c r="X40" s="2502"/>
      <c r="Y40" s="2502"/>
    </row>
    <row r="41" spans="2:25" s="3426" customFormat="1" ht="12.75">
      <c r="B41" s="1"/>
      <c r="C41" s="366" t="inlineStr">
        <is>
          <t xml:space="preserve">Körnermais</t>
        </is>
      </c>
      <c r="D41" s="110"/>
      <c r="E41" s="2999"/>
      <c r="F41" s="367"/>
      <c r="G41" s="110"/>
      <c r="H41" s="303">
        <v>100</v>
      </c>
      <c r="I41" s="304">
        <v>0.7336</v>
      </c>
      <c r="J41" s="306">
        <v>100</v>
      </c>
      <c r="K41" s="306">
        <f>IF(I41=""," ",I41*J41)</f>
        <v>1545.625</v>
      </c>
      <c r="L41" s="306">
        <v>110</v>
      </c>
      <c r="M41" s="2852">
        <v>110</v>
      </c>
      <c r="N41" s="2795"/>
      <c r="O41" s="2794">
        <v>0.76</v>
      </c>
      <c r="P41" s="2794">
        <v>0.4</v>
      </c>
      <c r="Q41" s="2794">
        <v>0.09</v>
      </c>
      <c r="R41" s="2498">
        <f>IF($I41=""," ",I41*M41)</f>
        <v>618.25</v>
      </c>
      <c r="S41" s="2522">
        <f t="shared" si="8"/>
        <v>293.66874999999999</v>
      </c>
      <c r="T41" s="2522">
        <f t="shared" si="9"/>
        <v>1097.39375</v>
      </c>
      <c r="U41" s="2523">
        <f t="shared" si="10"/>
        <v>46.368749999999999</v>
      </c>
      <c r="W41" s="2502"/>
      <c r="X41" s="2502"/>
      <c r="Y41" s="2502"/>
    </row>
    <row r="42" spans="2:25" s="3426" customFormat="1" ht="12.75">
      <c r="B42" s="1"/>
      <c r="C42" s="366" t="inlineStr">
        <is>
          <t xml:space="preserve">Nicht aufgefuehrte Ackerkultur</t>
        </is>
      </c>
      <c r="D42" s="110"/>
      <c r="E42" s="2999"/>
      <c r="F42" s="367"/>
      <c r="G42" s="110"/>
      <c r="H42" s="303">
        <v>1</v>
      </c>
      <c r="I42" s="304">
        <v>0.766</v>
      </c>
      <c r="J42" s="306">
        <v>1</v>
      </c>
      <c r="K42" s="306">
        <f>IF(I42=""," ",I42*J42)</f>
        <v>0.76600000000000001</v>
      </c>
      <c r="L42" s="306">
        <v>80</v>
      </c>
      <c r="M42" s="2852">
        <v>80</v>
      </c>
      <c r="N42" s="2795"/>
      <c r="O42" s="2794">
        <v>60</v>
      </c>
      <c r="P42" s="2794">
        <v>120</v>
      </c>
      <c r="Q42" s="2794">
        <v>10</v>
      </c>
      <c r="R42" s="2498">
        <f>IF($I42=""," ",I42*M42)</f>
        <v>61.28</v>
      </c>
      <c r="S42" s="2522">
        <f t="shared" si="8"/>
        <v>45.96</v>
      </c>
      <c r="T42" s="2522">
        <f t="shared" si="9"/>
        <v>91.92</v>
      </c>
      <c r="U42" s="2523">
        <f t="shared" si="10"/>
        <v>7.66</v>
      </c>
      <c r="W42" s="2502"/>
      <c r="X42" s="2502"/>
      <c r="Y42" s="2502"/>
    </row>
    <row r="43" spans="2:25" ht="12.75" hidden="1">
      <c r="B43" s="1"/>
      <c r="C43" s="366"/>
      <c r="D43" s="110"/>
      <c r="E43" s="110"/>
      <c r="F43" s="367"/>
      <c r="G43" s="110"/>
      <c r="H43" s="303"/>
      <c r="I43" s="304"/>
      <c r="J43" s="306"/>
      <c r="K43" s="306" t="str">
        <f>IF(I43=""," ",I43*J43)</f>
        <v xml:space="preserve"> </v>
      </c>
      <c r="L43" s="306"/>
      <c r="M43" s="2852"/>
      <c r="N43" s="2795"/>
      <c r="O43" s="2794"/>
      <c r="P43" s="2794"/>
      <c r="Q43" s="2794"/>
      <c r="R43" s="2498" t="str">
        <f>IF($I43=""," ",I43*M43)</f>
        <v xml:space="preserve"> </v>
      </c>
      <c r="S43" s="2522" t="str">
        <f t="shared" si="7"/>
        <v xml:space="preserve"> </v>
      </c>
      <c r="T43" s="2537" t="str">
        <f t="shared" si="7"/>
        <v xml:space="preserve"> </v>
      </c>
      <c r="U43" s="2523" t="str">
        <f t="shared" si="7"/>
        <v xml:space="preserve"> </v>
      </c>
      <c r="W43" s="2502"/>
      <c r="X43" s="2502"/>
      <c r="Y43" s="2502"/>
    </row>
    <row r="44" spans="2:25" ht="12.75">
      <c r="B44" s="1"/>
      <c r="C44" s="366" t="str">
        <f>Texte!A892</f>
        <v>Gründüngung, nur Nichtleguminosen</v>
      </c>
      <c r="D44" s="110"/>
      <c r="E44" s="110"/>
      <c r="F44" s="367"/>
      <c r="G44" s="110"/>
      <c r="H44" s="303">
        <v>35</v>
      </c>
      <c r="I44" s="304" t="str">
        <f>IF(Fläche!N51="","",Fläche!N51)</f>
        <v/>
      </c>
      <c r="J44" s="368"/>
      <c r="K44" s="368"/>
      <c r="L44" s="306">
        <v>30</v>
      </c>
      <c r="M44" s="2853"/>
      <c r="N44" s="368"/>
      <c r="O44" s="375"/>
      <c r="P44" s="375"/>
      <c r="Q44" s="375"/>
      <c r="R44" s="2498" t="str">
        <f>IF($I44="","",I44*L44)</f>
        <v/>
      </c>
      <c r="S44" s="2528"/>
      <c r="T44" s="2528"/>
      <c r="U44" s="2529"/>
      <c r="W44" s="2502"/>
      <c r="X44" s="2502"/>
      <c r="Y44" s="2502"/>
    </row>
    <row r="45" spans="2:25" ht="12.75" hidden="1">
      <c r="B45" s="1"/>
      <c r="C45" s="366" t="str">
        <f>Texte!A893</f>
        <v>Ackerschonstreifen</v>
      </c>
      <c r="D45" s="773"/>
      <c r="E45" s="773"/>
      <c r="F45" s="246"/>
      <c r="G45" s="246"/>
      <c r="H45" s="303"/>
      <c r="I45" s="304">
        <v>0</v>
      </c>
      <c r="J45" s="368"/>
      <c r="K45" s="368"/>
      <c r="L45" s="373"/>
      <c r="M45" s="2853"/>
      <c r="N45" s="373"/>
      <c r="O45" s="370">
        <v>40</v>
      </c>
      <c r="P45" s="370">
        <v>5</v>
      </c>
      <c r="Q45" s="370">
        <v>6</v>
      </c>
      <c r="R45" s="2524"/>
      <c r="S45" s="2522">
        <f>IF($I45=""," ",$I45*O45)</f>
        <v>0</v>
      </c>
      <c r="T45" s="2537">
        <f>IF($I45=""," ",$I45*P45)</f>
        <v>0</v>
      </c>
      <c r="U45" s="2523">
        <f>IF($I45=""," ",$I45*Q45)</f>
        <v>0</v>
      </c>
      <c r="W45" s="2502"/>
      <c r="X45" s="2502"/>
      <c r="Y45" s="2502"/>
    </row>
    <row r="46" spans="2:25" ht="12.75">
      <c r="B46" s="1"/>
      <c r="C46" s="366" t="str">
        <f>Texte!A894</f>
        <v>Bunt- und Rotationsbrachen, Säume auf Ackerfläche, Nützlingsstreifen</v>
      </c>
      <c r="D46" s="110"/>
      <c r="E46" s="110"/>
      <c r="F46" s="246"/>
      <c r="G46" s="246"/>
      <c r="H46" s="303"/>
      <c r="I46" s="304">
        <f>IF(AND(ISBLANK(Fläche!E52),ISBLANK(Fläche!E53),ISBLANK(Fläche!E54),ISBLANK(Fläche!E56)),"",SUM(Fläche!E52,Fläche!E53,Fläche!E54,Fläche!E56))</f>
        <v>0.1658</v>
      </c>
      <c r="J46" s="373"/>
      <c r="K46" s="373"/>
      <c r="L46" s="373"/>
      <c r="M46" s="2853"/>
      <c r="N46" s="373"/>
      <c r="O46" s="397"/>
      <c r="P46" s="397"/>
      <c r="Q46" s="397"/>
      <c r="R46" s="2524"/>
      <c r="S46" s="2525"/>
      <c r="T46" s="2525"/>
      <c r="U46" s="2526"/>
      <c r="W46" s="2502"/>
      <c r="X46" s="2502"/>
      <c r="Y46" s="2502"/>
    </row>
    <row r="47" spans="2:25" ht="12.75">
      <c r="B47" s="1"/>
      <c r="C47" s="366" t="str">
        <f>Texte!A895</f>
        <v>Hecken, Feldgehölz, Streueflächen</v>
      </c>
      <c r="D47" s="110"/>
      <c r="E47" s="110"/>
      <c r="F47" s="246"/>
      <c r="G47" s="246"/>
      <c r="H47" s="303"/>
      <c r="I47" s="781">
        <f>IF(AND(ISBLANK(Fläche!N34),ISBLANK(Fläche!N35),ISBLANK(Fläche!N36)),"",SUM(Fläche!N34,Fläche!N35,Fläche!N36))</f>
        <v>5.9783999999999997</v>
      </c>
      <c r="J47" s="373"/>
      <c r="K47" s="374"/>
      <c r="L47" s="373"/>
      <c r="M47" s="2853"/>
      <c r="N47" s="2796"/>
      <c r="O47" s="375"/>
      <c r="P47" s="375"/>
      <c r="Q47" s="375"/>
      <c r="R47" s="2527"/>
      <c r="S47" s="2528"/>
      <c r="T47" s="2528"/>
      <c r="U47" s="2529"/>
      <c r="W47" s="2502"/>
      <c r="X47" s="2502"/>
      <c r="Y47" s="2502"/>
    </row>
    <row r="48" spans="2:25" ht="12.2" customHeight="1">
      <c r="B48" s="1"/>
      <c r="C48" s="366" t="str">
        <f>Texte!A896</f>
        <v>Vom Betrieb weggeführtes Stroh</v>
      </c>
      <c r="D48" s="110"/>
      <c r="E48" s="110"/>
      <c r="F48" s="110"/>
      <c r="G48" s="110"/>
      <c r="H48" s="303">
        <v>50</v>
      </c>
      <c r="I48" s="842"/>
      <c r="J48" s="373"/>
      <c r="K48" s="400"/>
      <c r="L48" s="368"/>
      <c r="M48" s="2853"/>
      <c r="N48" s="2796"/>
      <c r="O48" s="2794">
        <v>0.19</v>
      </c>
      <c r="P48" s="2794">
        <v>0.79</v>
      </c>
      <c r="Q48" s="2794">
        <v>0.11</v>
      </c>
      <c r="R48" s="2498" t="str">
        <f>IF(K48=""," ",K48*N48)</f>
        <v xml:space="preserve"> </v>
      </c>
      <c r="S48" s="2522" t="str">
        <f>IF(K48=""," ",K48*O48)</f>
        <v xml:space="preserve"> </v>
      </c>
      <c r="T48" s="2537" t="str">
        <f>IF(K48=""," ",K48*P48)</f>
        <v xml:space="preserve"> </v>
      </c>
      <c r="U48" s="2523" t="str">
        <f>IF(K48=""," ",K48*Q48)</f>
        <v xml:space="preserve"> </v>
      </c>
      <c r="W48" s="2502"/>
      <c r="X48" s="2502"/>
      <c r="Y48" s="2502"/>
    </row>
    <row r="49" spans="2:25" ht="12.2" customHeight="1" thickBot="1">
      <c r="B49" s="1"/>
      <c r="C49" s="366" t="str">
        <f>Texte!A897</f>
        <v>Vom Betrieb weggeführte Rübenblätter</v>
      </c>
      <c r="D49" s="110"/>
      <c r="E49" s="110"/>
      <c r="F49" s="110"/>
      <c r="G49" s="110"/>
      <c r="H49" s="303">
        <v>325</v>
      </c>
      <c r="I49" s="373"/>
      <c r="J49" s="373"/>
      <c r="K49" s="400"/>
      <c r="L49" s="368"/>
      <c r="M49" s="2853"/>
      <c r="N49" s="2797"/>
      <c r="O49" s="2794">
        <v>0.08</v>
      </c>
      <c r="P49" s="2794">
        <v>0.4</v>
      </c>
      <c r="Q49" s="2794">
        <v>0.09</v>
      </c>
      <c r="R49" s="2498" t="str">
        <f>IF(K49=""," ",K49*N49)</f>
        <v xml:space="preserve"> </v>
      </c>
      <c r="S49" s="2522" t="str">
        <f>IF(K49=""," ",K49*O49)</f>
        <v xml:space="preserve"> </v>
      </c>
      <c r="T49" s="2537" t="str">
        <f>IF(K49=""," ",K49*P49)</f>
        <v xml:space="preserve"> </v>
      </c>
      <c r="U49" s="2523" t="str">
        <f>IF(K49=""," ",K49*Q49)</f>
        <v xml:space="preserve"> </v>
      </c>
      <c r="W49" s="2502"/>
      <c r="X49" s="2502"/>
      <c r="Y49" s="2502"/>
    </row>
    <row r="50" spans="2:25" ht="4.7" customHeight="1" thickBot="1">
      <c r="B50" s="1"/>
      <c r="C50" s="131"/>
      <c r="D50" s="131"/>
      <c r="E50" s="131"/>
      <c r="F50" s="131"/>
      <c r="G50" s="131"/>
      <c r="H50" s="131"/>
      <c r="I50" s="131"/>
      <c r="J50" s="131"/>
      <c r="K50" s="131"/>
      <c r="L50" s="131"/>
      <c r="M50" s="2854"/>
      <c r="N50" s="131"/>
      <c r="O50" s="131"/>
      <c r="P50" s="131"/>
      <c r="Q50" s="131"/>
      <c r="R50" s="2538"/>
      <c r="S50" s="2538"/>
      <c r="T50" s="2538"/>
      <c r="U50" s="2538"/>
      <c r="W50" s="2502"/>
      <c r="X50" s="2502"/>
      <c r="Y50" s="2502"/>
    </row>
    <row r="51" spans="2:25" ht="13.5" thickBot="1">
      <c r="B51" s="1"/>
      <c r="C51" s="43" t="str">
        <f>Texte!A898</f>
        <v>C2: Zwischentotal  Ackerkulturen, Hecken und Streuflächen</v>
      </c>
      <c r="D51" s="43"/>
      <c r="E51" s="43"/>
      <c r="F51" s="80"/>
      <c r="G51" s="80"/>
      <c r="H51" s="138"/>
      <c r="I51" s="329">
        <f>IF(SUM(I37:I47)=0,0,SUM(I37:I43,I45:I47))</f>
        <v>32.929299999999998</v>
      </c>
      <c r="J51" s="80" t="str">
        <f>Texte!A900</f>
        <v xml:space="preserve"> (ohne Zweitkulturen)</v>
      </c>
      <c r="K51" s="80"/>
      <c r="L51" s="80"/>
      <c r="M51" s="2850"/>
      <c r="N51" s="80"/>
      <c r="O51" s="80"/>
      <c r="P51" s="80"/>
      <c r="Q51" s="379" t="s">
        <v>3925</v>
      </c>
      <c r="R51" s="2534">
        <f>IF(SUM(R37:R49)=0,0,SUM(R37:R49))</f>
        <v>3018.39</v>
      </c>
      <c r="S51" s="2535">
        <f>IF(SUM(S37:S49)=0,0,SUM(S37:S49))</f>
        <v>1409.0903500000002</v>
      </c>
      <c r="T51" s="2535">
        <f>IF(SUM(T37:T49)=0,0,SUM(T37:T49))</f>
        <v>3787.1156300000002</v>
      </c>
      <c r="U51" s="2536">
        <f>IF(SUM(U37:U49)=0,0,SUM(U37:U49))</f>
        <v>231.59992</v>
      </c>
      <c r="W51" s="2502"/>
      <c r="X51" s="2502"/>
      <c r="Y51" s="2502"/>
    </row>
    <row r="52" spans="2:25" ht="5.25" customHeight="1" thickBot="1">
      <c r="B52" s="1"/>
      <c r="C52" s="43"/>
      <c r="D52" s="43"/>
      <c r="E52" s="43"/>
      <c r="F52" s="80"/>
      <c r="G52" s="80"/>
      <c r="H52" s="138"/>
      <c r="I52" s="80"/>
      <c r="J52" s="80"/>
      <c r="K52" s="80"/>
      <c r="L52" s="80"/>
      <c r="M52" s="2850"/>
      <c r="N52" s="80"/>
      <c r="O52" s="80"/>
      <c r="P52" s="80"/>
      <c r="Q52" s="379"/>
      <c r="R52" s="2539"/>
      <c r="S52" s="2539"/>
      <c r="T52" s="2539"/>
      <c r="U52" s="2539"/>
      <c r="W52" s="2502"/>
      <c r="X52" s="2502"/>
      <c r="Y52" s="2502"/>
    </row>
    <row r="53" spans="2:25" ht="12.2" customHeight="1">
      <c r="B53" s="1"/>
      <c r="C53" s="380" t="str">
        <f>Texte!A901</f>
        <v>C3: Bedarf Spezial- und Dauerkulturen</v>
      </c>
      <c r="D53" s="376"/>
      <c r="E53" s="376"/>
      <c r="F53" s="131"/>
      <c r="G53" s="131"/>
      <c r="H53" s="131"/>
      <c r="I53" s="135" t="str">
        <f>Texte!A903</f>
        <v>Fläche</v>
      </c>
      <c r="J53" s="1763" t="str">
        <f>Texte!A904</f>
        <v>Normdüngungsfaktor</v>
      </c>
      <c r="K53" s="136"/>
      <c r="L53" s="136"/>
      <c r="M53" s="2855" t="s">
        <v>4899</v>
      </c>
      <c r="N53" s="381" t="str">
        <f>Texte!A905</f>
        <v>Netto-Nährstoffbedarf, kg je ha</v>
      </c>
      <c r="O53" s="135"/>
      <c r="P53" s="135"/>
      <c r="Q53" s="136"/>
      <c r="R53" s="2540" t="str">
        <f>Texte!A906</f>
        <v>Netto-Nährstoffbedarf, kg / Jahr</v>
      </c>
      <c r="S53" s="2541"/>
      <c r="T53" s="2541"/>
      <c r="U53" s="2542"/>
      <c r="W53" s="2502"/>
      <c r="X53" s="2502"/>
      <c r="Y53" s="2502"/>
    </row>
    <row r="54" spans="2:25" ht="15" customHeight="1" thickBot="1">
      <c r="B54" s="1"/>
      <c r="C54" s="115" t="str">
        <f>Texte!A902</f>
        <v>mit Berücksichtigung des Nährstoffvorrats im Boden</v>
      </c>
      <c r="D54" s="116"/>
      <c r="E54" s="116"/>
      <c r="F54" s="116"/>
      <c r="G54" s="116"/>
      <c r="H54" s="116"/>
      <c r="I54" s="364" t="s">
        <v>5675</v>
      </c>
      <c r="J54" s="382" t="s">
        <v>4701</v>
      </c>
      <c r="K54" s="72" t="s">
        <v>4702</v>
      </c>
      <c r="L54" s="72" t="s">
        <v>7031</v>
      </c>
      <c r="M54" s="2856"/>
      <c r="N54" s="382" t="s">
        <v>1511</v>
      </c>
      <c r="O54" s="71" t="s">
        <v>7029</v>
      </c>
      <c r="P54" s="71" t="s">
        <v>7030</v>
      </c>
      <c r="Q54" s="71" t="s">
        <v>7031</v>
      </c>
      <c r="R54" s="382" t="s">
        <v>1511</v>
      </c>
      <c r="S54" s="71" t="s">
        <v>7029</v>
      </c>
      <c r="T54" s="71" t="s">
        <v>7030</v>
      </c>
      <c r="U54" s="73" t="s">
        <v>7031</v>
      </c>
      <c r="W54" s="2502"/>
      <c r="X54" s="2502"/>
      <c r="Y54" s="2502"/>
    </row>
    <row r="55" spans="2:25" ht="12.2" hidden="1" customHeight="1">
      <c r="B55" s="1"/>
      <c r="C55" s="366"/>
      <c r="D55" s="110"/>
      <c r="E55" s="110"/>
      <c r="F55" s="367"/>
      <c r="G55" s="110"/>
      <c r="H55" s="110"/>
      <c r="I55" s="304"/>
      <c r="J55" s="383"/>
      <c r="K55" s="384"/>
      <c r="L55" s="384"/>
      <c r="M55" s="2857"/>
      <c r="N55" s="2800"/>
      <c r="O55" s="2801"/>
      <c r="P55" s="2801"/>
      <c r="Q55" s="2801"/>
      <c r="R55" s="2543" t="str">
        <f>IF(I55=""," ",I55*N55)</f>
        <v xml:space="preserve"> </v>
      </c>
      <c r="S55" s="2522" t="str">
        <f>IF(I55="","",IF(J55="",I55*O55,I55*J55*O55))</f>
        <v/>
      </c>
      <c r="T55" s="2522" t="str">
        <f>IF(I55="","",IF(K55="",I55*P55,I55*K55*P55))</f>
        <v/>
      </c>
      <c r="U55" s="2523" t="str">
        <f>IF(I55="","",IF(L55="",I55*Q55,I55*L55*Q55))</f>
        <v/>
      </c>
      <c r="W55" s="2502"/>
      <c r="X55" s="2502"/>
      <c r="Y55" s="2502"/>
    </row>
    <row r="56" spans="2:25" ht="12.2" hidden="1" customHeight="1">
      <c r="B56" s="1"/>
      <c r="C56" s="366"/>
      <c r="D56" s="110"/>
      <c r="E56" s="110"/>
      <c r="F56" s="367"/>
      <c r="G56" s="110"/>
      <c r="H56" s="110"/>
      <c r="I56" s="304"/>
      <c r="J56" s="2802"/>
      <c r="K56" s="2803"/>
      <c r="L56" s="2803"/>
      <c r="M56" s="2857"/>
      <c r="N56" s="2800"/>
      <c r="O56" s="2801"/>
      <c r="P56" s="2801"/>
      <c r="Q56" s="2801"/>
      <c r="R56" s="2543" t="str">
        <f>IF(I56=""," ",I56*N56)</f>
        <v xml:space="preserve"> </v>
      </c>
      <c r="S56" s="2522" t="str">
        <f>IF(I56="","",IF(J56="",I56*O56,I56*J56*O56))</f>
        <v/>
      </c>
      <c r="T56" s="2522" t="str">
        <f>IF(I56="","",IF(K56="",I56*P56,I56*K56*P56))</f>
        <v/>
      </c>
      <c r="U56" s="2523" t="str">
        <f>IF(I56="","",IF(L56="",I56*Q56,I56*L56*Q56))</f>
        <v/>
      </c>
      <c r="W56" s="2502"/>
      <c r="X56" s="2502"/>
      <c r="Y56" s="2502"/>
    </row>
    <row r="57" spans="2:25" ht="12.2" customHeight="1">
      <c r="B57" s="1"/>
      <c r="C57" s="366" t="str">
        <f>Texte!A907</f>
        <v>Reben</v>
      </c>
      <c r="D57" s="110"/>
      <c r="E57" s="110"/>
      <c r="F57" s="367"/>
      <c r="G57" s="110"/>
      <c r="H57" s="110"/>
      <c r="I57" s="304">
        <f>Fläche!E58</f>
        <v>0</v>
      </c>
      <c r="J57" s="2804"/>
      <c r="K57" s="2805"/>
      <c r="L57" s="2805"/>
      <c r="M57" s="2858"/>
      <c r="N57" s="843"/>
      <c r="O57" s="844"/>
      <c r="P57" s="844"/>
      <c r="Q57" s="844"/>
      <c r="R57" s="2543">
        <f>RH!I44</f>
        <v>0</v>
      </c>
      <c r="S57" s="2522">
        <f>RH!J44</f>
        <v>0</v>
      </c>
      <c r="T57" s="2522">
        <f>RH!K44</f>
        <v>0</v>
      </c>
      <c r="U57" s="2523">
        <f>RH!L44</f>
        <v>0</v>
      </c>
      <c r="W57" s="2502"/>
      <c r="X57" s="2502"/>
      <c r="Y57" s="2502"/>
    </row>
    <row r="58" spans="2:25" ht="12.2" customHeight="1">
      <c r="B58" s="1"/>
      <c r="C58" s="366" t="str">
        <f>Texte!A908</f>
        <v>Hopfen, Rharbarber, Spargel</v>
      </c>
      <c r="D58" s="110"/>
      <c r="E58" s="110"/>
      <c r="F58" s="367"/>
      <c r="G58" s="110"/>
      <c r="H58" s="110"/>
      <c r="I58" s="304">
        <f>SUM(Fläche!E59,Fläche!E61)</f>
        <v>0</v>
      </c>
      <c r="J58" s="2804"/>
      <c r="K58" s="2805"/>
      <c r="L58" s="2805"/>
      <c r="M58" s="2858"/>
      <c r="N58" s="385"/>
      <c r="O58" s="386"/>
      <c r="P58" s="386"/>
      <c r="Q58" s="386"/>
      <c r="R58" s="2543">
        <f>RH!I68</f>
        <v>0</v>
      </c>
      <c r="S58" s="2522">
        <f>RH!J68</f>
        <v>0</v>
      </c>
      <c r="T58" s="2522">
        <f>RH!K68</f>
        <v>0</v>
      </c>
      <c r="U58" s="2523">
        <f>RH!L68</f>
        <v>0</v>
      </c>
      <c r="W58" s="2502"/>
      <c r="X58" s="2502"/>
      <c r="Y58" s="2502"/>
    </row>
    <row r="59" spans="2:25" ht="12.2" customHeight="1">
      <c r="B59" s="1"/>
      <c r="C59" s="366" t="str">
        <f>Texte!A909</f>
        <v>Obstanlagen</v>
      </c>
      <c r="D59" s="110"/>
      <c r="E59" s="110"/>
      <c r="F59" s="367"/>
      <c r="G59" s="110"/>
      <c r="H59" s="110"/>
      <c r="I59" s="304">
        <f>Fläche!E60</f>
        <v>0</v>
      </c>
      <c r="J59" s="2804"/>
      <c r="K59" s="2805"/>
      <c r="L59" s="2805"/>
      <c r="M59" s="2858"/>
      <c r="N59" s="385"/>
      <c r="O59" s="386"/>
      <c r="P59" s="386"/>
      <c r="Q59" s="386"/>
      <c r="R59" s="2543">
        <f>OB!I26</f>
        <v>0</v>
      </c>
      <c r="S59" s="2522">
        <f>OB!J26</f>
        <v>0</v>
      </c>
      <c r="T59" s="2522">
        <f>OB!K26</f>
        <v>0</v>
      </c>
      <c r="U59" s="2523">
        <f>OB!L26</f>
        <v>0</v>
      </c>
      <c r="W59" s="2502"/>
      <c r="X59" s="2502"/>
      <c r="Y59" s="2502"/>
    </row>
    <row r="60" spans="2:25" ht="12.2" customHeight="1">
      <c r="B60" s="1"/>
      <c r="C60" s="366" t="str">
        <f>Texte!A910</f>
        <v>Beeren</v>
      </c>
      <c r="D60" s="110"/>
      <c r="E60" s="110"/>
      <c r="F60" s="367"/>
      <c r="G60" s="110"/>
      <c r="H60" s="110"/>
      <c r="I60" s="304">
        <f>SUM(Fläche!E41,Fläche!E62:E63)</f>
        <v>0.22550000000000001</v>
      </c>
      <c r="J60" s="2804"/>
      <c r="K60" s="2805"/>
      <c r="L60" s="2805"/>
      <c r="M60" s="2858"/>
      <c r="N60" s="385"/>
      <c r="O60" s="386"/>
      <c r="P60" s="386"/>
      <c r="Q60" s="386"/>
      <c r="R60" s="2543">
        <f>OB!I50</f>
        <v>22</v>
      </c>
      <c r="S60" s="2522">
        <f>OB!J50</f>
        <v>7.5</v>
      </c>
      <c r="T60" s="2522">
        <f>OB!K50</f>
        <v>26.6</v>
      </c>
      <c r="U60" s="2523">
        <f>OB!L50</f>
        <v>4.4000000000000004</v>
      </c>
      <c r="W60" s="2502"/>
      <c r="X60" s="2502"/>
      <c r="Y60" s="2502"/>
    </row>
    <row r="61" spans="2:25" ht="12.2" customHeight="1">
      <c r="B61" s="1"/>
      <c r="C61" s="366" t="str">
        <f>Texte!A911</f>
        <v>Freilandgemüse, Schnittblumen, Kräuter</v>
      </c>
      <c r="D61" s="110"/>
      <c r="E61" s="110"/>
      <c r="F61" s="367"/>
      <c r="G61" s="110"/>
      <c r="H61" s="110"/>
      <c r="I61" s="304">
        <f>SUM(Fläche!E39:E40,Fläche!E42:E43,Fläche!E64)</f>
        <v>44.509</v>
      </c>
      <c r="J61" s="2804"/>
      <c r="K61" s="2805"/>
      <c r="L61" s="2805"/>
      <c r="M61" s="2858"/>
      <c r="N61" s="385"/>
      <c r="O61" s="386"/>
      <c r="P61" s="386"/>
      <c r="Q61" s="386"/>
      <c r="R61" s="2543">
        <f>IF(AND(ISBLANK('Gem1'!B12),ISBLANK('Gem1'!B13)),"",'Gem1'!J57)</f>
        <v>5735</v>
      </c>
      <c r="S61" s="2522">
        <f>IF('Gem1'!$K$57=0,"",IF(J61="",'Gem1'!$K$57,'Gem1'!$K$57*J61))</f>
        <v>1315</v>
      </c>
      <c r="T61" s="2522">
        <f>IF('Gem1'!$L$57=0,"",IF(K61="",'Gem1'!$L$57,'Gem1'!$L$57*K61))</f>
        <v>5690</v>
      </c>
      <c r="U61" s="2523">
        <f>IF('Gem1'!$M$57=0,"",IF(L61="",'Gem1'!$M$57,'Gem1'!$M$57*L61))</f>
        <v>657.5</v>
      </c>
      <c r="W61" s="2502"/>
      <c r="X61" s="2502"/>
      <c r="Y61" s="2502"/>
    </row>
    <row r="62" spans="2:25" ht="12.2" customHeight="1">
      <c r="B62" s="1"/>
      <c r="C62" s="366" t="str">
        <f>Texte!A912</f>
        <v>Kulturen in geschütztem Anbau</v>
      </c>
      <c r="D62" s="110"/>
      <c r="E62" s="110"/>
      <c r="F62" s="367"/>
      <c r="G62" s="110"/>
      <c r="H62" s="110"/>
      <c r="I62" s="304">
        <f>SUM(Fläche!N32:N33)</f>
        <v>1.1499999999999999</v>
      </c>
      <c r="J62" s="2804"/>
      <c r="K62" s="2805"/>
      <c r="L62" s="2805"/>
      <c r="M62" s="2858"/>
      <c r="N62" s="387"/>
      <c r="O62" s="388"/>
      <c r="P62" s="388"/>
      <c r="Q62" s="388"/>
      <c r="R62" s="2543">
        <f>IF(AND(ISBLANK('Gem2'!B12),ISBLANK('Gem2'!B13)),"",'Gem2'!J57)</f>
        <v>304.7</v>
      </c>
      <c r="S62" s="2522">
        <f>IF('Gem2'!$K$57=0,"",IF(J62="",'Gem2'!$K$57,'Gem2'!$K$57*J62))</f>
        <v>121.9</v>
      </c>
      <c r="T62" s="2522">
        <f>IF('Gem2'!$L$57=0,"",IF(K62="",'Gem2'!$L$57,'Gem2'!$L$57*K62))</f>
        <v>609.29999999999995</v>
      </c>
      <c r="U62" s="2523">
        <f>IF('Gem2'!$M$57=0,"",IF(L62="",'Gem2'!$M$57,'Gem2'!$M$57*L62))</f>
        <v>97.5</v>
      </c>
      <c r="W62" s="2502"/>
      <c r="X62" s="2502"/>
      <c r="Y62" s="2502"/>
    </row>
    <row r="63" spans="2:25" ht="12.2" customHeight="1">
      <c r="B63" s="1"/>
      <c r="C63" s="366" t="str">
        <f>Texte!A913</f>
        <v>Andere Dauerkulturen, inkl. Permakultur</v>
      </c>
      <c r="D63" s="110"/>
      <c r="E63" s="110"/>
      <c r="F63" s="367"/>
      <c r="G63" s="110"/>
      <c r="H63" s="110"/>
      <c r="I63" s="304">
        <f>SUM(Fläche!E68:E69)</f>
        <v>0</v>
      </c>
      <c r="J63" s="3451">
        <v>1</v>
      </c>
      <c r="K63" s="3451">
        <v>1</v>
      </c>
      <c r="L63" s="3451">
        <v>1</v>
      </c>
      <c r="M63" s="3453"/>
      <c r="N63" s="3451">
        <v>70</v>
      </c>
      <c r="O63" s="3451">
        <v>30</v>
      </c>
      <c r="P63" s="3451">
        <v>160</v>
      </c>
      <c r="Q63" s="3451">
        <v>15</v>
      </c>
      <c r="R63" s="2543">
        <f>IF(OR(ISBLANK(N63),I63=""),"",IF(AND(I63&gt;0,ISBLANK(N63)),"",N63*$I63))</f>
        <v>0</v>
      </c>
      <c r="S63" s="2522">
        <f t="shared" ref="S63:U64" si="11">IF(OR(ISBLANK(O63),$I63=""),"",IF(AND($I63&gt;0,ISBLANK(O63)),"",IF(J63&gt;0,J63*O63*$I63,O63*$I63)))</f>
        <v>0</v>
      </c>
      <c r="T63" s="2522">
        <f t="shared" si="11"/>
        <v>0</v>
      </c>
      <c r="U63" s="2523">
        <f t="shared" si="11"/>
        <v>0</v>
      </c>
      <c r="W63" s="2502"/>
      <c r="X63" s="2502"/>
      <c r="Y63" s="2502"/>
    </row>
    <row r="64" spans="2:25" ht="13.5" thickBot="1">
      <c r="B64" s="1"/>
      <c r="C64" s="390" t="str">
        <f>Texte!A914</f>
        <v>Hochstamm-Feldobstbäume, Nussbäume, Edelkastanien: 1 Are pro  Baum</v>
      </c>
      <c r="D64" s="392"/>
      <c r="E64" s="392"/>
      <c r="F64" s="391"/>
      <c r="G64" s="392"/>
      <c r="H64" s="392"/>
      <c r="I64" s="393">
        <f>Fläche!N54/100</f>
        <v>0</v>
      </c>
      <c r="J64" s="2806"/>
      <c r="K64" s="2807"/>
      <c r="L64" s="2808"/>
      <c r="M64" s="2859"/>
      <c r="N64" s="377">
        <v>45</v>
      </c>
      <c r="O64" s="378">
        <v>15</v>
      </c>
      <c r="P64" s="378">
        <v>56</v>
      </c>
      <c r="Q64" s="845">
        <v>8</v>
      </c>
      <c r="R64" s="2544">
        <f>IF(OR(ISBLANK(N64),I64=""),"",IF(AND(I64&gt;0,ISBLANK(N64)),"",N64*$I64))</f>
        <v>0</v>
      </c>
      <c r="S64" s="2531">
        <f t="shared" si="11"/>
        <v>0</v>
      </c>
      <c r="T64" s="2531">
        <f t="shared" si="11"/>
        <v>0</v>
      </c>
      <c r="U64" s="2532">
        <f t="shared" si="11"/>
        <v>0</v>
      </c>
      <c r="W64" s="2502"/>
      <c r="X64" s="2502"/>
      <c r="Y64" s="2502"/>
    </row>
    <row r="65" spans="2:25" ht="4.7" customHeight="1" thickBot="1">
      <c r="B65" s="1"/>
      <c r="C65" s="80"/>
      <c r="D65" s="80"/>
      <c r="E65" s="80"/>
      <c r="F65" s="328"/>
      <c r="G65" s="80"/>
      <c r="H65" s="138"/>
      <c r="I65" s="213"/>
      <c r="J65" s="326"/>
      <c r="K65" s="326"/>
      <c r="L65" s="326"/>
      <c r="M65" s="2858"/>
      <c r="N65" s="326"/>
      <c r="O65" s="326"/>
      <c r="P65" s="326"/>
      <c r="Q65" s="326"/>
      <c r="R65" s="2545"/>
      <c r="S65" s="2545"/>
      <c r="T65" s="2545"/>
      <c r="U65" s="2545"/>
      <c r="W65" s="2502"/>
      <c r="X65" s="2502"/>
      <c r="Y65" s="2502"/>
    </row>
    <row r="66" spans="2:25" ht="12.2" customHeight="1" thickBot="1">
      <c r="B66" s="1"/>
      <c r="C66" s="43" t="str">
        <f>Texte!A915</f>
        <v xml:space="preserve">C3: Zwischentotal Spezialkulturen </v>
      </c>
      <c r="D66" s="43"/>
      <c r="E66" s="43"/>
      <c r="F66" s="80"/>
      <c r="G66" s="80"/>
      <c r="H66" s="138"/>
      <c r="I66" s="329">
        <f>IF(SUM(I55:I63)=0,0,SUM(I55:I63))</f>
        <v>45.884499999999996</v>
      </c>
      <c r="J66" s="80"/>
      <c r="K66" s="80"/>
      <c r="L66" s="80"/>
      <c r="M66" s="2850"/>
      <c r="N66" s="80"/>
      <c r="O66" s="80"/>
      <c r="P66" s="80"/>
      <c r="Q66" s="379" t="s">
        <v>7358</v>
      </c>
      <c r="R66" s="2534">
        <f>IF(SUM(R55:R64)=0,0,SUM(R55:R64))</f>
        <v>6061.7</v>
      </c>
      <c r="S66" s="2535">
        <f>IF(SUM(S55:S64)=0,0,SUM(S55:S64))</f>
        <v>1444.4</v>
      </c>
      <c r="T66" s="2535">
        <f>IF(SUM(T55:T64)=0,0,SUM(T55:T64))</f>
        <v>6325.9000000000005</v>
      </c>
      <c r="U66" s="2536">
        <f>IF(SUM(U55:U64)=0,0,SUM(U55:U64))</f>
        <v>759.4</v>
      </c>
      <c r="W66" s="2502"/>
      <c r="X66" s="2502"/>
      <c r="Y66" s="2502"/>
    </row>
    <row r="67" spans="2:25" ht="5.0999999999999996" customHeight="1" thickBot="1">
      <c r="B67" s="1"/>
      <c r="C67" s="1"/>
      <c r="D67" s="1"/>
      <c r="E67" s="1"/>
      <c r="F67" s="1"/>
      <c r="G67" s="1"/>
      <c r="H67" s="1"/>
      <c r="I67" s="1"/>
      <c r="J67" s="1"/>
      <c r="K67" s="1"/>
      <c r="L67" s="1"/>
      <c r="M67" s="2842"/>
      <c r="N67" s="1"/>
      <c r="O67" s="1"/>
      <c r="P67" s="1"/>
      <c r="Q67" s="1"/>
      <c r="R67" s="2546"/>
      <c r="S67" s="2546"/>
      <c r="T67" s="2546"/>
      <c r="U67" s="2546"/>
      <c r="W67" s="2502"/>
      <c r="X67" s="2502"/>
      <c r="Y67" s="2502"/>
    </row>
    <row r="68" spans="2:25" ht="12.75" customHeight="1" thickBot="1">
      <c r="B68" s="1"/>
      <c r="C68" s="414" t="str">
        <f>Texte!A916</f>
        <v xml:space="preserve">C = C1 + C2 + C3 </v>
      </c>
      <c r="D68" s="414"/>
      <c r="E68" s="414"/>
      <c r="F68" s="824"/>
      <c r="G68" s="57"/>
      <c r="H68" s="3" t="s">
        <v>5317</v>
      </c>
      <c r="I68" s="329">
        <f>SUM(I31,I51,I66)</f>
        <v>137.4076</v>
      </c>
      <c r="J68" s="329">
        <f>-Fläche!Bauzone</f>
        <v>0</v>
      </c>
      <c r="K68" s="379" t="str">
        <f>Texte!A920</f>
        <v>= LN</v>
      </c>
      <c r="L68" s="329">
        <f>SUM(I68:J68)</f>
        <v>137.4076</v>
      </c>
      <c r="M68" s="2860"/>
      <c r="N68" s="57"/>
      <c r="O68" s="57"/>
      <c r="P68" s="57"/>
      <c r="Q68" s="782" t="str">
        <f>Texte!A918</f>
        <v xml:space="preserve">Nährstoffbedarf Betrieb  C    </v>
      </c>
      <c r="R68" s="2547">
        <f>IF(SUM(R31,R66,R51)=0,0,SUM(R31,R66,R51))</f>
        <v>11982.651979999999</v>
      </c>
      <c r="S68" s="2548">
        <f>IF(SUM(S31,S66,S51)=0,0,SUM(S31,S66,S51))</f>
        <v>5140.1923280000001</v>
      </c>
      <c r="T68" s="2548">
        <f>IF(SUM(T31,T66,T51)=0,0,SUM(T31,T66,T51))</f>
        <v>17098.27231</v>
      </c>
      <c r="U68" s="2549">
        <f>IF(SUM(U31,U66,U51)=0,0,SUM(U31,U66,U51))</f>
        <v>1636.2466200000003</v>
      </c>
      <c r="W68" s="2502"/>
      <c r="X68" s="2502"/>
      <c r="Y68" s="2502"/>
    </row>
    <row r="69" spans="2:25" ht="5.0999999999999996" customHeight="1" thickBot="1">
      <c r="B69" s="1"/>
      <c r="C69" s="414"/>
      <c r="D69" s="414"/>
      <c r="E69" s="414"/>
      <c r="F69" s="57"/>
      <c r="G69" s="57"/>
      <c r="H69" s="782"/>
      <c r="I69" s="57"/>
      <c r="J69" s="57"/>
      <c r="K69" s="57"/>
      <c r="L69" s="57"/>
      <c r="M69" s="2860"/>
      <c r="N69" s="57"/>
      <c r="O69" s="57"/>
      <c r="P69" s="57"/>
      <c r="Q69" s="782"/>
      <c r="R69" s="2550"/>
      <c r="S69" s="2550"/>
      <c r="T69" s="2550"/>
      <c r="U69" s="2550"/>
      <c r="W69" s="2502"/>
      <c r="X69" s="2502"/>
      <c r="Y69" s="2502"/>
    </row>
    <row r="70" spans="2:25" ht="12.75" customHeight="1" thickBot="1">
      <c r="B70" s="1"/>
      <c r="C70" s="414"/>
      <c r="D70" s="414"/>
      <c r="E70" s="414"/>
      <c r="F70" s="824"/>
      <c r="G70" s="57"/>
      <c r="H70" s="3" t="str">
        <f>Texte!A919</f>
        <v xml:space="preserve">Offene Ackerfläche </v>
      </c>
      <c r="I70" s="329">
        <f>IF(Fläche!N38=0,"",SUM(Fläche!E9,Fläche!E25,Fläche!E38,Fläche!N26))</f>
        <v>74.797499999999999</v>
      </c>
      <c r="J70" s="859">
        <f>IF(I68=0,0,I70/I68*100)</f>
        <v>54.43476197823118</v>
      </c>
      <c r="K70" s="824" t="str">
        <f>Texte!A921</f>
        <v>% der Gesamtfläche C</v>
      </c>
      <c r="L70" s="57"/>
      <c r="M70" s="2860"/>
      <c r="N70" s="57"/>
      <c r="O70" s="57"/>
      <c r="P70" s="57"/>
      <c r="Q70" s="782"/>
      <c r="R70" s="2550"/>
      <c r="S70" s="2550"/>
      <c r="T70" s="2550"/>
      <c r="U70" s="2533"/>
      <c r="W70" s="2502"/>
      <c r="X70" s="2502"/>
      <c r="Y70" s="2502"/>
    </row>
    <row r="71" spans="2:25" ht="5.0999999999999996" customHeight="1">
      <c r="B71" s="1"/>
      <c r="C71" s="182"/>
      <c r="D71" s="182"/>
      <c r="E71" s="182"/>
      <c r="F71" s="57"/>
      <c r="G71" s="57"/>
      <c r="H71" s="125"/>
      <c r="I71" s="57"/>
      <c r="J71" s="57"/>
      <c r="K71" s="57"/>
      <c r="L71" s="57"/>
      <c r="M71" s="2860"/>
      <c r="N71" s="57"/>
      <c r="O71" s="57"/>
      <c r="P71" s="403"/>
      <c r="Q71" s="403"/>
      <c r="R71" s="2551"/>
      <c r="S71" s="2551"/>
      <c r="T71" s="2533"/>
      <c r="U71" s="2533"/>
      <c r="W71" s="2502"/>
      <c r="X71" s="2502"/>
      <c r="Y71" s="2502"/>
    </row>
    <row r="72" spans="2:25" ht="16.5" thickBot="1">
      <c r="B72" s="1"/>
      <c r="C72" s="234" t="str">
        <f>Texte!A922</f>
        <v>Formular D:  Übrige Dünger</v>
      </c>
      <c r="D72" s="234"/>
      <c r="E72" s="234"/>
      <c r="F72" s="57"/>
      <c r="G72" s="57"/>
      <c r="H72" s="125"/>
      <c r="I72" s="57"/>
      <c r="J72" s="57"/>
      <c r="K72" s="57"/>
      <c r="L72" s="57"/>
      <c r="M72" s="2860"/>
      <c r="N72" s="57"/>
      <c r="O72" s="57"/>
      <c r="P72" s="403"/>
      <c r="Q72" s="403"/>
      <c r="R72" s="2551"/>
      <c r="S72" s="2551"/>
      <c r="T72" s="2533"/>
      <c r="U72" s="2533"/>
      <c r="W72" s="2502"/>
      <c r="X72" s="2502"/>
      <c r="Y72" s="2502"/>
    </row>
    <row r="73" spans="2:25" ht="12.75">
      <c r="C73" s="1748" t="str">
        <f>Texte!A923</f>
        <v>Düngerart</v>
      </c>
      <c r="D73" s="126"/>
      <c r="E73" s="126"/>
      <c r="F73" s="126"/>
      <c r="G73" s="126"/>
      <c r="H73" s="134" t="str">
        <f>Texte!A924</f>
        <v>Einheit</v>
      </c>
      <c r="I73" s="135" t="str">
        <f>Texte!A925</f>
        <v>zugeführte Menge</v>
      </c>
      <c r="J73" s="1749"/>
      <c r="K73" s="1750"/>
      <c r="L73" s="1749"/>
      <c r="M73" s="2861" t="s">
        <v>4899</v>
      </c>
      <c r="N73" s="381" t="str">
        <f>Texte!A926</f>
        <v>Nährstoffgehalt je Einheit, kg</v>
      </c>
      <c r="O73" s="1749"/>
      <c r="P73" s="1751"/>
      <c r="Q73" s="59"/>
      <c r="R73" s="2540" t="str">
        <f>Texte!A927</f>
        <v>Nährstoffmenge kg / Jahr</v>
      </c>
      <c r="S73" s="2552"/>
      <c r="T73" s="2552"/>
      <c r="U73" s="2553"/>
      <c r="W73" s="2502"/>
      <c r="X73" s="2502"/>
      <c r="Y73" s="2502"/>
    </row>
    <row r="74" spans="2:25" ht="13.5" thickBot="1">
      <c r="C74" s="390"/>
      <c r="D74" s="21"/>
      <c r="E74" s="21"/>
      <c r="F74" s="21"/>
      <c r="G74" s="21"/>
      <c r="H74" s="1761"/>
      <c r="I74" s="1297"/>
      <c r="J74" s="441"/>
      <c r="K74" s="441"/>
      <c r="L74" s="441"/>
      <c r="M74" s="2862"/>
      <c r="N74" s="141" t="str">
        <f>Texte!A928</f>
        <v>Nverf</v>
      </c>
      <c r="O74" s="1762" t="s">
        <v>7029</v>
      </c>
      <c r="P74" s="1762" t="s">
        <v>7030</v>
      </c>
      <c r="Q74" s="584" t="s">
        <v>7031</v>
      </c>
      <c r="R74" s="141" t="str">
        <f>Texte!A928</f>
        <v>Nverf</v>
      </c>
      <c r="S74" s="1762" t="s">
        <v>7029</v>
      </c>
      <c r="T74" s="1762" t="s">
        <v>7030</v>
      </c>
      <c r="U74" s="584" t="s">
        <v>7031</v>
      </c>
      <c r="W74" s="2502"/>
      <c r="X74" s="2502"/>
      <c r="Y74" s="2502"/>
    </row>
    <row r="75" spans="2:25">
      <c r="C75" s="366" t="str">
        <f>Texte!A930</f>
        <v>Kompost</v>
      </c>
      <c r="D75" s="538"/>
      <c r="E75" s="353"/>
      <c r="F75" s="110"/>
      <c r="G75" s="110"/>
      <c r="H75" s="1020" t="s">
        <v>4111</v>
      </c>
      <c r="I75" s="900"/>
      <c r="J75" s="901"/>
      <c r="K75" s="900"/>
      <c r="L75" s="828" t="str">
        <f t="shared" ref="L75:L88" si="12">H75</f>
        <v>t</v>
      </c>
      <c r="M75" s="2863"/>
      <c r="N75" s="384"/>
      <c r="O75" s="779"/>
      <c r="P75" s="779"/>
      <c r="Q75" s="829"/>
      <c r="R75" s="2498" t="str">
        <f t="shared" ref="R75:R88" si="13">IF(AND(J75="",N75="")=TRUE,"",J75*N75)</f>
        <v/>
      </c>
      <c r="S75" s="2522" t="str">
        <f t="shared" ref="S75:S88" si="14">IF(AND(J75="",O75="")=TRUE,"",J75*O75)</f>
        <v/>
      </c>
      <c r="T75" s="2522" t="str">
        <f t="shared" ref="T75:T88" si="15">IF(AND(J75="",P75="")=TRUE,"",J75*P75)</f>
        <v/>
      </c>
      <c r="U75" s="2523" t="str">
        <f t="shared" ref="U75:U88" si="16">IF(AND(J75="",Q75="")=TRUE,"",J75*Q75)</f>
        <v/>
      </c>
      <c r="W75" s="2502"/>
      <c r="X75" s="2502"/>
      <c r="Y75" s="2502"/>
    </row>
    <row r="76" spans="2:25" hidden="1">
      <c r="C76" s="1752"/>
      <c r="D76" s="538"/>
      <c r="E76" s="110"/>
      <c r="F76" s="110"/>
      <c r="G76" s="110"/>
      <c r="H76" s="1020" t="s">
        <v>345</v>
      </c>
      <c r="I76" s="900"/>
      <c r="J76" s="901"/>
      <c r="K76" s="900"/>
      <c r="L76" s="828" t="str">
        <f t="shared" si="12"/>
        <v>dt</v>
      </c>
      <c r="M76" s="2863"/>
      <c r="N76" s="384"/>
      <c r="O76" s="779"/>
      <c r="P76" s="779"/>
      <c r="Q76" s="829"/>
      <c r="R76" s="2498" t="str">
        <f t="shared" si="13"/>
        <v/>
      </c>
      <c r="S76" s="2522" t="str">
        <f t="shared" si="14"/>
        <v/>
      </c>
      <c r="T76" s="2522" t="str">
        <f t="shared" si="15"/>
        <v/>
      </c>
      <c r="U76" s="2523" t="str">
        <f t="shared" si="16"/>
        <v/>
      </c>
      <c r="W76" s="2502"/>
      <c r="X76" s="2502"/>
      <c r="Y76" s="2502"/>
    </row>
    <row r="77" spans="2:25">
      <c r="C77" s="366" t="str">
        <f>Texte!A932</f>
        <v>Emissionsmindernde Ausbringverfahren</v>
      </c>
      <c r="D77" s="538"/>
      <c r="E77" s="110"/>
      <c r="F77" s="110"/>
      <c r="G77" s="110"/>
      <c r="H77" s="1020" t="s">
        <v>5675</v>
      </c>
      <c r="I77" s="900"/>
      <c r="J77" s="901"/>
      <c r="K77" s="900"/>
      <c r="L77" s="828" t="str">
        <f>H77</f>
        <v>ha</v>
      </c>
      <c r="M77" s="2863"/>
      <c r="N77" s="398">
        <v>6</v>
      </c>
      <c r="O77" s="371"/>
      <c r="P77" s="371"/>
      <c r="Q77" s="371"/>
      <c r="R77" s="2498">
        <f t="shared" si="13"/>
        <v>0</v>
      </c>
      <c r="S77" s="2522"/>
      <c r="T77" s="2522"/>
      <c r="U77" s="2523"/>
      <c r="W77" s="2502"/>
      <c r="X77" s="2502"/>
      <c r="Y77" s="2502"/>
    </row>
    <row r="78" spans="2:25" ht="12.75">
      <c r="C78" s="1752" t="str">
        <f>Texte!A931</f>
        <v>Mineral- und andere Dünger</v>
      </c>
      <c r="D78" s="3450" t="s">
        <v>12234</v>
      </c>
      <c r="E78" s="353"/>
      <c r="F78" s="110"/>
      <c r="G78" s="110"/>
      <c r="H78" s="1020" t="s">
        <v>7009</v>
      </c>
      <c r="I78" s="900"/>
      <c r="J78" s="3451">
        <v>40</v>
      </c>
      <c r="K78" s="900"/>
      <c r="L78" s="828" t="str">
        <f t="shared" si="12"/>
        <v>m³</v>
      </c>
      <c r="M78" s="2863"/>
      <c r="N78" s="3452">
        <v>120</v>
      </c>
      <c r="O78" s="3452">
        <v>0</v>
      </c>
      <c r="P78" s="780"/>
      <c r="Q78" s="780"/>
      <c r="R78" s="2498">
        <f t="shared" si="13"/>
        <v>5040</v>
      </c>
      <c r="S78" s="2522">
        <f t="shared" si="14"/>
        <v>0</v>
      </c>
      <c r="T78" s="2522">
        <f t="shared" si="15"/>
        <v>0</v>
      </c>
      <c r="U78" s="2523">
        <f t="shared" si="16"/>
        <v>0</v>
      </c>
      <c r="W78" s="2502"/>
      <c r="X78" s="2502"/>
      <c r="Y78" s="2502"/>
    </row>
    <row r="79" spans="2:25" ht="12.75">
      <c r="C79" s="1752"/>
      <c r="D79" s="3450" t="s">
        <v>12235</v>
      </c>
      <c r="E79" s="353"/>
      <c r="F79" s="110"/>
      <c r="G79" s="110"/>
      <c r="H79" s="1020" t="s">
        <v>345</v>
      </c>
      <c r="I79" s="900"/>
      <c r="J79" s="3451">
        <v>10</v>
      </c>
      <c r="K79" s="900"/>
      <c r="L79" s="828" t="str">
        <f t="shared" si="12"/>
        <v>dt</v>
      </c>
      <c r="M79" s="2863"/>
      <c r="N79" s="3452">
        <v>18.899999999999999</v>
      </c>
      <c r="O79" s="3452">
        <v>8</v>
      </c>
      <c r="P79" s="779"/>
      <c r="Q79" s="829"/>
      <c r="R79" s="2498">
        <f t="shared" si="13"/>
        <v>283.5</v>
      </c>
      <c r="S79" s="2522">
        <f t="shared" si="14"/>
        <v>120</v>
      </c>
      <c r="T79" s="2522">
        <f t="shared" si="15"/>
        <v>0</v>
      </c>
      <c r="U79" s="2523">
        <f t="shared" si="16"/>
        <v>0</v>
      </c>
      <c r="W79" s="2502"/>
      <c r="X79" s="2502"/>
      <c r="Y79" s="2502"/>
    </row>
    <row r="80" spans="2:25">
      <c r="C80" s="1752"/>
      <c r="D80" s="538"/>
      <c r="E80" s="353"/>
      <c r="F80" s="110"/>
      <c r="G80" s="110"/>
      <c r="H80" s="1020" t="s">
        <v>345</v>
      </c>
      <c r="I80" s="900"/>
      <c r="J80" s="901"/>
      <c r="K80" s="900"/>
      <c r="L80" s="828" t="str">
        <f t="shared" si="12"/>
        <v>dt</v>
      </c>
      <c r="M80" s="2863"/>
      <c r="N80" s="384"/>
      <c r="O80" s="779"/>
      <c r="P80" s="779"/>
      <c r="Q80" s="829"/>
      <c r="R80" s="2498" t="str">
        <f t="shared" si="13"/>
        <v/>
      </c>
      <c r="S80" s="2522" t="str">
        <f t="shared" si="14"/>
        <v/>
      </c>
      <c r="T80" s="2522" t="str">
        <f t="shared" si="15"/>
        <v/>
      </c>
      <c r="U80" s="2523" t="str">
        <f t="shared" si="16"/>
        <v/>
      </c>
      <c r="W80" s="2502"/>
      <c r="X80" s="2502"/>
      <c r="Y80" s="2502"/>
    </row>
    <row r="81" spans="1:25">
      <c r="C81" s="1752"/>
      <c r="D81" s="538"/>
      <c r="E81" s="353"/>
      <c r="F81" s="110"/>
      <c r="G81" s="110"/>
      <c r="H81" s="1020" t="s">
        <v>345</v>
      </c>
      <c r="I81" s="900"/>
      <c r="J81" s="901"/>
      <c r="K81" s="900"/>
      <c r="L81" s="828" t="str">
        <f t="shared" si="12"/>
        <v>dt</v>
      </c>
      <c r="M81" s="2863"/>
      <c r="N81" s="384"/>
      <c r="O81" s="779"/>
      <c r="P81" s="779"/>
      <c r="Q81" s="829"/>
      <c r="R81" s="2498" t="str">
        <f>IF(AND(J81="",N81="")=TRUE,"",J81*N81)</f>
        <v/>
      </c>
      <c r="S81" s="2522" t="str">
        <f>IF(AND(J81="",O81="")=TRUE,"",J81*O81)</f>
        <v/>
      </c>
      <c r="T81" s="2522" t="str">
        <f>IF(AND(J81="",P81="")=TRUE,"",J81*P81)</f>
        <v/>
      </c>
      <c r="U81" s="2523" t="str">
        <f>IF(AND(J81="",Q81="")=TRUE,"",J81*Q81)</f>
        <v/>
      </c>
      <c r="W81" s="2502"/>
      <c r="X81" s="2502"/>
      <c r="Y81" s="2502"/>
    </row>
    <row r="82" spans="1:25">
      <c r="C82" s="1752"/>
      <c r="D82" s="538"/>
      <c r="E82" s="353"/>
      <c r="F82" s="110"/>
      <c r="G82" s="110"/>
      <c r="H82" s="1020" t="s">
        <v>345</v>
      </c>
      <c r="I82" s="900"/>
      <c r="J82" s="901"/>
      <c r="K82" s="900"/>
      <c r="L82" s="828" t="str">
        <f t="shared" si="12"/>
        <v>dt</v>
      </c>
      <c r="M82" s="2863"/>
      <c r="N82" s="384"/>
      <c r="O82" s="779"/>
      <c r="P82" s="779"/>
      <c r="Q82" s="829"/>
      <c r="R82" s="2498" t="str">
        <f t="shared" si="13"/>
        <v/>
      </c>
      <c r="S82" s="2522" t="str">
        <f t="shared" si="14"/>
        <v/>
      </c>
      <c r="T82" s="2522" t="str">
        <f t="shared" si="15"/>
        <v/>
      </c>
      <c r="U82" s="2523" t="str">
        <f t="shared" si="16"/>
        <v/>
      </c>
      <c r="W82" s="2502"/>
      <c r="X82" s="2502"/>
      <c r="Y82" s="2502"/>
    </row>
    <row r="83" spans="1:25">
      <c r="C83" s="1752"/>
      <c r="D83" s="538"/>
      <c r="E83" s="353"/>
      <c r="F83" s="110"/>
      <c r="G83" s="110"/>
      <c r="H83" s="1020" t="s">
        <v>345</v>
      </c>
      <c r="I83" s="900"/>
      <c r="J83" s="901"/>
      <c r="K83" s="900"/>
      <c r="L83" s="828" t="str">
        <f t="shared" si="12"/>
        <v>dt</v>
      </c>
      <c r="M83" s="2863"/>
      <c r="N83" s="384"/>
      <c r="O83" s="779"/>
      <c r="P83" s="779"/>
      <c r="Q83" s="829"/>
      <c r="R83" s="2498" t="str">
        <f t="shared" si="13"/>
        <v/>
      </c>
      <c r="S83" s="2522" t="str">
        <f t="shared" si="14"/>
        <v/>
      </c>
      <c r="T83" s="2522" t="str">
        <f t="shared" si="15"/>
        <v/>
      </c>
      <c r="U83" s="2523" t="str">
        <f t="shared" si="16"/>
        <v/>
      </c>
      <c r="W83" s="2502"/>
      <c r="X83" s="2502"/>
      <c r="Y83" s="2502" t="b">
        <f>IF('SB2'!I120=0,999)</f>
        <v>0</v>
      </c>
    </row>
    <row r="84" spans="1:25">
      <c r="C84" s="1752"/>
      <c r="D84" s="538"/>
      <c r="E84" s="353"/>
      <c r="F84" s="110"/>
      <c r="G84" s="110"/>
      <c r="H84" s="1020" t="s">
        <v>345</v>
      </c>
      <c r="I84" s="900"/>
      <c r="J84" s="901"/>
      <c r="K84" s="900"/>
      <c r="L84" s="828" t="str">
        <f t="shared" si="12"/>
        <v>dt</v>
      </c>
      <c r="M84" s="2863"/>
      <c r="N84" s="384"/>
      <c r="O84" s="779"/>
      <c r="P84" s="779"/>
      <c r="Q84" s="829"/>
      <c r="R84" s="2498" t="str">
        <f t="shared" si="13"/>
        <v/>
      </c>
      <c r="S84" s="2522" t="str">
        <f t="shared" si="14"/>
        <v/>
      </c>
      <c r="T84" s="2522" t="str">
        <f t="shared" si="15"/>
        <v/>
      </c>
      <c r="U84" s="2523" t="str">
        <f t="shared" si="16"/>
        <v/>
      </c>
      <c r="W84" s="2502"/>
      <c r="X84" s="2502"/>
      <c r="Y84" s="2502"/>
    </row>
    <row r="85" spans="1:25">
      <c r="C85" s="1752"/>
      <c r="D85" s="538"/>
      <c r="E85" s="353"/>
      <c r="F85" s="110"/>
      <c r="G85" s="110"/>
      <c r="H85" s="1020" t="s">
        <v>345</v>
      </c>
      <c r="I85" s="900"/>
      <c r="J85" s="901"/>
      <c r="K85" s="900"/>
      <c r="L85" s="828" t="str">
        <f t="shared" si="12"/>
        <v>dt</v>
      </c>
      <c r="M85" s="2863"/>
      <c r="N85" s="384"/>
      <c r="O85" s="779"/>
      <c r="P85" s="779"/>
      <c r="Q85" s="829"/>
      <c r="R85" s="2498" t="str">
        <f t="shared" si="13"/>
        <v/>
      </c>
      <c r="S85" s="2522" t="str">
        <f t="shared" si="14"/>
        <v/>
      </c>
      <c r="T85" s="2522" t="str">
        <f t="shared" si="15"/>
        <v/>
      </c>
      <c r="U85" s="2523" t="str">
        <f t="shared" si="16"/>
        <v/>
      </c>
      <c r="W85" s="2502"/>
      <c r="X85" s="2502"/>
      <c r="Y85" s="2502"/>
    </row>
    <row r="86" spans="1:25">
      <c r="C86" s="1752"/>
      <c r="D86" s="538"/>
      <c r="E86" s="110"/>
      <c r="F86" s="110"/>
      <c r="G86" s="110"/>
      <c r="H86" s="1020" t="s">
        <v>345</v>
      </c>
      <c r="I86" s="900"/>
      <c r="J86" s="901"/>
      <c r="K86" s="900"/>
      <c r="L86" s="828" t="str">
        <f t="shared" si="12"/>
        <v>dt</v>
      </c>
      <c r="M86" s="2863"/>
      <c r="N86" s="384"/>
      <c r="O86" s="779"/>
      <c r="P86" s="779"/>
      <c r="Q86" s="829"/>
      <c r="R86" s="2498" t="str">
        <f t="shared" si="13"/>
        <v/>
      </c>
      <c r="S86" s="2522" t="str">
        <f t="shared" si="14"/>
        <v/>
      </c>
      <c r="T86" s="2522" t="str">
        <f t="shared" si="15"/>
        <v/>
      </c>
      <c r="U86" s="2523" t="str">
        <f t="shared" si="16"/>
        <v/>
      </c>
      <c r="W86" s="2502"/>
      <c r="X86" s="2502"/>
      <c r="Y86" s="2502"/>
    </row>
    <row r="87" spans="1:25" hidden="1">
      <c r="C87" s="1752"/>
      <c r="D87" s="784"/>
      <c r="E87" s="80"/>
      <c r="F87" s="110"/>
      <c r="G87" s="110"/>
      <c r="H87" s="1020" t="s">
        <v>345</v>
      </c>
      <c r="I87" s="900"/>
      <c r="J87" s="901"/>
      <c r="K87" s="900"/>
      <c r="L87" s="828" t="str">
        <f t="shared" si="12"/>
        <v>dt</v>
      </c>
      <c r="M87" s="2863"/>
      <c r="N87" s="384"/>
      <c r="O87" s="779"/>
      <c r="P87" s="779"/>
      <c r="Q87" s="829"/>
      <c r="R87" s="2498" t="str">
        <f t="shared" si="13"/>
        <v/>
      </c>
      <c r="S87" s="2522" t="str">
        <f t="shared" si="14"/>
        <v/>
      </c>
      <c r="T87" s="2522" t="str">
        <f t="shared" si="15"/>
        <v/>
      </c>
      <c r="U87" s="2523" t="str">
        <f t="shared" si="16"/>
        <v/>
      </c>
      <c r="W87" s="2502"/>
      <c r="X87" s="2502"/>
      <c r="Y87" s="2502"/>
    </row>
    <row r="88" spans="1:25" ht="13.5" thickBot="1">
      <c r="C88" s="1753" t="str">
        <f>Texte!A933</f>
        <v>Zukauf von Weizenstroh zum Einstreuen</v>
      </c>
      <c r="D88" s="1754"/>
      <c r="E88" s="1754"/>
      <c r="F88" s="1754"/>
      <c r="G88" s="1754"/>
      <c r="H88" s="1755" t="str">
        <f>Texte!A934</f>
        <v>dt FS</v>
      </c>
      <c r="I88" s="1756"/>
      <c r="J88" s="3452">
        <v>485.3</v>
      </c>
      <c r="K88" s="1756"/>
      <c r="L88" s="1757" t="str">
        <f t="shared" si="12"/>
        <v>dt FS</v>
      </c>
      <c r="M88" s="2864"/>
      <c r="N88" s="1758" t="s">
        <v>1869</v>
      </c>
      <c r="O88" s="1759">
        <v>0.19</v>
      </c>
      <c r="P88" s="1759">
        <v>0.79</v>
      </c>
      <c r="Q88" s="1760">
        <v>0.11</v>
      </c>
      <c r="R88" s="2530">
        <f t="shared" si="13"/>
        <v>0</v>
      </c>
      <c r="S88" s="2531">
        <f t="shared" si="14"/>
        <v>0</v>
      </c>
      <c r="T88" s="2531">
        <f t="shared" si="15"/>
        <v>0</v>
      </c>
      <c r="U88" s="2532">
        <f t="shared" si="16"/>
        <v>0</v>
      </c>
      <c r="W88" s="2502"/>
      <c r="X88" s="2502"/>
      <c r="Y88" s="2502"/>
    </row>
    <row r="89" spans="1:25" ht="4.7" customHeight="1" thickBot="1">
      <c r="C89" s="109"/>
      <c r="D89" s="109"/>
      <c r="E89" s="109"/>
      <c r="F89" s="109"/>
      <c r="G89" s="109"/>
      <c r="H89" s="459"/>
      <c r="I89" s="109"/>
      <c r="J89" s="109"/>
      <c r="K89" s="109"/>
      <c r="L89" s="459"/>
      <c r="M89" s="2865"/>
      <c r="N89" s="785"/>
      <c r="O89" s="786"/>
      <c r="P89" s="461"/>
      <c r="Q89" s="786"/>
      <c r="R89" s="2554"/>
      <c r="S89" s="2554"/>
      <c r="T89" s="2554"/>
      <c r="U89" s="2554"/>
      <c r="W89" s="2502"/>
      <c r="X89" s="2502"/>
      <c r="Y89" s="2502"/>
    </row>
    <row r="90" spans="1:25" ht="13.5" thickBot="1">
      <c r="C90" s="43" t="str">
        <f>Texte!A935</f>
        <v>D: Gesamttotal Zufuhr übriger Dünger</v>
      </c>
      <c r="D90" s="43"/>
      <c r="E90" s="43"/>
      <c r="F90" s="43"/>
      <c r="G90" s="43"/>
      <c r="H90" s="2"/>
      <c r="I90" s="2"/>
      <c r="J90" s="2"/>
      <c r="K90" s="2"/>
      <c r="L90" s="2"/>
      <c r="M90" s="2866"/>
      <c r="N90" s="2"/>
      <c r="O90" s="2"/>
      <c r="P90" s="1"/>
      <c r="Q90" s="787" t="s">
        <v>379</v>
      </c>
      <c r="R90" s="2534">
        <f>IF(COUNT(R75:R88)=0,0,SUM(R75:R88))</f>
        <v>5323.5</v>
      </c>
      <c r="S90" s="2535">
        <f>IF(COUNT(S75:S88)=0,0,SUM(S75:S88))</f>
        <v>120</v>
      </c>
      <c r="T90" s="2535">
        <f>IF(COUNT(T75:T88)=0,0,SUM(T75:T88))</f>
        <v>0</v>
      </c>
      <c r="U90" s="2536">
        <f>IF(COUNT(U75:U88)=0,0,SUM(U75:U88))</f>
        <v>0</v>
      </c>
      <c r="W90" s="2502"/>
      <c r="X90" s="2502"/>
      <c r="Y90" s="2502"/>
    </row>
    <row r="91" spans="1:25" ht="6" customHeight="1">
      <c r="C91" s="872"/>
      <c r="D91" s="872"/>
      <c r="E91" s="872"/>
      <c r="F91" s="872"/>
      <c r="G91" s="872"/>
      <c r="H91" s="872"/>
      <c r="I91" s="872"/>
      <c r="J91" s="872"/>
      <c r="K91" s="872"/>
      <c r="L91" s="872"/>
      <c r="M91" s="2867"/>
      <c r="N91" s="872"/>
      <c r="O91" s="872"/>
      <c r="P91" s="872"/>
      <c r="Q91" s="872"/>
      <c r="R91" s="2555"/>
      <c r="S91" s="2555"/>
      <c r="T91" s="2555"/>
      <c r="U91" s="2555"/>
      <c r="W91" s="2502"/>
      <c r="X91" s="2502"/>
      <c r="Y91" s="2502"/>
    </row>
    <row r="92" spans="1:25" ht="16.5" thickBot="1">
      <c r="A92" s="234"/>
      <c r="C92" s="2645" t="str">
        <f>Texte!A5299</f>
        <v>SuiBi: Formular E Vergärungsprodukte und Ernterückstände Gemüse</v>
      </c>
      <c r="D92" s="2555"/>
      <c r="E92" s="2555"/>
      <c r="F92" s="2646"/>
      <c r="G92" s="2381"/>
      <c r="H92" s="2555"/>
      <c r="I92" s="2555"/>
      <c r="J92" s="2381"/>
      <c r="K92" s="2555"/>
      <c r="L92" s="2555"/>
      <c r="M92" s="2867"/>
      <c r="N92" s="2555"/>
      <c r="O92" s="2555"/>
      <c r="P92" s="2555"/>
      <c r="Q92" s="2647" t="str">
        <f>Texte!A5337</f>
        <v>Übertrag aus Zusatzformular E</v>
      </c>
      <c r="R92" s="2555"/>
      <c r="S92" s="2555"/>
      <c r="T92" s="2555"/>
      <c r="U92" s="2555"/>
      <c r="W92" s="2502"/>
      <c r="X92" s="2502"/>
      <c r="Y92" s="2502"/>
    </row>
    <row r="93" spans="1:25" ht="14.25" customHeight="1">
      <c r="C93" s="2648" t="str">
        <f>Texte!A5338</f>
        <v>Düngerart</v>
      </c>
      <c r="D93" s="2649"/>
      <c r="E93" s="2649"/>
      <c r="F93" s="2649"/>
      <c r="G93" s="2649"/>
      <c r="H93" s="2650" t="str">
        <f>Texte!A5336</f>
        <v>Einheit</v>
      </c>
      <c r="I93" s="2651"/>
      <c r="J93" s="2649"/>
      <c r="K93" s="2652" t="str">
        <f>Texte!A925</f>
        <v>zugeführte Menge</v>
      </c>
      <c r="L93" s="2649"/>
      <c r="M93" s="2868"/>
      <c r="N93" s="2649"/>
      <c r="O93" s="2649"/>
      <c r="P93" s="2649"/>
      <c r="Q93" s="2653"/>
      <c r="R93" s="3433" t="str">
        <f>Texte!A927</f>
        <v>Nährstoffmenge kg / Jahr</v>
      </c>
      <c r="S93" s="3433"/>
      <c r="T93" s="3433"/>
      <c r="U93" s="3434"/>
      <c r="W93" s="2502"/>
      <c r="X93" s="2502"/>
      <c r="Y93" s="2502"/>
    </row>
    <row r="94" spans="1:25" ht="12.75" customHeight="1" thickBot="1">
      <c r="C94" s="2654"/>
      <c r="D94" s="2655"/>
      <c r="E94" s="2655"/>
      <c r="F94" s="2655"/>
      <c r="G94" s="2655"/>
      <c r="H94" s="2656"/>
      <c r="I94" s="2657"/>
      <c r="J94" s="2658"/>
      <c r="K94" s="2659"/>
      <c r="L94" s="2659"/>
      <c r="M94" s="2869"/>
      <c r="N94" s="2655"/>
      <c r="O94" s="2655"/>
      <c r="P94" s="2655"/>
      <c r="Q94" s="2660"/>
      <c r="R94" s="2661" t="str">
        <f>Texte!A5317</f>
        <v>Nverf</v>
      </c>
      <c r="S94" s="2662" t="s">
        <v>7029</v>
      </c>
      <c r="T94" s="2531" t="s">
        <v>7030</v>
      </c>
      <c r="U94" s="2663" t="str">
        <f>Texte!A5319</f>
        <v>Mg</v>
      </c>
      <c r="W94" s="2502"/>
      <c r="X94" s="2502"/>
      <c r="Y94" s="2502"/>
    </row>
    <row r="95" spans="1:25" ht="12.75" customHeight="1">
      <c r="C95" s="2664" t="str">
        <f>Texte!A5321</f>
        <v>E1: Flüssige Vergärungsprodukte</v>
      </c>
      <c r="D95" s="2555"/>
      <c r="E95" s="2555"/>
      <c r="F95" s="2555"/>
      <c r="G95" s="2665"/>
      <c r="H95" s="2666" t="s">
        <v>7009</v>
      </c>
      <c r="I95" s="2665"/>
      <c r="J95" s="2667"/>
      <c r="K95" s="2646">
        <f>SUM(FormE!G15:G17)</f>
        <v>0</v>
      </c>
      <c r="L95" s="2555"/>
      <c r="M95" s="2870"/>
      <c r="N95" s="2555"/>
      <c r="O95" s="2555"/>
      <c r="P95" s="2555"/>
      <c r="Q95" s="2555"/>
      <c r="R95" s="2556">
        <f>FormE!O19</f>
        <v>0</v>
      </c>
      <c r="S95" s="2557">
        <f>FormE!P19</f>
        <v>0</v>
      </c>
      <c r="T95" s="2557">
        <f>FormE!Q19</f>
        <v>0</v>
      </c>
      <c r="U95" s="2558">
        <f>FormE!R19</f>
        <v>0</v>
      </c>
      <c r="W95" s="2502"/>
      <c r="X95" s="2502"/>
      <c r="Y95" s="2502"/>
    </row>
    <row r="96" spans="1:25" ht="12.75" customHeight="1">
      <c r="C96" s="2668" t="str">
        <f>Texte!A5327</f>
        <v>E2: Feste Vergärungsprodukte</v>
      </c>
      <c r="D96" s="2669"/>
      <c r="E96" s="2669"/>
      <c r="F96" s="2669"/>
      <c r="G96" s="2670"/>
      <c r="H96" s="2671" t="s">
        <v>4111</v>
      </c>
      <c r="I96" s="2670"/>
      <c r="J96" s="2672"/>
      <c r="K96" s="2673">
        <f>SUM(FormE!G22:G24)</f>
        <v>0</v>
      </c>
      <c r="L96" s="2669"/>
      <c r="M96" s="2871"/>
      <c r="N96" s="2669"/>
      <c r="O96" s="2669"/>
      <c r="P96" s="2669"/>
      <c r="Q96" s="2669"/>
      <c r="R96" s="2559">
        <f>FormE!O26</f>
        <v>0</v>
      </c>
      <c r="S96" s="2560">
        <f>FormE!P26</f>
        <v>0</v>
      </c>
      <c r="T96" s="2560">
        <f>FormE!Q26</f>
        <v>0</v>
      </c>
      <c r="U96" s="2561">
        <f>FormE!R26</f>
        <v>0</v>
      </c>
      <c r="W96" s="2502"/>
      <c r="X96" s="2502"/>
      <c r="Y96" s="2502"/>
    </row>
    <row r="97" spans="2:25" ht="12.75" customHeight="1" thickBot="1">
      <c r="C97" s="2674" t="str">
        <f>Texte!A5329</f>
        <v>E3: Ernterückstände Gemüse</v>
      </c>
      <c r="D97" s="2655"/>
      <c r="E97" s="2655"/>
      <c r="F97" s="2655"/>
      <c r="G97" s="2675"/>
      <c r="H97" s="2676" t="str">
        <f>H96</f>
        <v>t</v>
      </c>
      <c r="I97" s="2675"/>
      <c r="J97" s="2677"/>
      <c r="K97" s="2678">
        <f>FormE!G29</f>
        <v>0</v>
      </c>
      <c r="L97" s="2655"/>
      <c r="M97" s="2872"/>
      <c r="N97" s="2655"/>
      <c r="O97" s="2655"/>
      <c r="P97" s="2655"/>
      <c r="Q97" s="2655"/>
      <c r="R97" s="2562">
        <f>FormE!O32</f>
        <v>0</v>
      </c>
      <c r="S97" s="2563">
        <f>FormE!P32</f>
        <v>0</v>
      </c>
      <c r="T97" s="2563">
        <f>FormE!Q32</f>
        <v>0</v>
      </c>
      <c r="U97" s="2564">
        <f>FormE!R32</f>
        <v>0</v>
      </c>
      <c r="W97" s="2502"/>
      <c r="X97" s="2502"/>
      <c r="Y97" s="2502"/>
    </row>
    <row r="98" spans="2:25" ht="4.7" customHeight="1" thickBot="1">
      <c r="C98" s="2555"/>
      <c r="D98" s="2555"/>
      <c r="E98" s="2555"/>
      <c r="F98" s="2555"/>
      <c r="G98" s="2555"/>
      <c r="H98" s="2555"/>
      <c r="I98" s="2555"/>
      <c r="J98" s="2555"/>
      <c r="K98" s="2555"/>
      <c r="L98" s="2555"/>
      <c r="M98" s="2867"/>
      <c r="N98" s="2555"/>
      <c r="O98" s="2555"/>
      <c r="P98" s="2555"/>
      <c r="Q98" s="2555"/>
      <c r="R98" s="2565"/>
      <c r="S98" s="2565"/>
      <c r="T98" s="2565"/>
      <c r="U98" s="2565"/>
      <c r="W98" s="2502"/>
      <c r="X98" s="2502"/>
      <c r="Y98" s="2502"/>
    </row>
    <row r="99" spans="2:25" ht="12.75" customHeight="1" thickBot="1">
      <c r="C99" s="2679" t="str">
        <f>Texte!A5340</f>
        <v>E: Gesamttotal Vergärungsprodukte und Ernterückstände Gemüse</v>
      </c>
      <c r="D99" s="2555"/>
      <c r="E99" s="2555"/>
      <c r="F99" s="2555"/>
      <c r="G99" s="2555"/>
      <c r="H99" s="2555"/>
      <c r="I99" s="2555"/>
      <c r="J99" s="2555"/>
      <c r="K99" s="2555"/>
      <c r="L99" s="2555"/>
      <c r="M99" s="2867"/>
      <c r="N99" s="2555"/>
      <c r="O99" s="2555"/>
      <c r="P99" s="2555"/>
      <c r="Q99" s="2680" t="s">
        <v>4827</v>
      </c>
      <c r="R99" s="2566">
        <f>SUM(R95:R97)</f>
        <v>0</v>
      </c>
      <c r="S99" s="2567">
        <f>SUM(S95:S97)</f>
        <v>0</v>
      </c>
      <c r="T99" s="2567">
        <f>SUM(T95:T97)</f>
        <v>0</v>
      </c>
      <c r="U99" s="2568">
        <f>SUM(U95:U97)</f>
        <v>0</v>
      </c>
      <c r="W99" s="2502"/>
      <c r="X99" s="2502"/>
      <c r="Y99" s="2502"/>
    </row>
    <row r="100" spans="2:25" ht="5.0999999999999996" customHeight="1">
      <c r="C100" s="2555"/>
      <c r="D100" s="2555"/>
      <c r="E100" s="2555"/>
      <c r="F100" s="2555"/>
      <c r="G100" s="2555"/>
      <c r="H100" s="2555"/>
      <c r="I100" s="2555"/>
      <c r="J100" s="2555"/>
      <c r="K100" s="2555"/>
      <c r="L100" s="2555"/>
      <c r="M100" s="2867"/>
      <c r="N100" s="2555"/>
      <c r="O100" s="2555"/>
      <c r="P100" s="2555"/>
      <c r="Q100" s="2555"/>
      <c r="R100" s="2555"/>
      <c r="S100" s="2555"/>
      <c r="T100" s="2555"/>
      <c r="U100" s="2555"/>
      <c r="W100" s="2502"/>
      <c r="X100" s="2502"/>
      <c r="Y100" s="2502"/>
    </row>
    <row r="101" spans="2:25" ht="16.5" thickBot="1">
      <c r="C101" s="2645" t="str">
        <f>Texte!A936</f>
        <v>Formular F:  Nährstoffbilanz</v>
      </c>
      <c r="D101" s="2555"/>
      <c r="E101" s="2555"/>
      <c r="F101" s="2555"/>
      <c r="G101" s="2555"/>
      <c r="H101" s="2555"/>
      <c r="I101" s="2555"/>
      <c r="J101" s="2555"/>
      <c r="K101" s="2555"/>
      <c r="L101" s="2555"/>
      <c r="M101" s="2867"/>
      <c r="N101" s="2555"/>
      <c r="O101" s="2555"/>
      <c r="P101" s="2555"/>
      <c r="Q101" s="2555"/>
      <c r="R101" s="2555"/>
      <c r="S101" s="2555"/>
      <c r="T101" s="2555"/>
      <c r="U101" s="2555"/>
      <c r="W101" s="2502"/>
      <c r="X101" s="2502"/>
      <c r="Y101" s="2502"/>
    </row>
    <row r="102" spans="2:25" ht="12.75" customHeight="1">
      <c r="B102" s="1765"/>
      <c r="C102" s="1804" t="str">
        <f>Texte!A937</f>
        <v>Berechnung des betriebsspezifischen N-Ausnutzungsgrades</v>
      </c>
      <c r="D102" s="1723"/>
      <c r="E102" s="1723"/>
      <c r="F102" s="1723"/>
      <c r="G102" s="1723"/>
      <c r="H102" s="1723"/>
      <c r="I102" s="1772"/>
      <c r="J102" s="872"/>
      <c r="K102" s="872"/>
      <c r="L102" s="872"/>
      <c r="M102" s="2867"/>
      <c r="N102" s="872"/>
      <c r="O102" s="872"/>
      <c r="P102" s="872"/>
      <c r="Q102" s="872"/>
      <c r="R102" s="872"/>
      <c r="S102" s="872"/>
      <c r="T102" s="872"/>
      <c r="U102" s="872"/>
      <c r="W102" s="2502"/>
      <c r="X102" s="2502"/>
      <c r="Y102" s="2502"/>
    </row>
    <row r="103" spans="2:25" ht="12.75" customHeight="1">
      <c r="B103" s="783"/>
      <c r="C103" s="1805" t="str">
        <f>Texte!A938</f>
        <v>Basis-N-Ausnutzungsgrad</v>
      </c>
      <c r="D103" s="683"/>
      <c r="E103" s="683"/>
      <c r="F103" s="683"/>
      <c r="G103" s="683"/>
      <c r="H103" s="683"/>
      <c r="I103" s="1806">
        <v>60</v>
      </c>
      <c r="M103" s="2873"/>
      <c r="W103" s="2502"/>
      <c r="X103" s="2502"/>
      <c r="Y103" s="2502"/>
    </row>
    <row r="104" spans="2:25" ht="12.75" customHeight="1">
      <c r="B104" s="783"/>
      <c r="C104" s="1805" t="str">
        <f>Texte!A939</f>
        <v>abzüglich</v>
      </c>
      <c r="D104" s="888">
        <f>IF(AND('SB1'!K5=0,'SB1'!P5=0),0,IF('SB1'!P5=0,0,IF('SB1'!K5=0,"Fehler",'SB1'!P5/('SB1'!K5*0.01))))</f>
        <v>54.43476197823118</v>
      </c>
      <c r="E104" s="683" t="s">
        <v>1512</v>
      </c>
      <c r="F104" s="827" t="str">
        <f>Texte!A940</f>
        <v>Offene Ackerfläche x 0.15</v>
      </c>
      <c r="G104" s="674"/>
      <c r="H104" s="674"/>
      <c r="I104" s="1807">
        <f>IF(D104=0,0,D104*0.15)</f>
        <v>8.1652142967346766</v>
      </c>
      <c r="M104" s="2873"/>
      <c r="W104" s="2502"/>
      <c r="X104" s="2502"/>
      <c r="Y104" s="2502"/>
    </row>
    <row r="105" spans="2:25" ht="12.75" customHeight="1" thickBot="1">
      <c r="B105" s="674"/>
      <c r="C105" s="1808"/>
      <c r="D105" s="888">
        <f>'SB1'!W68</f>
        <v>42.682002029601207</v>
      </c>
      <c r="E105" s="683" t="s">
        <v>1512</v>
      </c>
      <c r="F105" s="827" t="str">
        <f>Texte!A941</f>
        <v>Anteil Nges-Vollmist x 0.12</v>
      </c>
      <c r="G105" s="674"/>
      <c r="H105" s="674"/>
      <c r="I105" s="1807">
        <f>IF(D105=0,0,D105*0.12)</f>
        <v>5.1218402435521444</v>
      </c>
      <c r="M105" s="2873"/>
      <c r="W105" s="2502"/>
      <c r="X105" s="2502"/>
      <c r="Y105" s="2502"/>
    </row>
    <row r="106" spans="2:25" ht="12.75" customHeight="1" thickBot="1">
      <c r="B106" s="1765"/>
      <c r="C106" s="1809" t="str">
        <f>Texte!A942</f>
        <v>Total betriebsspezifischer Ausnutzungsgrad</v>
      </c>
      <c r="D106" s="925"/>
      <c r="E106" s="925"/>
      <c r="F106" s="925"/>
      <c r="G106" s="925"/>
      <c r="H106" s="925"/>
      <c r="I106" s="889">
        <f>I103-I104-I105</f>
        <v>46.712945459713183</v>
      </c>
      <c r="M106" s="2873"/>
      <c r="W106" s="2502"/>
      <c r="X106" s="2502"/>
      <c r="Y106" s="2502"/>
    </row>
    <row r="107" spans="2:25" ht="4.7" customHeight="1">
      <c r="B107" s="674"/>
      <c r="C107" s="783"/>
      <c r="D107" s="783"/>
      <c r="E107" s="783"/>
      <c r="G107" s="674"/>
      <c r="H107" s="674"/>
      <c r="I107" s="674"/>
      <c r="J107" s="674"/>
      <c r="K107" s="674"/>
      <c r="L107" s="674"/>
      <c r="M107" s="2873"/>
      <c r="N107" s="674"/>
      <c r="O107" s="674"/>
      <c r="W107" s="2502"/>
      <c r="X107" s="2502"/>
      <c r="Y107" s="2502"/>
    </row>
    <row r="108" spans="2:25" ht="12.75">
      <c r="B108" s="414"/>
      <c r="C108" s="788"/>
      <c r="D108" s="788"/>
      <c r="E108" s="788"/>
      <c r="F108" s="420"/>
      <c r="G108" s="477" t="str">
        <f>Texte!A943</f>
        <v>Gesamtbetrieblich</v>
      </c>
      <c r="H108" s="478"/>
      <c r="I108" s="478"/>
      <c r="J108" s="478"/>
      <c r="K108" s="478"/>
      <c r="L108" s="478"/>
      <c r="M108" s="2874"/>
      <c r="N108" s="478"/>
      <c r="O108" s="478"/>
      <c r="P108" s="479"/>
      <c r="Q108" s="480" t="str">
        <f>Texte!A944</f>
        <v>je Hektare düngbare Fläche (DF)</v>
      </c>
      <c r="R108" s="478"/>
      <c r="S108" s="478"/>
      <c r="T108" s="479"/>
      <c r="U108" s="669"/>
      <c r="W108" s="2502"/>
      <c r="X108" s="2502"/>
      <c r="Y108" s="2502"/>
    </row>
    <row r="109" spans="2:25" ht="11.25" customHeight="1">
      <c r="B109" s="80"/>
      <c r="C109" s="80"/>
      <c r="D109" s="80"/>
      <c r="E109" s="80"/>
      <c r="F109" s="481"/>
      <c r="G109" s="1810" t="str">
        <f>Texte!A945</f>
        <v>Nges</v>
      </c>
      <c r="H109" s="1811" t="str">
        <f>Texte!A946</f>
        <v>Nverf =</v>
      </c>
      <c r="I109" s="1812" t="str">
        <f>Texte!A947</f>
        <v>Nges x 12]</v>
      </c>
      <c r="J109" s="1777" t="s">
        <v>620</v>
      </c>
      <c r="K109" s="665"/>
      <c r="L109" s="740" t="s">
        <v>621</v>
      </c>
      <c r="M109" s="2875"/>
      <c r="N109" s="665"/>
      <c r="O109" s="740" t="s">
        <v>7031</v>
      </c>
      <c r="P109" s="666"/>
      <c r="Q109" s="667" t="str">
        <f>Texte!A945</f>
        <v>Nges</v>
      </c>
      <c r="R109" s="668" t="str">
        <f>Texte!A948</f>
        <v>Nverf</v>
      </c>
      <c r="S109" s="668" t="s">
        <v>620</v>
      </c>
      <c r="T109" s="668" t="s">
        <v>621</v>
      </c>
      <c r="U109" s="665" t="s">
        <v>7031</v>
      </c>
      <c r="W109" s="2502"/>
      <c r="X109" s="2502"/>
      <c r="Y109" s="2502"/>
    </row>
    <row r="110" spans="2:25" ht="3.75" customHeight="1">
      <c r="B110" s="80"/>
      <c r="C110" s="80"/>
      <c r="D110" s="80"/>
      <c r="E110" s="80"/>
      <c r="F110" s="481"/>
      <c r="G110" s="483"/>
      <c r="H110" s="484"/>
      <c r="I110" s="485"/>
      <c r="J110" s="466"/>
      <c r="K110" s="486"/>
      <c r="L110" s="466"/>
      <c r="M110" s="2876"/>
      <c r="N110" s="486"/>
      <c r="O110" s="466"/>
      <c r="P110" s="487"/>
      <c r="Q110" s="488"/>
      <c r="R110" s="413"/>
      <c r="S110" s="413"/>
      <c r="T110" s="413"/>
      <c r="U110" s="486"/>
      <c r="W110" s="2502"/>
      <c r="X110" s="2502"/>
      <c r="Y110" s="2502"/>
    </row>
    <row r="111" spans="2:25" ht="11.25" customHeight="1">
      <c r="B111" s="48"/>
      <c r="C111" s="80"/>
      <c r="D111" s="80"/>
      <c r="E111" s="80"/>
      <c r="F111" s="481"/>
      <c r="G111" s="700" t="s">
        <v>5484</v>
      </c>
      <c r="H111" s="701" t="s">
        <v>5484</v>
      </c>
      <c r="I111" s="662" t="s">
        <v>1512</v>
      </c>
      <c r="J111" s="701" t="s">
        <v>5484</v>
      </c>
      <c r="K111" s="662" t="s">
        <v>1512</v>
      </c>
      <c r="L111" s="701" t="s">
        <v>5484</v>
      </c>
      <c r="M111" s="2877"/>
      <c r="N111" s="704" t="s">
        <v>1512</v>
      </c>
      <c r="O111" s="701" t="s">
        <v>5484</v>
      </c>
      <c r="P111" s="704" t="s">
        <v>1512</v>
      </c>
      <c r="Q111" s="702" t="s">
        <v>5484</v>
      </c>
      <c r="R111" s="789" t="s">
        <v>5484</v>
      </c>
      <c r="S111" s="703" t="s">
        <v>5484</v>
      </c>
      <c r="T111" s="703" t="s">
        <v>5484</v>
      </c>
      <c r="U111" s="703" t="s">
        <v>5484</v>
      </c>
      <c r="W111" s="2502"/>
      <c r="X111" s="2502"/>
      <c r="Y111" s="2502"/>
    </row>
    <row r="112" spans="2:25">
      <c r="B112" s="109"/>
      <c r="C112" s="489" t="str">
        <f>Texte!A949</f>
        <v xml:space="preserve">Nährstoffe aus der Tierhaltung (% = Eigenversorgung Betrieb)  </v>
      </c>
      <c r="D112" s="476"/>
      <c r="E112" s="476"/>
      <c r="F112" s="790" t="s">
        <v>3879</v>
      </c>
      <c r="G112" s="490">
        <f>'SB1'!R49</f>
        <v>3774.5671315068485</v>
      </c>
      <c r="H112" s="491">
        <f>IF(G112=0,0,G112*I106/100)</f>
        <v>1763.2114854810543</v>
      </c>
      <c r="I112" s="891">
        <f>IF(OR(H112=0,H113=0)=TRUE,0,H112/(H113*0.01))</f>
        <v>14.7147016238475</v>
      </c>
      <c r="J112" s="491">
        <f>'SB1'!S49</f>
        <v>2121.7217000000001</v>
      </c>
      <c r="K112" s="891">
        <f>IF(OR(J112=0,J113=0)=TRUE,0,J112/(J113*0.01))</f>
        <v>41.277087793824663</v>
      </c>
      <c r="L112" s="491">
        <f>'SB1'!T49</f>
        <v>9475.9600000000009</v>
      </c>
      <c r="M112" s="2878"/>
      <c r="N112" s="657">
        <f>IF(OR(L112=0,L113=0)=TRUE,0,L112/(L113*0.01))</f>
        <v>55.420570149990787</v>
      </c>
      <c r="O112" s="491">
        <f>'SB1'!U49</f>
        <v>559.12</v>
      </c>
      <c r="P112" s="657">
        <f>IF(OR(O112=0,O113=0)=TRUE,0,O112/(O113*0.01))</f>
        <v>34.170888004645647</v>
      </c>
      <c r="Q112" s="670">
        <f>IF(OR(G112=0,'SB1'!U5=0)=TRUE,0,G112/'SB1'!U5)</f>
        <v>32.237616615395268</v>
      </c>
      <c r="R112" s="791">
        <f>IF(OR(H112=0,'SB1'!U5=0)=TRUE,0,H112/'SB1'!U5)</f>
        <v>15.059140267061025</v>
      </c>
      <c r="S112" s="492">
        <f>IF(OR(J112=0,'SB1'!U5=0)=TRUE,0,J112/'SB1'!U5)</f>
        <v>18.121084708820366</v>
      </c>
      <c r="T112" s="492">
        <f>IF(OR(L112=0,'SB1'!U5=0)=TRUE,0,L112/'SB1'!U5)</f>
        <v>80.931761152932282</v>
      </c>
      <c r="U112" s="492">
        <f>IF(OR(O112=0,'SB1'!U5=0)=TRUE,0,O112/'SB1'!U5)</f>
        <v>4.7753015310140068</v>
      </c>
      <c r="W112" s="2502"/>
      <c r="X112" s="2502"/>
      <c r="Y112" s="2502"/>
    </row>
    <row r="113" spans="2:25">
      <c r="B113" s="109"/>
      <c r="C113" s="475" t="str">
        <f>Texte!A950</f>
        <v>[ - ] Nährstoffbedarf der Kulturen</v>
      </c>
      <c r="D113" s="476"/>
      <c r="E113" s="476"/>
      <c r="F113" s="790" t="s">
        <v>3881</v>
      </c>
      <c r="G113" s="1011"/>
      <c r="H113" s="493">
        <f>R68</f>
        <v>11982.651979999999</v>
      </c>
      <c r="I113" s="891">
        <v>100</v>
      </c>
      <c r="J113" s="494">
        <f>S68</f>
        <v>5140.1923280000001</v>
      </c>
      <c r="K113" s="891">
        <v>100</v>
      </c>
      <c r="L113" s="494">
        <f>T68</f>
        <v>17098.27231</v>
      </c>
      <c r="M113" s="2879"/>
      <c r="N113" s="657">
        <v>100</v>
      </c>
      <c r="O113" s="494">
        <f>U68</f>
        <v>1636.2466200000003</v>
      </c>
      <c r="P113" s="657">
        <v>100</v>
      </c>
      <c r="Q113" s="1012"/>
      <c r="R113" s="657">
        <f>IF(OR(H113=0,'SB1'!U5=0)=TRUE,0,H113/'SB1'!U5)</f>
        <v>102.34077898430036</v>
      </c>
      <c r="S113" s="492">
        <f>IF(OR(J113=0,'SB1'!U5=0)=TRUE,0,J113/'SB1'!U5)</f>
        <v>43.901073640014403</v>
      </c>
      <c r="T113" s="492">
        <f>IF(OR(L113=0,'SB1'!U5=0)=TRUE,0,L113/'SB1'!U5)</f>
        <v>146.03198944705503</v>
      </c>
      <c r="U113" s="492">
        <f>IF(OR(O113=0,'SB1'!U5=0)=TRUE,0,O113/'SB1'!U5)</f>
        <v>13.974765684651768</v>
      </c>
      <c r="W113" s="2502"/>
      <c r="X113" s="2502"/>
      <c r="Y113" s="2502"/>
    </row>
    <row r="114" spans="2:25">
      <c r="B114" s="499"/>
      <c r="C114" s="503" t="str">
        <f>Texte!A951</f>
        <v xml:space="preserve">Zwischenbilanz </v>
      </c>
      <c r="D114" s="902"/>
      <c r="E114" s="902"/>
      <c r="F114" s="790" t="s">
        <v>3882</v>
      </c>
      <c r="G114" s="1011"/>
      <c r="H114" s="699">
        <f>IF(AND(H112=0,H113=0)=TRUE,0,IF(AND(H112=0,H113&lt;&gt;0)=TRUE,0-H113,IF(AND(H112&lt;&gt;0,H113="")=TRUE,H112,H112-H113)))</f>
        <v>-10219.440494518945</v>
      </c>
      <c r="I114" s="657"/>
      <c r="J114" s="699">
        <f>IF(AND(J112=0,J113=0)=TRUE,0,IF(AND(J112=0,J113&lt;&gt;0)=TRUE,0-J113,IF(AND(J112&lt;&gt;0,J113=0)=TRUE,J112,J112-J113)))</f>
        <v>-3018.470628</v>
      </c>
      <c r="K114" s="657"/>
      <c r="L114" s="699">
        <f>IF(AND(L112=0,L113=0)=TRUE,0,IF(AND(L112=0,L113&lt;&gt;0)=TRUE,0-L113,IF(AND(L112&lt;&gt;0,L113=0)=TRUE,L112,L112-L113)))</f>
        <v>-7622.3123099999993</v>
      </c>
      <c r="M114" s="2880"/>
      <c r="N114" s="657"/>
      <c r="O114" s="699">
        <f>IF(AND(O112=0,O113=0)=TRUE,0,IF(AND(O112=0,O113&lt;&gt;0)=TRUE,0-O113,IF(AND(O112&lt;&gt;0,O113=0)=TRUE,O112,O112-O113)))</f>
        <v>-1077.1266200000005</v>
      </c>
      <c r="P114" s="658"/>
      <c r="Q114" s="495"/>
      <c r="R114" s="903">
        <f>IF(OR(H114=0,'SB1'!U5=0)=TRUE,0,H114/'SB1'!U5)</f>
        <v>-87.281638717239346</v>
      </c>
      <c r="S114" s="904">
        <f>IF(OR(J114=0,'SB1'!U5=0)=TRUE,0,J114/'SB1'!U5)</f>
        <v>-25.77998893119404</v>
      </c>
      <c r="T114" s="904">
        <f>IF(OR(L114=0,'SB1'!U5=0)=TRUE,0,L114/'SB1'!U5)</f>
        <v>-65.100228294122743</v>
      </c>
      <c r="U114" s="904">
        <f>IF(OR(O114=0,'SB1'!U5=0)=TRUE,0,O114/'SB1'!U5)</f>
        <v>-9.199464153637761</v>
      </c>
      <c r="W114" s="2502"/>
      <c r="X114" s="2502"/>
      <c r="Y114" s="2502"/>
    </row>
    <row r="115" spans="2:25" ht="7.5" customHeight="1">
      <c r="B115" s="48"/>
      <c r="C115" s="499"/>
      <c r="D115" s="499"/>
      <c r="E115" s="499"/>
      <c r="F115" s="345"/>
      <c r="G115" s="466"/>
      <c r="H115" s="497"/>
      <c r="I115" s="462"/>
      <c r="J115" s="497"/>
      <c r="K115" s="462"/>
      <c r="L115" s="497"/>
      <c r="M115" s="2881"/>
      <c r="N115" s="497"/>
      <c r="O115" s="497"/>
      <c r="P115" s="497"/>
      <c r="Q115" s="498"/>
      <c r="R115" s="906"/>
      <c r="S115" s="906"/>
      <c r="T115" s="906"/>
      <c r="U115" s="906"/>
      <c r="W115" s="2502"/>
      <c r="X115" s="2502"/>
      <c r="Y115" s="2502"/>
    </row>
    <row r="116" spans="2:25" ht="12.75">
      <c r="B116" s="109"/>
      <c r="C116" s="489" t="str">
        <f>Texte!A952</f>
        <v>[ + ] Zu- und Wegfuhr von Hofdüngern</v>
      </c>
      <c r="D116" s="405"/>
      <c r="E116" s="405"/>
      <c r="F116" s="1766" t="s">
        <v>2661</v>
      </c>
      <c r="G116" s="864">
        <f>'SB1'!R64</f>
        <v>2310</v>
      </c>
      <c r="H116" s="659">
        <f>IF(G116=0,0,G116*I106/100)</f>
        <v>1079.0690401193744</v>
      </c>
      <c r="I116" s="1"/>
      <c r="J116" s="659">
        <f>'SB1'!S64</f>
        <v>1698</v>
      </c>
      <c r="K116" s="1"/>
      <c r="L116" s="867">
        <f>'SB1'!T64</f>
        <v>0</v>
      </c>
      <c r="M116" s="2865"/>
      <c r="N116" s="413"/>
      <c r="O116" s="867">
        <f>'SB1'!U64</f>
        <v>0</v>
      </c>
      <c r="P116" s="413"/>
      <c r="Q116" s="1"/>
      <c r="R116" s="657">
        <f>IF(OR(H116=0,'SB1'!U5=0)=TRUE,0,H116/'SB1'!U5)</f>
        <v>9.2160538692085137</v>
      </c>
      <c r="S116" s="492">
        <f>IF(OR(J116=0,'SB1'!U5=0)=TRUE,0,J116/'SB1'!U5)</f>
        <v>14.502185576730906</v>
      </c>
      <c r="T116" s="492">
        <f>IF(OR(L116=0,'SB1'!U5=0)=TRUE,0,L116/'SB1'!U5)</f>
        <v>0</v>
      </c>
      <c r="U116" s="492">
        <f>IF(OR(O116=0,'SB1'!U5=0)=TRUE,0,O116/'SB1'!U5)</f>
        <v>0</v>
      </c>
      <c r="W116" s="2502"/>
      <c r="X116" s="2502"/>
      <c r="Y116" s="2502"/>
    </row>
    <row r="117" spans="2:25" ht="12.75">
      <c r="B117" s="109"/>
      <c r="C117" s="489" t="str">
        <f>Texte!A953</f>
        <v>[ + ] Zufuhr übriger Dünger</v>
      </c>
      <c r="D117" s="405"/>
      <c r="E117" s="405"/>
      <c r="F117" s="1766" t="s">
        <v>379</v>
      </c>
      <c r="G117" s="863"/>
      <c r="H117" s="659">
        <f>R90</f>
        <v>5323.5</v>
      </c>
      <c r="I117" s="1"/>
      <c r="J117" s="659">
        <f>S90</f>
        <v>120</v>
      </c>
      <c r="K117" s="1"/>
      <c r="L117" s="867">
        <f>T90</f>
        <v>0</v>
      </c>
      <c r="M117" s="2865"/>
      <c r="N117" s="413"/>
      <c r="O117" s="867">
        <f>U90</f>
        <v>0</v>
      </c>
      <c r="P117" s="413"/>
      <c r="Q117" s="1"/>
      <c r="R117" s="657">
        <f>IF(OR(H117=0,'SB1'!U5=0)=TRUE,0,H117/'SB1'!U5)</f>
        <v>45.466657784291506</v>
      </c>
      <c r="S117" s="492">
        <f>IF(OR(J117=0,'SB1'!U5=0)=TRUE,0,J117/'SB1'!U5)</f>
        <v>1.0248894400516542</v>
      </c>
      <c r="T117" s="492">
        <f>IF(OR(L117=0,'SB1'!U5=0)=TRUE,0,L117/'SB1'!U5)</f>
        <v>0</v>
      </c>
      <c r="U117" s="492">
        <f>IF(OR(O117=0,'SB1'!U5=0)=TRUE,0,O117/'SB1'!U5)</f>
        <v>0</v>
      </c>
      <c r="W117" s="2502"/>
      <c r="X117" s="2502"/>
      <c r="Y117" s="2502"/>
    </row>
    <row r="118" spans="2:25" ht="12.75">
      <c r="B118" s="109"/>
      <c r="C118" s="489" t="str">
        <f>Texte!A5341</f>
        <v>[ + ] Zufuhr von Vergärungsprodukten und Ernterückstände Gemüse</v>
      </c>
      <c r="D118" s="405"/>
      <c r="E118" s="405"/>
      <c r="F118" s="1767" t="s">
        <v>4827</v>
      </c>
      <c r="G118" s="865"/>
      <c r="H118" s="659">
        <f>R99</f>
        <v>0</v>
      </c>
      <c r="I118" s="1"/>
      <c r="J118" s="659">
        <f>S99</f>
        <v>0</v>
      </c>
      <c r="K118" s="1"/>
      <c r="L118" s="867">
        <f>T99</f>
        <v>0</v>
      </c>
      <c r="M118" s="2878"/>
      <c r="N118" s="870"/>
      <c r="O118" s="867">
        <f>U99</f>
        <v>0</v>
      </c>
      <c r="P118" s="870"/>
      <c r="Q118" s="1"/>
      <c r="R118" s="1730">
        <f>IF(OR(H118=0,'SB1'!U5=0)=TRUE,0,H118/'SB1'!U5)</f>
        <v>0</v>
      </c>
      <c r="S118" s="841">
        <f>IF(OR(J118=0,'SB1'!U5=0)=TRUE,0,J118/'SB1'!U5)</f>
        <v>0</v>
      </c>
      <c r="T118" s="841">
        <f>IF(OR(L118=0,'SB1'!U5=0)=TRUE,0,L118/'SB1'!U5)</f>
        <v>0</v>
      </c>
      <c r="U118" s="753">
        <f>IF(OR(O118=0,'SB1'!U5=0)=TRUE,0,O118/'SB1'!U5)</f>
        <v>0</v>
      </c>
      <c r="W118" s="2502"/>
      <c r="X118" s="2502"/>
      <c r="Y118" s="2502"/>
    </row>
    <row r="119" spans="2:25" ht="13.5" thickBot="1">
      <c r="B119" s="109"/>
      <c r="C119" s="489" t="str">
        <f>Texte!A954</f>
        <v xml:space="preserve">[ - ] Nährstofftransfer für Futter von ungedüngten Wiesen       </v>
      </c>
      <c r="D119" s="405"/>
      <c r="E119" s="405"/>
      <c r="F119" s="1766" t="s">
        <v>3372</v>
      </c>
      <c r="G119" s="865"/>
      <c r="H119" s="494"/>
      <c r="I119" s="1"/>
      <c r="J119" s="659">
        <f>S33</f>
        <v>141.77599999999998</v>
      </c>
      <c r="K119" s="1"/>
      <c r="L119" s="494"/>
      <c r="M119" s="2878"/>
      <c r="N119" s="870"/>
      <c r="O119" s="494"/>
      <c r="P119" s="870"/>
      <c r="Q119" s="1"/>
      <c r="R119" s="496"/>
      <c r="S119" s="841">
        <f>IF(OR(J119=0,'SB1'!U5=0)=TRUE,0,J119/'SB1'!U5)</f>
        <v>1.2108727104396941</v>
      </c>
      <c r="T119" s="462"/>
      <c r="U119" s="496"/>
      <c r="W119" s="2502"/>
      <c r="X119" s="2502"/>
      <c r="Y119" s="2502"/>
    </row>
    <row r="120" spans="2:25" ht="13.5" thickBot="1">
      <c r="B120" s="499"/>
      <c r="C120" s="503" t="str">
        <f>Texte!A955</f>
        <v xml:space="preserve">Gesamtbilanz: alle Nährstoffe </v>
      </c>
      <c r="D120" s="504"/>
      <c r="E120" s="504"/>
      <c r="F120" s="1739" t="s">
        <v>1961</v>
      </c>
      <c r="G120" s="866"/>
      <c r="H120" s="673">
        <f>H114+H116+H117+H118</f>
        <v>-3816.8714543995702</v>
      </c>
      <c r="I120" s="892">
        <f>IF(H113=0,0,100+(H114+H116+H117+H118)/(H113)*100)</f>
        <v>68.146688556337665</v>
      </c>
      <c r="J120" s="673">
        <f>J114+J116+J117+J118-J119</f>
        <v>-1342.2466280000001</v>
      </c>
      <c r="K120" s="892">
        <f>IF(J113=0,0,100+(J114+J116+J117+J118-J119)/(J113)*100)</f>
        <v>73.88722945854721</v>
      </c>
      <c r="L120" s="660">
        <f>L114+L116+L117+L118</f>
        <v>-7622.3123099999993</v>
      </c>
      <c r="M120" s="2882"/>
      <c r="N120" s="871"/>
      <c r="O120" s="660">
        <f>O114+O116+O117+O118</f>
        <v>-1077.1266200000005</v>
      </c>
      <c r="P120" s="871"/>
      <c r="Q120" s="869"/>
      <c r="R120" s="660">
        <f>R114+R116+R117+R118</f>
        <v>-32.598927063739332</v>
      </c>
      <c r="S120" s="663">
        <f>S114+S116+S117+S118-S119</f>
        <v>-11.463786624851176</v>
      </c>
      <c r="T120" s="660">
        <f>T114+T116+T117+T118</f>
        <v>-65.100228294122743</v>
      </c>
      <c r="U120" s="660">
        <f>U114+U116+U117+U118</f>
        <v>-9.199464153637761</v>
      </c>
      <c r="W120" s="2502"/>
      <c r="X120" s="2502"/>
      <c r="Y120" s="2502"/>
    </row>
    <row r="121" spans="2:25" ht="11.25" customHeight="1">
      <c r="C121" s="1"/>
      <c r="D121" s="1"/>
      <c r="E121" s="1"/>
      <c r="F121" s="1"/>
      <c r="G121" s="1"/>
      <c r="H121" s="1"/>
      <c r="I121" s="883" t="str">
        <f>IF(I120 &gt; 100 + I122,Texte!A959,"")</f>
        <v/>
      </c>
      <c r="J121" s="1"/>
      <c r="K121" s="884" t="str">
        <f>IF(K120 &gt; 100 + K122,Texte!A960,"")</f>
        <v/>
      </c>
      <c r="L121" s="1"/>
      <c r="M121" s="2842"/>
      <c r="N121" s="1"/>
      <c r="O121" s="1"/>
      <c r="P121" s="1"/>
      <c r="Q121" s="1"/>
      <c r="R121" s="1"/>
      <c r="S121" s="459"/>
      <c r="T121" s="1"/>
      <c r="U121" s="459"/>
      <c r="V121" s="1"/>
      <c r="W121" s="2502"/>
      <c r="X121" s="2502"/>
      <c r="Y121" s="2502"/>
    </row>
    <row r="122" spans="2:25" ht="12.75" customHeight="1">
      <c r="B122" s="297"/>
      <c r="C122" s="442" t="str">
        <f>Texte!A956</f>
        <v>Maximaler Fehlerbereich für N und P2O5    13]</v>
      </c>
      <c r="D122" s="504"/>
      <c r="E122" s="504"/>
      <c r="F122" s="504"/>
      <c r="G122" s="1768"/>
      <c r="H122" s="2480">
        <f>IF(H113="",0,H113*I122/100)</f>
        <v>0</v>
      </c>
      <c r="I122" s="2433">
        <f>IF(Allg!Erntejahr &lt; 2024,10,0)</f>
        <v>0</v>
      </c>
      <c r="J122" s="2480">
        <f>IF(J113="",0,J113*K122/100)</f>
        <v>0</v>
      </c>
      <c r="K122" s="2476">
        <f>IF(Allg!Erntejahr &lt; 2024,10,0)</f>
        <v>0</v>
      </c>
      <c r="L122" s="861"/>
      <c r="M122" s="2883"/>
      <c r="N122" s="861"/>
      <c r="O122" s="861"/>
      <c r="P122" s="861"/>
      <c r="Q122" s="862"/>
      <c r="R122" s="446">
        <f>IF(R113=0,0,R113*I122/100)</f>
        <v>0</v>
      </c>
      <c r="S122" s="446">
        <f>IF(S113=0,0,S113*K122/100)</f>
        <v>0</v>
      </c>
      <c r="T122" s="905"/>
      <c r="U122" s="905"/>
      <c r="W122" s="2502"/>
      <c r="X122" s="2502"/>
      <c r="Y122" s="2502"/>
    </row>
    <row r="123" spans="2:25">
      <c r="B123" s="109"/>
      <c r="C123" s="2434" t="str">
        <f>Texte!A957</f>
        <v>Nährstoffzufuhr (+), -wegfuhr (-)</v>
      </c>
      <c r="D123" s="2435"/>
      <c r="E123" s="2435"/>
      <c r="F123" s="2435"/>
      <c r="G123" s="2436"/>
      <c r="H123" s="2479">
        <f>IF(H114=0,0,-H114)</f>
        <v>10219.440494518945</v>
      </c>
      <c r="I123" s="500"/>
      <c r="J123" s="501">
        <f>-J114+J119</f>
        <v>3160.2466279999999</v>
      </c>
      <c r="K123" s="500"/>
      <c r="L123" s="867">
        <f>IF(L114=0,0,-L114)</f>
        <v>7622.3123099999993</v>
      </c>
      <c r="M123" s="2865"/>
      <c r="N123" s="413"/>
      <c r="O123" s="867">
        <f>IF(O114=0,0,-O114)</f>
        <v>1077.1266200000005</v>
      </c>
      <c r="P123" s="413"/>
      <c r="Q123" s="868"/>
      <c r="R123" s="501">
        <f>IF(R114=0,0,-R114)</f>
        <v>87.281638717239346</v>
      </c>
      <c r="S123" s="501">
        <f>IF(S114=0,0,-S114)</f>
        <v>25.77998893119404</v>
      </c>
      <c r="T123" s="501">
        <f>IF(T114=0,0,-T114)</f>
        <v>65.100228294122743</v>
      </c>
      <c r="U123" s="501">
        <f>IF(U114=0,0,-U114)</f>
        <v>9.199464153637761</v>
      </c>
      <c r="W123" s="2502"/>
      <c r="X123" s="2502"/>
      <c r="Y123" s="2502"/>
    </row>
    <row r="124" spans="2:25">
      <c r="B124" s="109"/>
      <c r="C124" s="1769" t="str">
        <f>Texte!A958</f>
        <v>Nährstoffzufuhr (+), -wegfuhr (-) mit Fehlerbereich</v>
      </c>
      <c r="D124" s="502"/>
      <c r="E124" s="502"/>
      <c r="F124" s="440"/>
      <c r="G124" s="1770"/>
      <c r="H124" s="664">
        <f>IF(AND(H122=0,H123=0),0,H122+H123)</f>
        <v>10219.440494518945</v>
      </c>
      <c r="I124" s="462"/>
      <c r="J124" s="664">
        <f>IF(AND(J122=0,J123=0),0,J122+J123)</f>
        <v>3160.2466279999999</v>
      </c>
      <c r="K124" s="462"/>
      <c r="L124" s="497"/>
      <c r="M124" s="2881"/>
      <c r="N124" s="497"/>
      <c r="O124" s="497"/>
      <c r="P124" s="497"/>
      <c r="Q124" s="498"/>
      <c r="R124" s="664">
        <f>IF(R123=0,0,R122+R123)</f>
        <v>87.281638717239346</v>
      </c>
      <c r="S124" s="664">
        <f>IF(S123=0,0,S122+S123)</f>
        <v>25.77998893119404</v>
      </c>
      <c r="T124" s="906"/>
      <c r="U124" s="906"/>
      <c r="W124" s="2502"/>
      <c r="X124" s="2502"/>
      <c r="Y124" s="2502"/>
    </row>
    <row r="125" spans="2:25" ht="9.75" customHeight="1">
      <c r="C125" s="1"/>
      <c r="D125" s="1"/>
      <c r="E125" s="1"/>
      <c r="F125" s="1"/>
      <c r="G125" s="1"/>
      <c r="H125" s="1"/>
      <c r="I125" s="883"/>
      <c r="J125" s="1"/>
      <c r="K125" s="884"/>
      <c r="L125" s="1"/>
      <c r="M125" s="2842"/>
      <c r="N125" s="1"/>
      <c r="O125" s="1"/>
      <c r="P125" s="1"/>
      <c r="Q125" s="1"/>
      <c r="R125" s="1"/>
      <c r="S125" s="459"/>
      <c r="T125" s="1"/>
      <c r="U125" s="459"/>
      <c r="V125" s="1"/>
      <c r="W125" s="2502"/>
      <c r="X125" s="2502"/>
      <c r="Y125" s="2502"/>
    </row>
    <row r="126" spans="2:25" ht="12.75">
      <c r="C126" s="137" t="str">
        <f>Texte!A961</f>
        <v>Ort, Datum :</v>
      </c>
      <c r="D126" s="505"/>
      <c r="E126" s="506"/>
      <c r="F126" s="507"/>
      <c r="G126" s="507"/>
      <c r="H126" s="507"/>
      <c r="I126" s="507"/>
      <c r="J126" s="507"/>
      <c r="K126" s="80"/>
      <c r="M126" s="2873"/>
      <c r="O126" s="1"/>
      <c r="P126" s="328" t="str">
        <f>Texte!A962</f>
        <v>Unterschrift :</v>
      </c>
      <c r="Q126" s="507"/>
      <c r="R126" s="507"/>
      <c r="S126" s="507"/>
      <c r="T126" s="507"/>
      <c r="U126" s="507"/>
      <c r="W126" s="2502"/>
      <c r="X126" s="2502"/>
      <c r="Y126" s="2502"/>
    </row>
    <row r="127" spans="2:25">
      <c r="M127" s="2873"/>
      <c r="W127" s="2502"/>
      <c r="X127" s="2502"/>
      <c r="Y127" s="2502"/>
    </row>
  </sheetData>
  <sheetProtection algorithmName="SHA-512" hashValue="/RLdciBzUuMKsrn+CUN3RRdA+5DPq1aydwZU3oitbxrgynypmcObashpSkkboYGBQHugfEuPe9VJNd4lof9FKg==" saltValue="TH2cIXeGlLQ6PZy6kYLAbQ==" spinCount="100000" sheet="1" objects="1" scenarios="1"/>
  <mergeCells count="1">
    <mergeCell ref="R93:U93"/>
  </mergeCells>
  <phoneticPr fontId="65" type="noConversion"/>
  <conditionalFormatting sqref="J27:J29 K29">
    <cfRule type="expression" dxfId="91" priority="3">
      <formula>$X27 = 0</formula>
    </cfRule>
  </conditionalFormatting>
  <printOptions horizontalCentered="1"/>
  <pageMargins left="0.39370078740157483" right="0.19685039370078741" top="0.51181102362204722" bottom="0.51181102362204722" header="0" footer="0.31496062992125984"/>
  <pageSetup paperSize="9" scale="56"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3329" r:id="rId4" name="Butt NB1">
              <controlPr defaultSize="0" print="0" autoFill="0" autoLine="0" autoPict="0" macro="[0]!D_Fläche_nach_Nb2">
                <anchor moveWithCells="1" sizeWithCells="1">
                  <from>
                    <xdr:col>14</xdr:col>
                    <xdr:colOff>95250</xdr:colOff>
                    <xdr:row>4</xdr:row>
                    <xdr:rowOff>57150</xdr:rowOff>
                  </from>
                  <to>
                    <xdr:col>20</xdr:col>
                    <xdr:colOff>476250</xdr:colOff>
                    <xdr:row>5</xdr:row>
                    <xdr:rowOff>190500</xdr:rowOff>
                  </to>
                </anchor>
              </controlPr>
            </control>
          </ns1:Choice>
        </ns1:AlternateContent>
      </controls>
    </ns1:Choice>
  </ns1: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indexed="43"/>
    <pageSetUpPr fitToPage="1"/>
  </sheetPr>
  <dimension ref="A1:O69"/>
  <sheetViews>
    <sheetView showGridLines="0" showRowColHeaders="0" showZeros="0" workbookViewId="0">
      <selection activeCell="B12" sqref="B12"/>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7109375" customWidth="1"/>
    <col min="3" max="3" width="23.7109375" customWidth="1"/>
    <col min="4" max="4" width="7.7109375" customWidth="1"/>
    <col min="5" max="8" width="5.7109375" customWidth="1"/>
    <col min="9" max="12" width="8.7109375" customWidth="1"/>
    <col min="13" max="15" width="3.7109375" customWidth="1"/>
  </cols>
  <sheetData>
    <row r="1" spans="1:15" ht="42" customHeight="1">
      <c r="A1" s="1"/>
      <c r="B1" s="19" t="str">
        <f>Q!NW_Tit</f>
        <v xml:space="preserve">                                   Nachweis</v>
      </c>
      <c r="C1" s="1"/>
      <c r="D1" s="1"/>
      <c r="E1" s="1"/>
      <c r="F1" s="1"/>
      <c r="G1" s="1"/>
      <c r="H1" s="1"/>
      <c r="I1" s="1"/>
      <c r="J1" s="1"/>
      <c r="K1" s="1"/>
      <c r="O1" s="20" t="str">
        <f>Q!F22</f>
        <v>SuiBi: Reben, andere Dauerkulturen</v>
      </c>
    </row>
    <row r="2" spans="1:15" ht="11.1" customHeight="1" thickBot="1">
      <c r="A2" s="1"/>
      <c r="B2" s="21"/>
      <c r="C2" s="21"/>
      <c r="D2" s="21"/>
      <c r="E2" s="21"/>
      <c r="F2" s="21"/>
      <c r="G2" s="21"/>
      <c r="H2" s="21"/>
      <c r="I2" s="21"/>
      <c r="J2" s="21"/>
      <c r="K2" s="21"/>
      <c r="L2" s="44"/>
      <c r="M2" s="44"/>
      <c r="N2" s="44"/>
      <c r="O2" s="44"/>
    </row>
    <row r="3" spans="1:15" ht="21.95" customHeight="1">
      <c r="A3" s="1"/>
      <c r="B3" s="1861" t="str">
        <f>Texte!A13</f>
        <v>Betrieb:</v>
      </c>
      <c r="C3" s="1433" t="str">
        <f>Allg!$C$9&amp;""</f>
        <v>Imhof &amp; Zaehner Betriebsgemeinschaft</v>
      </c>
      <c r="D3" s="569"/>
      <c r="E3" s="569"/>
      <c r="F3" s="569"/>
      <c r="G3" s="1863" t="str">
        <f>Texte!A14</f>
        <v>Variante:</v>
      </c>
      <c r="H3" s="1433" t="str">
        <f>IF(ISBLANK(Allg!G7),"",Allg!G7)</f>
        <v/>
      </c>
      <c r="I3" s="569"/>
      <c r="J3" s="569"/>
      <c r="K3" s="1863" t="str">
        <f>Texte!A15</f>
        <v>Jahr:</v>
      </c>
      <c r="L3" s="571">
        <f>IF(Allg!G6="","",Allg!G6)</f>
        <v>2026</v>
      </c>
      <c r="M3" s="1868"/>
      <c r="N3" s="1868"/>
      <c r="O3" s="1868"/>
    </row>
    <row r="4" spans="1:15" ht="20.100000000000001" customHeight="1">
      <c r="A4" s="1"/>
      <c r="B4" s="510" t="str">
        <f>Texte!A980</f>
        <v>Zusatzformular "Reben und andere Dauerkulturen"</v>
      </c>
      <c r="C4" s="234"/>
      <c r="D4" s="1"/>
      <c r="E4" s="1"/>
      <c r="F4" s="1"/>
      <c r="G4" s="1"/>
      <c r="H4" s="43"/>
      <c r="I4" s="1"/>
      <c r="J4" s="1"/>
    </row>
    <row r="5" spans="1:15" ht="16.149999999999999" customHeight="1">
      <c r="A5" s="1"/>
      <c r="B5" s="45" t="str">
        <f>Texte!A987</f>
        <v>Netto-Nährstoffbedarf gemäss Wegleitung Suisse-Bilanz</v>
      </c>
      <c r="C5" s="23"/>
      <c r="D5" s="23"/>
      <c r="E5" s="23"/>
      <c r="F5" s="23"/>
      <c r="G5" s="23"/>
      <c r="H5" s="23"/>
      <c r="I5" s="23"/>
      <c r="J5" s="23"/>
      <c r="K5" s="23"/>
      <c r="L5" s="23"/>
      <c r="O5" s="1823"/>
    </row>
    <row r="6" spans="1:15" ht="7.15" customHeight="1">
      <c r="A6" s="1"/>
      <c r="B6" s="45"/>
      <c r="C6" s="23"/>
      <c r="D6" s="23"/>
      <c r="E6" s="23"/>
      <c r="F6" s="23"/>
      <c r="G6" s="23"/>
      <c r="H6" s="23"/>
      <c r="I6" s="23"/>
      <c r="J6" s="23"/>
      <c r="K6" s="23"/>
      <c r="L6" s="23"/>
    </row>
    <row r="7" spans="1:15" ht="12.75">
      <c r="A7" s="1"/>
      <c r="B7" s="298"/>
      <c r="C7" s="299"/>
      <c r="D7" s="489"/>
      <c r="E7" s="409" t="str">
        <f>Texte!A1046</f>
        <v>Netto-Nährstoffbedarf</v>
      </c>
      <c r="F7" s="465"/>
      <c r="G7" s="465"/>
      <c r="H7" s="465"/>
      <c r="I7" s="511" t="str">
        <f>Texte!A1049</f>
        <v>Netto-Nährstoffbedarf</v>
      </c>
      <c r="J7" s="465"/>
      <c r="K7" s="465"/>
      <c r="L7" s="482"/>
      <c r="M7" s="3435" t="str">
        <f>Texte!A984</f>
        <v>Korrektur-</v>
      </c>
      <c r="N7" s="3436"/>
      <c r="O7" s="3437"/>
    </row>
    <row r="8" spans="1:15" ht="12.75">
      <c r="A8" s="1"/>
      <c r="B8" s="898" t="str">
        <f>Texte!A1006</f>
        <v>Reben</v>
      </c>
      <c r="C8" s="109"/>
      <c r="D8" s="467" t="str">
        <f>Texte!A1044</f>
        <v>Fläche</v>
      </c>
      <c r="E8" s="412" t="str">
        <f>Texte!A1047</f>
        <v>in</v>
      </c>
      <c r="F8" s="413"/>
      <c r="G8" s="413"/>
      <c r="H8" s="413"/>
      <c r="I8" s="512" t="str">
        <f>Texte!A1050</f>
        <v>in</v>
      </c>
      <c r="J8" s="413"/>
      <c r="K8" s="413"/>
      <c r="L8" s="486"/>
      <c r="M8" s="3438" t="str">
        <f>Texte!A985</f>
        <v>faktoren</v>
      </c>
      <c r="N8" s="3439"/>
      <c r="O8" s="3440"/>
    </row>
    <row r="9" spans="1:15" ht="12.75">
      <c r="A9" s="1"/>
      <c r="B9" s="469" t="str">
        <f>Texte!A991</f>
        <v>Parzelle, Sorte</v>
      </c>
      <c r="C9" s="109"/>
      <c r="D9" s="467" t="s">
        <v>5675</v>
      </c>
      <c r="E9" s="412" t="str">
        <f>Texte!A1048</f>
        <v>kg pro ha</v>
      </c>
      <c r="F9" s="413"/>
      <c r="G9" s="413"/>
      <c r="H9" s="413"/>
      <c r="I9" s="512" t="str">
        <f>Texte!A1051</f>
        <v xml:space="preserve">kg pro Jahr </v>
      </c>
      <c r="J9" s="413"/>
      <c r="K9" s="413"/>
      <c r="L9" s="486"/>
      <c r="M9" s="772"/>
      <c r="N9" s="674"/>
      <c r="O9" s="671"/>
    </row>
    <row r="10" spans="1:15" ht="12.75">
      <c r="A10" s="1"/>
      <c r="B10" s="354" t="str">
        <f>Texte!A992</f>
        <v>Standardertrag: Weinreben, Tafeltrauben</v>
      </c>
      <c r="C10" s="353"/>
      <c r="D10" s="435"/>
      <c r="E10" s="435" t="s">
        <v>1511</v>
      </c>
      <c r="F10" s="430" t="s">
        <v>2415</v>
      </c>
      <c r="G10" s="430" t="s">
        <v>7030</v>
      </c>
      <c r="H10" s="430" t="s">
        <v>7031</v>
      </c>
      <c r="I10" s="435" t="str">
        <f>Texte!A963</f>
        <v>N</v>
      </c>
      <c r="J10" s="430" t="s">
        <v>2415</v>
      </c>
      <c r="K10" s="430" t="s">
        <v>7030</v>
      </c>
      <c r="L10" s="470" t="s">
        <v>7031</v>
      </c>
      <c r="M10" s="430" t="s">
        <v>4701</v>
      </c>
      <c r="N10" s="430" t="s">
        <v>4702</v>
      </c>
      <c r="O10" s="470" t="s">
        <v>7031</v>
      </c>
    </row>
    <row r="11" spans="1:15" ht="12.75">
      <c r="A11" s="1"/>
      <c r="B11" s="513" t="str">
        <f>Texte!A995</f>
        <v>Beispiel: Buck, Gewürztraminer</v>
      </c>
      <c r="C11" s="514"/>
      <c r="D11" s="847">
        <v>0.4</v>
      </c>
      <c r="E11" s="848">
        <v>50</v>
      </c>
      <c r="F11" s="849">
        <v>27</v>
      </c>
      <c r="G11" s="849">
        <v>78</v>
      </c>
      <c r="H11" s="849">
        <v>25</v>
      </c>
      <c r="I11" s="848">
        <f>IF(OR(ISBLANK(B11),ISBLANK(D11)),"",ROUND(D11*E11,1))</f>
        <v>20</v>
      </c>
      <c r="J11" s="849">
        <f>IF(OR(ISBLANK(B11),ISBLANK(D11)),"",ROUND(D11*F11,1))</f>
        <v>10.8</v>
      </c>
      <c r="K11" s="849">
        <f>IF(OR(ISBLANK(B11),ISBLANK(D11)),"",ROUND(D11*G11,1))</f>
        <v>31.2</v>
      </c>
      <c r="L11" s="850">
        <f>IF(OR(ISBLANK(B11),ISBLANK(D11)),"",ROUND(D11*H11,1))</f>
        <v>10</v>
      </c>
      <c r="M11" s="1837">
        <v>1</v>
      </c>
      <c r="N11" s="1838">
        <v>1</v>
      </c>
      <c r="O11" s="1839">
        <v>1</v>
      </c>
    </row>
    <row r="12" spans="1:15" ht="12.75">
      <c r="A12" s="1"/>
      <c r="B12" s="932"/>
      <c r="C12" s="931"/>
      <c r="D12" s="346"/>
      <c r="E12" s="851" t="str">
        <f>IF($B12="","",E$11)</f>
        <v/>
      </c>
      <c r="F12" s="852" t="str">
        <f>IF($B12="","",F$11)</f>
        <v/>
      </c>
      <c r="G12" s="852" t="str">
        <f t="shared" ref="G12:H25" si="0">IF($B12="","",G$11)</f>
        <v/>
      </c>
      <c r="H12" s="852" t="str">
        <f t="shared" si="0"/>
        <v/>
      </c>
      <c r="I12" s="851" t="str">
        <f>IF(OR(ISBLANK(B12),ISBLANK(D12)),"",ROUND(D12*E12,1))</f>
        <v/>
      </c>
      <c r="J12" s="852" t="str">
        <f>IF(OR(ISBLANK(B12),ISBLANK(D12)),"",(ROUND(D12*F12,1))*M12)</f>
        <v/>
      </c>
      <c r="K12" s="852" t="str">
        <f>IF(OR(ISBLANK(B12),ISBLANK(D12)),"",(ROUND(D12*G12,1))*N12)</f>
        <v/>
      </c>
      <c r="L12" s="853" t="str">
        <f>IF(OR(ISBLANK(B12),ISBLANK(D12)),"",(ROUND(D12*H12,1))*O12)</f>
        <v/>
      </c>
      <c r="M12" s="1840">
        <v>1</v>
      </c>
      <c r="N12" s="1841">
        <v>1</v>
      </c>
      <c r="O12" s="1842">
        <v>1</v>
      </c>
    </row>
    <row r="13" spans="1:15" ht="12.75">
      <c r="A13" s="1"/>
      <c r="B13" s="932"/>
      <c r="C13" s="931"/>
      <c r="D13" s="346"/>
      <c r="E13" s="851" t="str">
        <f t="shared" ref="E13:F25" si="1">IF($B13="","",E$11)</f>
        <v/>
      </c>
      <c r="F13" s="852" t="str">
        <f t="shared" si="1"/>
        <v/>
      </c>
      <c r="G13" s="852" t="str">
        <f t="shared" si="0"/>
        <v/>
      </c>
      <c r="H13" s="852" t="str">
        <f t="shared" si="0"/>
        <v/>
      </c>
      <c r="I13" s="851" t="str">
        <f t="shared" ref="I13:I26" si="2">IF(OR(ISBLANK(B13),ISBLANK(D13)),"",ROUND(D13*E13,1))</f>
        <v/>
      </c>
      <c r="J13" s="852" t="str">
        <f t="shared" ref="J13:J26" si="3">IF(OR(ISBLANK(B13),ISBLANK(D13)),"",(ROUND(D13*F13,1))*M13)</f>
        <v/>
      </c>
      <c r="K13" s="852" t="str">
        <f t="shared" ref="K13:K26" si="4">IF(OR(ISBLANK(B13),ISBLANK(D13)),"",(ROUND(D13*G13,1))*N13)</f>
        <v/>
      </c>
      <c r="L13" s="853" t="str">
        <f t="shared" ref="L13:L26" si="5">IF(OR(ISBLANK(B13),ISBLANK(D13)),"",(ROUND(D13*H13,1))*O13)</f>
        <v/>
      </c>
      <c r="M13" s="1840">
        <v>1</v>
      </c>
      <c r="N13" s="1841">
        <v>1</v>
      </c>
      <c r="O13" s="1842">
        <v>1</v>
      </c>
    </row>
    <row r="14" spans="1:15" ht="12.75">
      <c r="A14" s="1"/>
      <c r="B14" s="932"/>
      <c r="C14" s="931"/>
      <c r="D14" s="346"/>
      <c r="E14" s="851" t="str">
        <f t="shared" si="1"/>
        <v/>
      </c>
      <c r="F14" s="852" t="str">
        <f t="shared" si="1"/>
        <v/>
      </c>
      <c r="G14" s="852" t="str">
        <f t="shared" si="0"/>
        <v/>
      </c>
      <c r="H14" s="852" t="str">
        <f t="shared" si="0"/>
        <v/>
      </c>
      <c r="I14" s="851" t="str">
        <f t="shared" si="2"/>
        <v/>
      </c>
      <c r="J14" s="852" t="str">
        <f t="shared" si="3"/>
        <v/>
      </c>
      <c r="K14" s="852" t="str">
        <f t="shared" si="4"/>
        <v/>
      </c>
      <c r="L14" s="853" t="str">
        <f t="shared" si="5"/>
        <v/>
      </c>
      <c r="M14" s="1840">
        <v>1</v>
      </c>
      <c r="N14" s="1841">
        <v>1</v>
      </c>
      <c r="O14" s="1842">
        <v>1</v>
      </c>
    </row>
    <row r="15" spans="1:15" ht="12.75">
      <c r="A15" s="1"/>
      <c r="B15" s="932"/>
      <c r="C15" s="931"/>
      <c r="D15" s="346"/>
      <c r="E15" s="851" t="str">
        <f t="shared" si="1"/>
        <v/>
      </c>
      <c r="F15" s="852" t="str">
        <f t="shared" si="1"/>
        <v/>
      </c>
      <c r="G15" s="852" t="str">
        <f t="shared" si="0"/>
        <v/>
      </c>
      <c r="H15" s="852" t="str">
        <f t="shared" si="0"/>
        <v/>
      </c>
      <c r="I15" s="851" t="str">
        <f t="shared" si="2"/>
        <v/>
      </c>
      <c r="J15" s="852" t="str">
        <f t="shared" si="3"/>
        <v/>
      </c>
      <c r="K15" s="852" t="str">
        <f t="shared" si="4"/>
        <v/>
      </c>
      <c r="L15" s="853" t="str">
        <f t="shared" si="5"/>
        <v/>
      </c>
      <c r="M15" s="1840">
        <v>1</v>
      </c>
      <c r="N15" s="1841">
        <v>1</v>
      </c>
      <c r="O15" s="1842">
        <v>1</v>
      </c>
    </row>
    <row r="16" spans="1:15" ht="12.75">
      <c r="A16" s="1"/>
      <c r="B16" s="932"/>
      <c r="C16" s="931"/>
      <c r="D16" s="346"/>
      <c r="E16" s="851" t="str">
        <f t="shared" si="1"/>
        <v/>
      </c>
      <c r="F16" s="852" t="str">
        <f t="shared" si="1"/>
        <v/>
      </c>
      <c r="G16" s="852" t="str">
        <f t="shared" si="0"/>
        <v/>
      </c>
      <c r="H16" s="852" t="str">
        <f t="shared" si="0"/>
        <v/>
      </c>
      <c r="I16" s="851" t="str">
        <f t="shared" si="2"/>
        <v/>
      </c>
      <c r="J16" s="852" t="str">
        <f t="shared" si="3"/>
        <v/>
      </c>
      <c r="K16" s="852" t="str">
        <f t="shared" si="4"/>
        <v/>
      </c>
      <c r="L16" s="853" t="str">
        <f t="shared" si="5"/>
        <v/>
      </c>
      <c r="M16" s="1840">
        <v>1</v>
      </c>
      <c r="N16" s="1841">
        <v>1</v>
      </c>
      <c r="O16" s="1842">
        <v>1</v>
      </c>
    </row>
    <row r="17" spans="1:15" ht="12.75">
      <c r="A17" s="1"/>
      <c r="B17" s="932"/>
      <c r="C17" s="931"/>
      <c r="D17" s="346"/>
      <c r="E17" s="851" t="str">
        <f t="shared" si="1"/>
        <v/>
      </c>
      <c r="F17" s="852" t="str">
        <f t="shared" si="1"/>
        <v/>
      </c>
      <c r="G17" s="852" t="str">
        <f t="shared" si="0"/>
        <v/>
      </c>
      <c r="H17" s="852" t="str">
        <f t="shared" si="0"/>
        <v/>
      </c>
      <c r="I17" s="851" t="str">
        <f t="shared" si="2"/>
        <v/>
      </c>
      <c r="J17" s="852" t="str">
        <f t="shared" si="3"/>
        <v/>
      </c>
      <c r="K17" s="852" t="str">
        <f t="shared" si="4"/>
        <v/>
      </c>
      <c r="L17" s="853" t="str">
        <f t="shared" si="5"/>
        <v/>
      </c>
      <c r="M17" s="1840">
        <v>1</v>
      </c>
      <c r="N17" s="1841">
        <v>1</v>
      </c>
      <c r="O17" s="1842">
        <v>1</v>
      </c>
    </row>
    <row r="18" spans="1:15" ht="12.75">
      <c r="A18" s="1"/>
      <c r="B18" s="932"/>
      <c r="C18" s="931"/>
      <c r="D18" s="346"/>
      <c r="E18" s="851" t="str">
        <f t="shared" si="1"/>
        <v/>
      </c>
      <c r="F18" s="852" t="str">
        <f t="shared" si="1"/>
        <v/>
      </c>
      <c r="G18" s="852" t="str">
        <f t="shared" si="0"/>
        <v/>
      </c>
      <c r="H18" s="852" t="str">
        <f t="shared" si="0"/>
        <v/>
      </c>
      <c r="I18" s="851" t="str">
        <f t="shared" si="2"/>
        <v/>
      </c>
      <c r="J18" s="852" t="str">
        <f t="shared" si="3"/>
        <v/>
      </c>
      <c r="K18" s="852" t="str">
        <f t="shared" si="4"/>
        <v/>
      </c>
      <c r="L18" s="853" t="str">
        <f t="shared" si="5"/>
        <v/>
      </c>
      <c r="M18" s="1840">
        <v>1</v>
      </c>
      <c r="N18" s="1841">
        <v>1</v>
      </c>
      <c r="O18" s="1842">
        <v>1</v>
      </c>
    </row>
    <row r="19" spans="1:15" ht="12.75">
      <c r="A19" s="1"/>
      <c r="B19" s="932"/>
      <c r="C19" s="931"/>
      <c r="D19" s="346"/>
      <c r="E19" s="851" t="str">
        <f t="shared" si="1"/>
        <v/>
      </c>
      <c r="F19" s="852" t="str">
        <f t="shared" si="1"/>
        <v/>
      </c>
      <c r="G19" s="852" t="str">
        <f t="shared" si="0"/>
        <v/>
      </c>
      <c r="H19" s="852" t="str">
        <f t="shared" si="0"/>
        <v/>
      </c>
      <c r="I19" s="851" t="str">
        <f t="shared" si="2"/>
        <v/>
      </c>
      <c r="J19" s="852" t="str">
        <f t="shared" si="3"/>
        <v/>
      </c>
      <c r="K19" s="852" t="str">
        <f t="shared" si="4"/>
        <v/>
      </c>
      <c r="L19" s="853" t="str">
        <f t="shared" si="5"/>
        <v/>
      </c>
      <c r="M19" s="1840">
        <v>1</v>
      </c>
      <c r="N19" s="1841">
        <v>1</v>
      </c>
      <c r="O19" s="1842">
        <v>1</v>
      </c>
    </row>
    <row r="20" spans="1:15" ht="12.75">
      <c r="A20" s="1"/>
      <c r="B20" s="932"/>
      <c r="C20" s="931"/>
      <c r="D20" s="346"/>
      <c r="E20" s="851" t="str">
        <f t="shared" si="1"/>
        <v/>
      </c>
      <c r="F20" s="852" t="str">
        <f t="shared" si="1"/>
        <v/>
      </c>
      <c r="G20" s="852" t="str">
        <f t="shared" si="0"/>
        <v/>
      </c>
      <c r="H20" s="852" t="str">
        <f t="shared" si="0"/>
        <v/>
      </c>
      <c r="I20" s="851" t="str">
        <f t="shared" si="2"/>
        <v/>
      </c>
      <c r="J20" s="852" t="str">
        <f t="shared" si="3"/>
        <v/>
      </c>
      <c r="K20" s="852" t="str">
        <f t="shared" si="4"/>
        <v/>
      </c>
      <c r="L20" s="853" t="str">
        <f t="shared" si="5"/>
        <v/>
      </c>
      <c r="M20" s="1840">
        <v>1</v>
      </c>
      <c r="N20" s="1841">
        <v>1</v>
      </c>
      <c r="O20" s="1842">
        <v>1</v>
      </c>
    </row>
    <row r="21" spans="1:15" ht="12.75">
      <c r="A21" s="1"/>
      <c r="B21" s="932"/>
      <c r="C21" s="931"/>
      <c r="D21" s="346"/>
      <c r="E21" s="851" t="str">
        <f t="shared" si="1"/>
        <v/>
      </c>
      <c r="F21" s="852" t="str">
        <f t="shared" si="1"/>
        <v/>
      </c>
      <c r="G21" s="852" t="str">
        <f t="shared" si="0"/>
        <v/>
      </c>
      <c r="H21" s="852" t="str">
        <f t="shared" si="0"/>
        <v/>
      </c>
      <c r="I21" s="851" t="str">
        <f t="shared" si="2"/>
        <v/>
      </c>
      <c r="J21" s="852" t="str">
        <f t="shared" si="3"/>
        <v/>
      </c>
      <c r="K21" s="852" t="str">
        <f t="shared" si="4"/>
        <v/>
      </c>
      <c r="L21" s="853" t="str">
        <f t="shared" si="5"/>
        <v/>
      </c>
      <c r="M21" s="1840">
        <v>1</v>
      </c>
      <c r="N21" s="1841">
        <v>1</v>
      </c>
      <c r="O21" s="1842">
        <v>1</v>
      </c>
    </row>
    <row r="22" spans="1:15" ht="12.75">
      <c r="A22" s="1"/>
      <c r="B22" s="932"/>
      <c r="C22" s="931"/>
      <c r="D22" s="346"/>
      <c r="E22" s="851" t="str">
        <f t="shared" si="1"/>
        <v/>
      </c>
      <c r="F22" s="852" t="str">
        <f t="shared" si="1"/>
        <v/>
      </c>
      <c r="G22" s="852" t="str">
        <f t="shared" si="0"/>
        <v/>
      </c>
      <c r="H22" s="852" t="str">
        <f t="shared" si="0"/>
        <v/>
      </c>
      <c r="I22" s="851" t="str">
        <f t="shared" si="2"/>
        <v/>
      </c>
      <c r="J22" s="852" t="str">
        <f t="shared" si="3"/>
        <v/>
      </c>
      <c r="K22" s="852" t="str">
        <f t="shared" si="4"/>
        <v/>
      </c>
      <c r="L22" s="853" t="str">
        <f t="shared" si="5"/>
        <v/>
      </c>
      <c r="M22" s="1840">
        <v>1</v>
      </c>
      <c r="N22" s="1841">
        <v>1</v>
      </c>
      <c r="O22" s="1842">
        <v>1</v>
      </c>
    </row>
    <row r="23" spans="1:15" ht="12.75">
      <c r="A23" s="1"/>
      <c r="B23" s="932"/>
      <c r="C23" s="931"/>
      <c r="D23" s="346"/>
      <c r="E23" s="851" t="str">
        <f t="shared" si="1"/>
        <v/>
      </c>
      <c r="F23" s="852" t="str">
        <f t="shared" si="1"/>
        <v/>
      </c>
      <c r="G23" s="852" t="str">
        <f t="shared" si="0"/>
        <v/>
      </c>
      <c r="H23" s="852" t="str">
        <f t="shared" si="0"/>
        <v/>
      </c>
      <c r="I23" s="851" t="str">
        <f t="shared" si="2"/>
        <v/>
      </c>
      <c r="J23" s="852" t="str">
        <f t="shared" si="3"/>
        <v/>
      </c>
      <c r="K23" s="852" t="str">
        <f t="shared" si="4"/>
        <v/>
      </c>
      <c r="L23" s="853" t="str">
        <f t="shared" si="5"/>
        <v/>
      </c>
      <c r="M23" s="1840">
        <v>1</v>
      </c>
      <c r="N23" s="1841">
        <v>1</v>
      </c>
      <c r="O23" s="1842">
        <v>1</v>
      </c>
    </row>
    <row r="24" spans="1:15" ht="12.75">
      <c r="A24" s="1"/>
      <c r="B24" s="932"/>
      <c r="C24" s="931"/>
      <c r="D24" s="346"/>
      <c r="E24" s="851" t="str">
        <f t="shared" si="1"/>
        <v/>
      </c>
      <c r="F24" s="852" t="str">
        <f t="shared" si="1"/>
        <v/>
      </c>
      <c r="G24" s="852" t="str">
        <f t="shared" si="0"/>
        <v/>
      </c>
      <c r="H24" s="852" t="str">
        <f t="shared" si="0"/>
        <v/>
      </c>
      <c r="I24" s="851" t="str">
        <f t="shared" si="2"/>
        <v/>
      </c>
      <c r="J24" s="852" t="str">
        <f t="shared" si="3"/>
        <v/>
      </c>
      <c r="K24" s="852" t="str">
        <f t="shared" si="4"/>
        <v/>
      </c>
      <c r="L24" s="853" t="str">
        <f t="shared" si="5"/>
        <v/>
      </c>
      <c r="M24" s="1840">
        <v>1</v>
      </c>
      <c r="N24" s="1841">
        <v>1</v>
      </c>
      <c r="O24" s="1842">
        <v>1</v>
      </c>
    </row>
    <row r="25" spans="1:15" ht="12.75">
      <c r="A25" s="1"/>
      <c r="B25" s="932"/>
      <c r="C25" s="931"/>
      <c r="D25" s="346"/>
      <c r="E25" s="851" t="str">
        <f t="shared" si="1"/>
        <v/>
      </c>
      <c r="F25" s="852" t="str">
        <f t="shared" si="1"/>
        <v/>
      </c>
      <c r="G25" s="852" t="str">
        <f t="shared" si="0"/>
        <v/>
      </c>
      <c r="H25" s="852" t="str">
        <f t="shared" si="0"/>
        <v/>
      </c>
      <c r="I25" s="851" t="str">
        <f t="shared" si="2"/>
        <v/>
      </c>
      <c r="J25" s="852" t="str">
        <f t="shared" si="3"/>
        <v/>
      </c>
      <c r="K25" s="852" t="str">
        <f t="shared" si="4"/>
        <v/>
      </c>
      <c r="L25" s="853" t="str">
        <f t="shared" si="5"/>
        <v/>
      </c>
      <c r="M25" s="1840">
        <v>1</v>
      </c>
      <c r="N25" s="1841">
        <v>1</v>
      </c>
      <c r="O25" s="1842">
        <v>1</v>
      </c>
    </row>
    <row r="26" spans="1:15" ht="12.75">
      <c r="A26" s="1"/>
      <c r="B26" s="1819"/>
      <c r="C26" s="1820"/>
      <c r="D26" s="1821"/>
      <c r="E26" s="1827"/>
      <c r="F26" s="1828"/>
      <c r="G26" s="1828"/>
      <c r="H26" s="1828"/>
      <c r="I26" s="1829" t="str">
        <f t="shared" si="2"/>
        <v/>
      </c>
      <c r="J26" s="1830" t="str">
        <f t="shared" si="3"/>
        <v/>
      </c>
      <c r="K26" s="1830" t="str">
        <f t="shared" si="4"/>
        <v/>
      </c>
      <c r="L26" s="1831" t="str">
        <f t="shared" si="5"/>
        <v/>
      </c>
      <c r="M26" s="1849">
        <v>1</v>
      </c>
      <c r="N26" s="1850">
        <v>1</v>
      </c>
      <c r="O26" s="1851">
        <v>1</v>
      </c>
    </row>
    <row r="27" spans="1:15" ht="12.75">
      <c r="A27" s="1"/>
      <c r="B27" s="475" t="str">
        <f>Texte!A993</f>
        <v>Hoher Ertrag: Tafeltrauben</v>
      </c>
      <c r="C27" s="476"/>
      <c r="D27" s="1822"/>
      <c r="E27" s="435" t="s">
        <v>1511</v>
      </c>
      <c r="F27" s="430" t="s">
        <v>2415</v>
      </c>
      <c r="G27" s="430" t="s">
        <v>7030</v>
      </c>
      <c r="H27" s="430" t="s">
        <v>7031</v>
      </c>
      <c r="I27" s="435" t="str">
        <f t="shared" ref="I27:O27" si="6">I10</f>
        <v>N</v>
      </c>
      <c r="J27" s="430" t="s">
        <v>2415</v>
      </c>
      <c r="K27" s="430" t="s">
        <v>7030</v>
      </c>
      <c r="L27" s="470" t="s">
        <v>7031</v>
      </c>
      <c r="M27" s="1852" t="str">
        <f t="shared" si="6"/>
        <v>P</v>
      </c>
      <c r="N27" s="1853" t="str">
        <f t="shared" si="6"/>
        <v>K</v>
      </c>
      <c r="O27" s="1854" t="str">
        <f t="shared" si="6"/>
        <v>Mg</v>
      </c>
    </row>
    <row r="28" spans="1:15" ht="12.75">
      <c r="A28" s="1"/>
      <c r="B28" s="513" t="str">
        <f>Texte!A996</f>
        <v>Beispiel: Buck, Muscat bleu</v>
      </c>
      <c r="C28" s="514"/>
      <c r="D28" s="847">
        <v>0.3</v>
      </c>
      <c r="E28" s="848">
        <v>60</v>
      </c>
      <c r="F28" s="849">
        <v>34</v>
      </c>
      <c r="G28" s="849">
        <v>102</v>
      </c>
      <c r="H28" s="849">
        <v>25</v>
      </c>
      <c r="I28" s="848">
        <f>IF(OR(ISBLANK(B28),ISBLANK(D28)),"",ROUND(D28*E28,1))</f>
        <v>18</v>
      </c>
      <c r="J28" s="849">
        <f>IF(OR(ISBLANK(B28),ISBLANK(D28)),"",ROUND(D28*F28,1))</f>
        <v>10.199999999999999</v>
      </c>
      <c r="K28" s="849">
        <f>IF(OR(ISBLANK(B28),ISBLANK(D28)),"",ROUND(D28*G28,1))</f>
        <v>30.6</v>
      </c>
      <c r="L28" s="850">
        <f>IF(OR(ISBLANK(B28),ISBLANK(D28)),"",ROUND(D28*H28,1))</f>
        <v>7.5</v>
      </c>
      <c r="M28" s="1837">
        <v>1</v>
      </c>
      <c r="N28" s="1838">
        <v>1</v>
      </c>
      <c r="O28" s="1839">
        <v>1</v>
      </c>
    </row>
    <row r="29" spans="1:15" ht="12.75">
      <c r="A29" s="1"/>
      <c r="B29" s="932"/>
      <c r="C29" s="931"/>
      <c r="D29" s="346"/>
      <c r="E29" s="851" t="str">
        <f>IF($B29="","",E$28)</f>
        <v/>
      </c>
      <c r="F29" s="852" t="str">
        <f>IF($B29="","",F$28)</f>
        <v/>
      </c>
      <c r="G29" s="852" t="str">
        <f>IF($B29="","",G$28)</f>
        <v/>
      </c>
      <c r="H29" s="852" t="str">
        <f>IF($B29="","",H$28)</f>
        <v/>
      </c>
      <c r="I29" s="851" t="str">
        <f>IF(OR(ISBLANK(B29),ISBLANK(D29)),"",ROUND(D29*E29,1))</f>
        <v/>
      </c>
      <c r="J29" s="852" t="str">
        <f>IF(OR(ISBLANK(B29),ISBLANK(D29)),"",(ROUND(D29*F29,1))*M29)</f>
        <v/>
      </c>
      <c r="K29" s="852" t="str">
        <f>IF(OR(ISBLANK(B29),ISBLANK(D29)),"",(ROUND(D29*G29,1))*N29)</f>
        <v/>
      </c>
      <c r="L29" s="853" t="str">
        <f>IF(OR(ISBLANK(B29),ISBLANK(D29)),"",(ROUND(D29*H29,1))*O29)</f>
        <v/>
      </c>
      <c r="M29" s="1840">
        <v>1</v>
      </c>
      <c r="N29" s="1841">
        <v>1</v>
      </c>
      <c r="O29" s="1842">
        <v>1</v>
      </c>
    </row>
    <row r="30" spans="1:15" ht="12.75">
      <c r="A30" s="1"/>
      <c r="B30" s="932"/>
      <c r="C30" s="931"/>
      <c r="D30" s="346"/>
      <c r="E30" s="851" t="str">
        <f t="shared" ref="E30:H42" si="7">IF($B30="","",E$28)</f>
        <v/>
      </c>
      <c r="F30" s="852" t="str">
        <f t="shared" si="7"/>
        <v/>
      </c>
      <c r="G30" s="852" t="str">
        <f t="shared" si="7"/>
        <v/>
      </c>
      <c r="H30" s="852" t="str">
        <f t="shared" si="7"/>
        <v/>
      </c>
      <c r="I30" s="851" t="str">
        <f t="shared" ref="I30:I43" si="8">IF(OR(ISBLANK(B30),ISBLANK(D30)),"",ROUND(D30*E30,1))</f>
        <v/>
      </c>
      <c r="J30" s="852" t="str">
        <f t="shared" ref="J30:J43" si="9">IF(OR(ISBLANK(B30),ISBLANK(D30)),"",(ROUND(D30*F30,1))*M30)</f>
        <v/>
      </c>
      <c r="K30" s="852" t="str">
        <f t="shared" ref="K30:K43" si="10">IF(OR(ISBLANK(B30),ISBLANK(D30)),"",(ROUND(D30*G30,1))*N30)</f>
        <v/>
      </c>
      <c r="L30" s="853" t="str">
        <f t="shared" ref="L30:L43" si="11">IF(OR(ISBLANK(B30),ISBLANK(D30)),"",(ROUND(D30*H30,1))*O30)</f>
        <v/>
      </c>
      <c r="M30" s="1840">
        <v>1</v>
      </c>
      <c r="N30" s="1841">
        <v>1</v>
      </c>
      <c r="O30" s="1842">
        <v>1</v>
      </c>
    </row>
    <row r="31" spans="1:15" ht="12.75">
      <c r="A31" s="1"/>
      <c r="B31" s="932"/>
      <c r="C31" s="931"/>
      <c r="D31" s="346"/>
      <c r="E31" s="851" t="str">
        <f t="shared" si="7"/>
        <v/>
      </c>
      <c r="F31" s="852" t="str">
        <f t="shared" si="7"/>
        <v/>
      </c>
      <c r="G31" s="852" t="str">
        <f t="shared" si="7"/>
        <v/>
      </c>
      <c r="H31" s="852" t="str">
        <f t="shared" si="7"/>
        <v/>
      </c>
      <c r="I31" s="851" t="str">
        <f t="shared" si="8"/>
        <v/>
      </c>
      <c r="J31" s="852" t="str">
        <f t="shared" si="9"/>
        <v/>
      </c>
      <c r="K31" s="852" t="str">
        <f t="shared" si="10"/>
        <v/>
      </c>
      <c r="L31" s="853" t="str">
        <f t="shared" si="11"/>
        <v/>
      </c>
      <c r="M31" s="1840">
        <v>1</v>
      </c>
      <c r="N31" s="1841">
        <v>1</v>
      </c>
      <c r="O31" s="1842">
        <v>1</v>
      </c>
    </row>
    <row r="32" spans="1:15" ht="12.75">
      <c r="A32" s="1"/>
      <c r="B32" s="932"/>
      <c r="C32" s="931"/>
      <c r="D32" s="346"/>
      <c r="E32" s="851" t="str">
        <f t="shared" si="7"/>
        <v/>
      </c>
      <c r="F32" s="852" t="str">
        <f t="shared" si="7"/>
        <v/>
      </c>
      <c r="G32" s="852" t="str">
        <f t="shared" si="7"/>
        <v/>
      </c>
      <c r="H32" s="852" t="str">
        <f t="shared" si="7"/>
        <v/>
      </c>
      <c r="I32" s="851" t="str">
        <f t="shared" si="8"/>
        <v/>
      </c>
      <c r="J32" s="852" t="str">
        <f t="shared" si="9"/>
        <v/>
      </c>
      <c r="K32" s="852" t="str">
        <f t="shared" si="10"/>
        <v/>
      </c>
      <c r="L32" s="853" t="str">
        <f t="shared" si="11"/>
        <v/>
      </c>
      <c r="M32" s="1840">
        <v>1</v>
      </c>
      <c r="N32" s="1841">
        <v>1</v>
      </c>
      <c r="O32" s="1842">
        <v>1</v>
      </c>
    </row>
    <row r="33" spans="1:15" ht="12.75">
      <c r="A33" s="1"/>
      <c r="B33" s="932"/>
      <c r="C33" s="931"/>
      <c r="D33" s="346"/>
      <c r="E33" s="851" t="str">
        <f t="shared" si="7"/>
        <v/>
      </c>
      <c r="F33" s="852" t="str">
        <f t="shared" si="7"/>
        <v/>
      </c>
      <c r="G33" s="852" t="str">
        <f t="shared" si="7"/>
        <v/>
      </c>
      <c r="H33" s="852" t="str">
        <f t="shared" si="7"/>
        <v/>
      </c>
      <c r="I33" s="851" t="str">
        <f t="shared" si="8"/>
        <v/>
      </c>
      <c r="J33" s="852" t="str">
        <f t="shared" si="9"/>
        <v/>
      </c>
      <c r="K33" s="852" t="str">
        <f t="shared" si="10"/>
        <v/>
      </c>
      <c r="L33" s="853" t="str">
        <f t="shared" si="11"/>
        <v/>
      </c>
      <c r="M33" s="1840">
        <v>1</v>
      </c>
      <c r="N33" s="1841">
        <v>1</v>
      </c>
      <c r="O33" s="1842">
        <v>1</v>
      </c>
    </row>
    <row r="34" spans="1:15" ht="12.75">
      <c r="A34" s="1"/>
      <c r="B34" s="932"/>
      <c r="C34" s="931"/>
      <c r="D34" s="346"/>
      <c r="E34" s="851" t="str">
        <f t="shared" si="7"/>
        <v/>
      </c>
      <c r="F34" s="852" t="str">
        <f t="shared" si="7"/>
        <v/>
      </c>
      <c r="G34" s="852" t="str">
        <f t="shared" si="7"/>
        <v/>
      </c>
      <c r="H34" s="852" t="str">
        <f t="shared" si="7"/>
        <v/>
      </c>
      <c r="I34" s="851" t="str">
        <f t="shared" si="8"/>
        <v/>
      </c>
      <c r="J34" s="852" t="str">
        <f t="shared" si="9"/>
        <v/>
      </c>
      <c r="K34" s="852" t="str">
        <f t="shared" si="10"/>
        <v/>
      </c>
      <c r="L34" s="853" t="str">
        <f t="shared" si="11"/>
        <v/>
      </c>
      <c r="M34" s="1840">
        <v>1</v>
      </c>
      <c r="N34" s="1841">
        <v>1</v>
      </c>
      <c r="O34" s="1842">
        <v>1</v>
      </c>
    </row>
    <row r="35" spans="1:15" ht="12.75">
      <c r="A35" s="1"/>
      <c r="B35" s="932"/>
      <c r="C35" s="931"/>
      <c r="D35" s="346"/>
      <c r="E35" s="851" t="str">
        <f t="shared" si="7"/>
        <v/>
      </c>
      <c r="F35" s="852" t="str">
        <f t="shared" si="7"/>
        <v/>
      </c>
      <c r="G35" s="852" t="str">
        <f t="shared" si="7"/>
        <v/>
      </c>
      <c r="H35" s="852" t="str">
        <f t="shared" si="7"/>
        <v/>
      </c>
      <c r="I35" s="851" t="str">
        <f t="shared" si="8"/>
        <v/>
      </c>
      <c r="J35" s="852" t="str">
        <f t="shared" si="9"/>
        <v/>
      </c>
      <c r="K35" s="852" t="str">
        <f t="shared" si="10"/>
        <v/>
      </c>
      <c r="L35" s="853" t="str">
        <f t="shared" si="11"/>
        <v/>
      </c>
      <c r="M35" s="1840">
        <v>1</v>
      </c>
      <c r="N35" s="1841">
        <v>1</v>
      </c>
      <c r="O35" s="1842">
        <v>1</v>
      </c>
    </row>
    <row r="36" spans="1:15" ht="12.75">
      <c r="A36" s="1"/>
      <c r="B36" s="932"/>
      <c r="C36" s="931"/>
      <c r="D36" s="346"/>
      <c r="E36" s="851" t="str">
        <f t="shared" si="7"/>
        <v/>
      </c>
      <c r="F36" s="852" t="str">
        <f t="shared" si="7"/>
        <v/>
      </c>
      <c r="G36" s="852" t="str">
        <f t="shared" si="7"/>
        <v/>
      </c>
      <c r="H36" s="852" t="str">
        <f t="shared" si="7"/>
        <v/>
      </c>
      <c r="I36" s="851" t="str">
        <f t="shared" si="8"/>
        <v/>
      </c>
      <c r="J36" s="852" t="str">
        <f t="shared" si="9"/>
        <v/>
      </c>
      <c r="K36" s="852" t="str">
        <f t="shared" si="10"/>
        <v/>
      </c>
      <c r="L36" s="853" t="str">
        <f t="shared" si="11"/>
        <v/>
      </c>
      <c r="M36" s="1840">
        <v>1</v>
      </c>
      <c r="N36" s="1841">
        <v>1</v>
      </c>
      <c r="O36" s="1842">
        <v>1</v>
      </c>
    </row>
    <row r="37" spans="1:15" ht="12.75">
      <c r="A37" s="1"/>
      <c r="B37" s="932"/>
      <c r="C37" s="931"/>
      <c r="D37" s="346"/>
      <c r="E37" s="851" t="str">
        <f t="shared" si="7"/>
        <v/>
      </c>
      <c r="F37" s="852" t="str">
        <f t="shared" si="7"/>
        <v/>
      </c>
      <c r="G37" s="852" t="str">
        <f t="shared" si="7"/>
        <v/>
      </c>
      <c r="H37" s="852" t="str">
        <f t="shared" si="7"/>
        <v/>
      </c>
      <c r="I37" s="851" t="str">
        <f t="shared" si="8"/>
        <v/>
      </c>
      <c r="J37" s="852" t="str">
        <f t="shared" si="9"/>
        <v/>
      </c>
      <c r="K37" s="852" t="str">
        <f t="shared" si="10"/>
        <v/>
      </c>
      <c r="L37" s="853" t="str">
        <f t="shared" si="11"/>
        <v/>
      </c>
      <c r="M37" s="1840">
        <v>1</v>
      </c>
      <c r="N37" s="1841">
        <v>1</v>
      </c>
      <c r="O37" s="1842">
        <v>1</v>
      </c>
    </row>
    <row r="38" spans="1:15" ht="12.75">
      <c r="A38" s="1"/>
      <c r="B38" s="932"/>
      <c r="C38" s="931"/>
      <c r="D38" s="346"/>
      <c r="E38" s="851" t="str">
        <f t="shared" si="7"/>
        <v/>
      </c>
      <c r="F38" s="852" t="str">
        <f t="shared" si="7"/>
        <v/>
      </c>
      <c r="G38" s="852" t="str">
        <f t="shared" si="7"/>
        <v/>
      </c>
      <c r="H38" s="852" t="str">
        <f t="shared" si="7"/>
        <v/>
      </c>
      <c r="I38" s="851" t="str">
        <f t="shared" si="8"/>
        <v/>
      </c>
      <c r="J38" s="852" t="str">
        <f t="shared" si="9"/>
        <v/>
      </c>
      <c r="K38" s="852" t="str">
        <f t="shared" si="10"/>
        <v/>
      </c>
      <c r="L38" s="853" t="str">
        <f t="shared" si="11"/>
        <v/>
      </c>
      <c r="M38" s="1840">
        <v>1</v>
      </c>
      <c r="N38" s="1841">
        <v>1</v>
      </c>
      <c r="O38" s="1842">
        <v>1</v>
      </c>
    </row>
    <row r="39" spans="1:15" ht="12.75">
      <c r="A39" s="1"/>
      <c r="B39" s="932"/>
      <c r="C39" s="931"/>
      <c r="D39" s="346"/>
      <c r="E39" s="851" t="str">
        <f t="shared" si="7"/>
        <v/>
      </c>
      <c r="F39" s="852" t="str">
        <f t="shared" si="7"/>
        <v/>
      </c>
      <c r="G39" s="852" t="str">
        <f t="shared" si="7"/>
        <v/>
      </c>
      <c r="H39" s="852" t="str">
        <f t="shared" si="7"/>
        <v/>
      </c>
      <c r="I39" s="851" t="str">
        <f t="shared" si="8"/>
        <v/>
      </c>
      <c r="J39" s="852" t="str">
        <f t="shared" si="9"/>
        <v/>
      </c>
      <c r="K39" s="852" t="str">
        <f t="shared" si="10"/>
        <v/>
      </c>
      <c r="L39" s="853" t="str">
        <f t="shared" si="11"/>
        <v/>
      </c>
      <c r="M39" s="1840">
        <v>1</v>
      </c>
      <c r="N39" s="1841">
        <v>1</v>
      </c>
      <c r="O39" s="1842">
        <v>1</v>
      </c>
    </row>
    <row r="40" spans="1:15" ht="12.75">
      <c r="A40" s="1"/>
      <c r="B40" s="932"/>
      <c r="C40" s="931"/>
      <c r="D40" s="346"/>
      <c r="E40" s="851" t="str">
        <f t="shared" si="7"/>
        <v/>
      </c>
      <c r="F40" s="852" t="str">
        <f t="shared" si="7"/>
        <v/>
      </c>
      <c r="G40" s="852" t="str">
        <f t="shared" si="7"/>
        <v/>
      </c>
      <c r="H40" s="852" t="str">
        <f t="shared" si="7"/>
        <v/>
      </c>
      <c r="I40" s="851" t="str">
        <f t="shared" si="8"/>
        <v/>
      </c>
      <c r="J40" s="852" t="str">
        <f t="shared" si="9"/>
        <v/>
      </c>
      <c r="K40" s="852" t="str">
        <f t="shared" si="10"/>
        <v/>
      </c>
      <c r="L40" s="853" t="str">
        <f t="shared" si="11"/>
        <v/>
      </c>
      <c r="M40" s="1840">
        <v>1</v>
      </c>
      <c r="N40" s="1841">
        <v>1</v>
      </c>
      <c r="O40" s="1842">
        <v>1</v>
      </c>
    </row>
    <row r="41" spans="1:15" ht="12.75">
      <c r="A41" s="1"/>
      <c r="B41" s="932"/>
      <c r="C41" s="931"/>
      <c r="D41" s="346"/>
      <c r="E41" s="851" t="str">
        <f t="shared" si="7"/>
        <v/>
      </c>
      <c r="F41" s="852" t="str">
        <f t="shared" si="7"/>
        <v/>
      </c>
      <c r="G41" s="852" t="str">
        <f t="shared" si="7"/>
        <v/>
      </c>
      <c r="H41" s="852" t="str">
        <f t="shared" si="7"/>
        <v/>
      </c>
      <c r="I41" s="851" t="str">
        <f t="shared" si="8"/>
        <v/>
      </c>
      <c r="J41" s="852" t="str">
        <f t="shared" si="9"/>
        <v/>
      </c>
      <c r="K41" s="852" t="str">
        <f t="shared" si="10"/>
        <v/>
      </c>
      <c r="L41" s="853" t="str">
        <f t="shared" si="11"/>
        <v/>
      </c>
      <c r="M41" s="1840">
        <v>1</v>
      </c>
      <c r="N41" s="1841">
        <v>1</v>
      </c>
      <c r="O41" s="1842">
        <v>1</v>
      </c>
    </row>
    <row r="42" spans="1:15" ht="12.75">
      <c r="A42" s="1"/>
      <c r="B42" s="932"/>
      <c r="C42" s="931"/>
      <c r="D42" s="346"/>
      <c r="E42" s="851" t="str">
        <f t="shared" si="7"/>
        <v/>
      </c>
      <c r="F42" s="852" t="str">
        <f t="shared" si="7"/>
        <v/>
      </c>
      <c r="G42" s="852" t="str">
        <f t="shared" si="7"/>
        <v/>
      </c>
      <c r="H42" s="852" t="str">
        <f t="shared" si="7"/>
        <v/>
      </c>
      <c r="I42" s="851" t="str">
        <f t="shared" si="8"/>
        <v/>
      </c>
      <c r="J42" s="852" t="str">
        <f t="shared" si="9"/>
        <v/>
      </c>
      <c r="K42" s="852" t="str">
        <f t="shared" si="10"/>
        <v/>
      </c>
      <c r="L42" s="853" t="str">
        <f t="shared" si="11"/>
        <v/>
      </c>
      <c r="M42" s="1840">
        <v>1</v>
      </c>
      <c r="N42" s="1841">
        <v>1</v>
      </c>
      <c r="O42" s="1842">
        <v>1</v>
      </c>
    </row>
    <row r="43" spans="1:15" ht="13.5" thickBot="1">
      <c r="A43" s="1"/>
      <c r="B43" s="932"/>
      <c r="C43" s="931"/>
      <c r="D43" s="346"/>
      <c r="E43" s="929"/>
      <c r="F43" s="930"/>
      <c r="G43" s="930"/>
      <c r="H43" s="930"/>
      <c r="I43" s="851" t="str">
        <f t="shared" si="8"/>
        <v/>
      </c>
      <c r="J43" s="852" t="str">
        <f t="shared" si="9"/>
        <v/>
      </c>
      <c r="K43" s="852" t="str">
        <f t="shared" si="10"/>
        <v/>
      </c>
      <c r="L43" s="853" t="str">
        <f t="shared" si="11"/>
        <v/>
      </c>
      <c r="M43" s="1843">
        <v>1</v>
      </c>
      <c r="N43" s="1844">
        <v>1</v>
      </c>
      <c r="O43" s="1845">
        <v>1</v>
      </c>
    </row>
    <row r="44" spans="1:15" ht="13.5" thickBot="1">
      <c r="A44" s="1"/>
      <c r="B44" s="299"/>
      <c r="C44" s="2588" t="str">
        <f>Texte!A1053</f>
        <v>Anbaufläche (Hektaren):</v>
      </c>
      <c r="D44" s="879">
        <f>SUM(D12:D26,D29:D43)</f>
        <v>0</v>
      </c>
      <c r="E44" s="299"/>
      <c r="F44" s="299"/>
      <c r="G44" s="770"/>
      <c r="H44" s="2588" t="str">
        <f>Texte!A998</f>
        <v>Nährstoffbedarf Reben:</v>
      </c>
      <c r="I44" s="854">
        <f>SUM(I12:I26,I29:I43)</f>
        <v>0</v>
      </c>
      <c r="J44" s="854">
        <f>SUM(J12:J26,J29:J43)</f>
        <v>0</v>
      </c>
      <c r="K44" s="854">
        <f>SUM(K12:K26,K29:K43)</f>
        <v>0</v>
      </c>
      <c r="L44" s="855">
        <f>SUM(L12:L26,L29:L43)</f>
        <v>0</v>
      </c>
    </row>
    <row r="45" spans="1:15" ht="16.149999999999999" customHeight="1">
      <c r="A45" s="1"/>
      <c r="B45" s="80"/>
      <c r="C45" s="328"/>
      <c r="D45" s="1824" t="str">
        <f>IF(D44=0,"",IF(D44&lt;&gt;'SB2'!I57,Texte!A1059,""))</f>
        <v/>
      </c>
      <c r="E45" s="80"/>
      <c r="F45" s="80"/>
      <c r="G45" s="408"/>
      <c r="H45" s="80"/>
      <c r="I45" s="846"/>
      <c r="J45" s="846"/>
      <c r="K45" s="846"/>
      <c r="L45" s="846"/>
    </row>
    <row r="46" spans="1:15" ht="16.149999999999999" customHeight="1">
      <c r="A46" s="1"/>
      <c r="B46" s="45" t="str">
        <f>Texte!A987</f>
        <v>Netto-Nährstoffbedarf gemäss Wegleitung Suisse-Bilanz</v>
      </c>
      <c r="C46" s="23"/>
      <c r="D46" s="23"/>
      <c r="E46" s="23"/>
      <c r="F46" s="23"/>
      <c r="G46" s="23"/>
      <c r="H46" s="23"/>
      <c r="I46" s="23"/>
      <c r="J46" s="23"/>
      <c r="K46" s="23"/>
      <c r="L46" s="23"/>
      <c r="O46" s="1823"/>
    </row>
    <row r="47" spans="1:15" ht="7.15" customHeight="1">
      <c r="A47" s="1"/>
      <c r="B47" s="45"/>
      <c r="C47" s="23"/>
      <c r="D47" s="23"/>
      <c r="E47" s="23"/>
      <c r="F47" s="23"/>
      <c r="G47" s="23"/>
      <c r="H47" s="23"/>
      <c r="I47" s="23"/>
      <c r="J47" s="23"/>
      <c r="K47" s="23"/>
      <c r="L47" s="23"/>
    </row>
    <row r="48" spans="1:15" ht="12.75">
      <c r="A48" s="1"/>
      <c r="B48" s="298"/>
      <c r="C48" s="299"/>
      <c r="D48" s="489"/>
      <c r="E48" s="409" t="str">
        <f>Texte!A1046</f>
        <v>Netto-Nährstoffbedarf</v>
      </c>
      <c r="F48" s="465"/>
      <c r="G48" s="465"/>
      <c r="H48" s="465"/>
      <c r="I48" s="511" t="str">
        <f>Texte!A1049</f>
        <v>Netto-Nährstoffbedarf</v>
      </c>
      <c r="J48" s="465"/>
      <c r="K48" s="465"/>
      <c r="L48" s="482"/>
      <c r="M48" s="3435" t="str">
        <f>Texte!A984</f>
        <v>Korrektur-</v>
      </c>
      <c r="N48" s="3436"/>
      <c r="O48" s="3437"/>
    </row>
    <row r="49" spans="1:15" ht="12.75">
      <c r="A49" s="1"/>
      <c r="B49" s="898" t="str">
        <f>Texte!A988</f>
        <v>Andere Dauerkulturen</v>
      </c>
      <c r="C49" s="109"/>
      <c r="D49" s="467" t="str">
        <f>Texte!A1044</f>
        <v>Fläche</v>
      </c>
      <c r="E49" s="412" t="str">
        <f>Texte!A1047</f>
        <v>in</v>
      </c>
      <c r="F49" s="413"/>
      <c r="G49" s="413"/>
      <c r="H49" s="413"/>
      <c r="I49" s="512" t="str">
        <f>Texte!A1050</f>
        <v>in</v>
      </c>
      <c r="J49" s="413"/>
      <c r="K49" s="413"/>
      <c r="L49" s="486"/>
      <c r="M49" s="3438" t="str">
        <f>Texte!A985</f>
        <v>faktoren</v>
      </c>
      <c r="N49" s="3439"/>
      <c r="O49" s="3440"/>
    </row>
    <row r="50" spans="1:15" ht="12.75">
      <c r="A50" s="1"/>
      <c r="B50" s="469" t="str">
        <f>Texte!A1045</f>
        <v>Kultur</v>
      </c>
      <c r="C50" s="109"/>
      <c r="D50" s="467" t="s">
        <v>5675</v>
      </c>
      <c r="E50" s="412" t="str">
        <f>Texte!A1048</f>
        <v>kg pro ha</v>
      </c>
      <c r="F50" s="413"/>
      <c r="G50" s="413"/>
      <c r="H50" s="413"/>
      <c r="I50" s="512" t="str">
        <f>Texte!A1051</f>
        <v xml:space="preserve">kg pro Jahr </v>
      </c>
      <c r="J50" s="413"/>
      <c r="K50" s="413"/>
      <c r="L50" s="486"/>
      <c r="M50" s="772"/>
      <c r="N50" s="674"/>
      <c r="O50" s="671"/>
    </row>
    <row r="51" spans="1:15" ht="12.75">
      <c r="A51" s="1"/>
      <c r="B51" s="354"/>
      <c r="C51" s="353"/>
      <c r="D51" s="435"/>
      <c r="E51" s="435" t="s">
        <v>1511</v>
      </c>
      <c r="F51" s="430" t="s">
        <v>2415</v>
      </c>
      <c r="G51" s="430" t="s">
        <v>7030</v>
      </c>
      <c r="H51" s="430" t="s">
        <v>7031</v>
      </c>
      <c r="I51" s="435" t="s">
        <v>1511</v>
      </c>
      <c r="J51" s="430" t="s">
        <v>2415</v>
      </c>
      <c r="K51" s="430" t="s">
        <v>7030</v>
      </c>
      <c r="L51" s="470" t="s">
        <v>7031</v>
      </c>
      <c r="M51" s="430" t="s">
        <v>4701</v>
      </c>
      <c r="N51" s="430" t="s">
        <v>4702</v>
      </c>
      <c r="O51" s="470" t="s">
        <v>7031</v>
      </c>
    </row>
    <row r="52" spans="1:15" ht="12.75">
      <c r="A52" s="1"/>
      <c r="B52" s="513" t="str">
        <f>Texte!A997</f>
        <v>Beispiel: Hopfen</v>
      </c>
      <c r="C52" s="514"/>
      <c r="D52" s="847">
        <v>0.2</v>
      </c>
      <c r="E52" s="848">
        <v>180</v>
      </c>
      <c r="F52" s="849">
        <v>60</v>
      </c>
      <c r="G52" s="849">
        <v>200</v>
      </c>
      <c r="H52" s="850">
        <v>50</v>
      </c>
      <c r="I52" s="848">
        <f>ROUND($D52*E52,1)</f>
        <v>36</v>
      </c>
      <c r="J52" s="849">
        <f t="shared" ref="J52:L55" si="12">ROUND($D52*F52,1)*M52</f>
        <v>12</v>
      </c>
      <c r="K52" s="849">
        <f t="shared" si="12"/>
        <v>40</v>
      </c>
      <c r="L52" s="850">
        <f t="shared" si="12"/>
        <v>10</v>
      </c>
      <c r="M52" s="1837">
        <v>1</v>
      </c>
      <c r="N52" s="1838">
        <v>1</v>
      </c>
      <c r="O52" s="1839">
        <v>1</v>
      </c>
    </row>
    <row r="53" spans="1:15" ht="12.75">
      <c r="A53" s="1"/>
      <c r="B53" s="513" t="str">
        <f>Texte!A1005</f>
        <v>Beispiel: Rharbarber</v>
      </c>
      <c r="C53" s="514"/>
      <c r="D53" s="847">
        <v>0.2</v>
      </c>
      <c r="E53" s="848">
        <v>130</v>
      </c>
      <c r="F53" s="849">
        <v>30</v>
      </c>
      <c r="G53" s="849">
        <v>120</v>
      </c>
      <c r="H53" s="849">
        <v>10</v>
      </c>
      <c r="I53" s="848">
        <f>ROUND($D53*E53,1)</f>
        <v>26</v>
      </c>
      <c r="J53" s="849">
        <f t="shared" si="12"/>
        <v>6</v>
      </c>
      <c r="K53" s="849">
        <f t="shared" si="12"/>
        <v>24</v>
      </c>
      <c r="L53" s="850">
        <f t="shared" si="12"/>
        <v>2</v>
      </c>
      <c r="M53" s="2584">
        <v>1</v>
      </c>
      <c r="N53" s="2585">
        <v>1</v>
      </c>
      <c r="O53" s="518">
        <v>1</v>
      </c>
    </row>
    <row r="54" spans="1:15" ht="12.75">
      <c r="A54" s="1"/>
      <c r="B54" s="513" t="str">
        <f>Texte!A1003</f>
        <v>Beispiel: Spargel, Bleich-</v>
      </c>
      <c r="C54" s="514"/>
      <c r="D54" s="847">
        <v>0.2</v>
      </c>
      <c r="E54" s="848">
        <v>140</v>
      </c>
      <c r="F54" s="849">
        <v>30</v>
      </c>
      <c r="G54" s="849">
        <v>130</v>
      </c>
      <c r="H54" s="849">
        <v>20</v>
      </c>
      <c r="I54" s="848">
        <f>ROUND($D54*E54,1)</f>
        <v>28</v>
      </c>
      <c r="J54" s="849">
        <f t="shared" si="12"/>
        <v>6</v>
      </c>
      <c r="K54" s="849">
        <f t="shared" si="12"/>
        <v>26</v>
      </c>
      <c r="L54" s="850">
        <f t="shared" si="12"/>
        <v>4</v>
      </c>
      <c r="M54" s="2584">
        <v>1</v>
      </c>
      <c r="N54" s="2585">
        <v>1</v>
      </c>
      <c r="O54" s="518">
        <v>1</v>
      </c>
    </row>
    <row r="55" spans="1:15" ht="12.75">
      <c r="A55" s="1"/>
      <c r="B55" s="513" t="str">
        <f>Texte!A1004</f>
        <v>Beispiel: Spargel, Grün-</v>
      </c>
      <c r="C55" s="514"/>
      <c r="D55" s="847">
        <v>0.2</v>
      </c>
      <c r="E55" s="848">
        <v>150</v>
      </c>
      <c r="F55" s="849">
        <v>30</v>
      </c>
      <c r="G55" s="849">
        <v>110</v>
      </c>
      <c r="H55" s="849">
        <v>20</v>
      </c>
      <c r="I55" s="848">
        <f>ROUND($D55*E55,1)</f>
        <v>30</v>
      </c>
      <c r="J55" s="849">
        <f t="shared" si="12"/>
        <v>6</v>
      </c>
      <c r="K55" s="849">
        <f t="shared" si="12"/>
        <v>22</v>
      </c>
      <c r="L55" s="850">
        <f t="shared" si="12"/>
        <v>4</v>
      </c>
      <c r="M55" s="2584">
        <v>1</v>
      </c>
      <c r="N55" s="2585">
        <v>1</v>
      </c>
      <c r="O55" s="518">
        <v>1</v>
      </c>
    </row>
    <row r="56" spans="1:15" ht="12.75">
      <c r="A56" s="1"/>
      <c r="B56" s="2587" t="str">
        <f>Texte!A1007</f>
        <v>Hopfen</v>
      </c>
      <c r="C56" s="2586"/>
      <c r="D56" s="346"/>
      <c r="E56" s="851">
        <f t="shared" ref="E56:H57" si="13">IF($D56&gt;0,E$52,0)</f>
        <v>0</v>
      </c>
      <c r="F56" s="852">
        <f t="shared" si="13"/>
        <v>0</v>
      </c>
      <c r="G56" s="852">
        <f t="shared" si="13"/>
        <v>0</v>
      </c>
      <c r="H56" s="852">
        <f t="shared" si="13"/>
        <v>0</v>
      </c>
      <c r="I56" s="851">
        <f t="shared" ref="I56:I66" si="14">ROUND($D56*E56,1)</f>
        <v>0</v>
      </c>
      <c r="J56" s="852">
        <f t="shared" ref="J56:L66" si="15">ROUND($D56*F56,1)*M56</f>
        <v>0</v>
      </c>
      <c r="K56" s="852">
        <f t="shared" si="15"/>
        <v>0</v>
      </c>
      <c r="L56" s="853">
        <f t="shared" si="15"/>
        <v>0</v>
      </c>
      <c r="M56" s="1840">
        <v>1</v>
      </c>
      <c r="N56" s="1841">
        <v>1</v>
      </c>
      <c r="O56" s="1842">
        <v>1</v>
      </c>
    </row>
    <row r="57" spans="1:15" ht="12.75">
      <c r="A57" s="1"/>
      <c r="B57" s="932"/>
      <c r="C57" s="931"/>
      <c r="D57" s="346"/>
      <c r="E57" s="851">
        <f t="shared" si="13"/>
        <v>0</v>
      </c>
      <c r="F57" s="852">
        <f t="shared" si="13"/>
        <v>0</v>
      </c>
      <c r="G57" s="852">
        <f t="shared" si="13"/>
        <v>0</v>
      </c>
      <c r="H57" s="852">
        <f t="shared" si="13"/>
        <v>0</v>
      </c>
      <c r="I57" s="851">
        <f t="shared" si="14"/>
        <v>0</v>
      </c>
      <c r="J57" s="852">
        <f t="shared" si="15"/>
        <v>0</v>
      </c>
      <c r="K57" s="852">
        <f t="shared" si="15"/>
        <v>0</v>
      </c>
      <c r="L57" s="853">
        <f t="shared" si="15"/>
        <v>0</v>
      </c>
      <c r="M57" s="1840">
        <v>1</v>
      </c>
      <c r="N57" s="1841">
        <v>1</v>
      </c>
      <c r="O57" s="1842">
        <v>1</v>
      </c>
    </row>
    <row r="58" spans="1:15" ht="12.75">
      <c r="A58" s="1"/>
      <c r="B58" s="932"/>
      <c r="C58" s="931"/>
      <c r="D58" s="346"/>
      <c r="E58" s="851">
        <f>IF($D58&gt;0,E$52,0)</f>
        <v>0</v>
      </c>
      <c r="F58" s="852">
        <f>IF($D58&gt;0,F$52,0)</f>
        <v>0</v>
      </c>
      <c r="G58" s="852">
        <f>IF($D58&gt;0,G$52,0)</f>
        <v>0</v>
      </c>
      <c r="H58" s="852">
        <f>IF($D58&gt;0,H$52,0)</f>
        <v>0</v>
      </c>
      <c r="I58" s="851">
        <f t="shared" si="14"/>
        <v>0</v>
      </c>
      <c r="J58" s="852">
        <f t="shared" si="15"/>
        <v>0</v>
      </c>
      <c r="K58" s="852">
        <f t="shared" si="15"/>
        <v>0</v>
      </c>
      <c r="L58" s="853">
        <f t="shared" si="15"/>
        <v>0</v>
      </c>
      <c r="M58" s="1840">
        <v>1</v>
      </c>
      <c r="N58" s="1841">
        <v>1</v>
      </c>
      <c r="O58" s="1842">
        <v>1</v>
      </c>
    </row>
    <row r="59" spans="1:15" ht="12.75">
      <c r="A59" s="1"/>
      <c r="B59" s="2587" t="str">
        <f>Texte!A1002</f>
        <v>Rhabarber</v>
      </c>
      <c r="C59" s="2586"/>
      <c r="D59" s="346"/>
      <c r="E59" s="851">
        <f>IF($D59&gt;0,E$53,0)</f>
        <v>0</v>
      </c>
      <c r="F59" s="852">
        <f t="shared" ref="E59:H60" si="16">IF($D59&gt;0,F$53,0)</f>
        <v>0</v>
      </c>
      <c r="G59" s="852">
        <f t="shared" si="16"/>
        <v>0</v>
      </c>
      <c r="H59" s="852">
        <f t="shared" si="16"/>
        <v>0</v>
      </c>
      <c r="I59" s="851">
        <f t="shared" si="14"/>
        <v>0</v>
      </c>
      <c r="J59" s="852">
        <f t="shared" si="15"/>
        <v>0</v>
      </c>
      <c r="K59" s="852">
        <f t="shared" si="15"/>
        <v>0</v>
      </c>
      <c r="L59" s="853">
        <f t="shared" si="15"/>
        <v>0</v>
      </c>
      <c r="M59" s="1840">
        <v>1</v>
      </c>
      <c r="N59" s="1841">
        <v>1</v>
      </c>
      <c r="O59" s="1842">
        <v>1</v>
      </c>
    </row>
    <row r="60" spans="1:15" ht="12.75">
      <c r="A60" s="1"/>
      <c r="B60" s="932"/>
      <c r="C60" s="931"/>
      <c r="D60" s="346"/>
      <c r="E60" s="851">
        <f t="shared" si="16"/>
        <v>0</v>
      </c>
      <c r="F60" s="852">
        <f t="shared" si="16"/>
        <v>0</v>
      </c>
      <c r="G60" s="852">
        <f t="shared" si="16"/>
        <v>0</v>
      </c>
      <c r="H60" s="852">
        <f t="shared" si="16"/>
        <v>0</v>
      </c>
      <c r="I60" s="851">
        <f t="shared" si="14"/>
        <v>0</v>
      </c>
      <c r="J60" s="852">
        <f t="shared" si="15"/>
        <v>0</v>
      </c>
      <c r="K60" s="852">
        <f t="shared" si="15"/>
        <v>0</v>
      </c>
      <c r="L60" s="853">
        <f t="shared" si="15"/>
        <v>0</v>
      </c>
      <c r="M60" s="1840">
        <v>1</v>
      </c>
      <c r="N60" s="1841">
        <v>1</v>
      </c>
      <c r="O60" s="1842">
        <v>1</v>
      </c>
    </row>
    <row r="61" spans="1:15" ht="12.75">
      <c r="A61" s="1"/>
      <c r="B61" s="932"/>
      <c r="C61" s="931"/>
      <c r="D61" s="346"/>
      <c r="E61" s="851">
        <f>IF($D61&gt;0,E$53,0)</f>
        <v>0</v>
      </c>
      <c r="F61" s="852">
        <f>IF($D61&gt;0,F$53,0)</f>
        <v>0</v>
      </c>
      <c r="G61" s="852">
        <f>IF($D61&gt;0,G$53,0)</f>
        <v>0</v>
      </c>
      <c r="H61" s="852">
        <f>IF($D61&gt;0,H$53,0)</f>
        <v>0</v>
      </c>
      <c r="I61" s="851">
        <f t="shared" si="14"/>
        <v>0</v>
      </c>
      <c r="J61" s="852">
        <f t="shared" si="15"/>
        <v>0</v>
      </c>
      <c r="K61" s="852">
        <f t="shared" si="15"/>
        <v>0</v>
      </c>
      <c r="L61" s="853">
        <f t="shared" si="15"/>
        <v>0</v>
      </c>
      <c r="M61" s="1840">
        <v>1</v>
      </c>
      <c r="N61" s="1841">
        <v>1</v>
      </c>
      <c r="O61" s="1842">
        <v>1</v>
      </c>
    </row>
    <row r="62" spans="1:15" ht="12.75">
      <c r="A62" s="1"/>
      <c r="B62" s="2587" t="str">
        <f>Texte!A1000</f>
        <v>Spargel, Bleich-</v>
      </c>
      <c r="C62" s="2586"/>
      <c r="D62" s="346"/>
      <c r="E62" s="851">
        <f t="shared" ref="E62:H63" si="17">IF($D62&gt;0,E$54,0)</f>
        <v>0</v>
      </c>
      <c r="F62" s="852">
        <f t="shared" si="17"/>
        <v>0</v>
      </c>
      <c r="G62" s="852">
        <f t="shared" si="17"/>
        <v>0</v>
      </c>
      <c r="H62" s="852">
        <f t="shared" si="17"/>
        <v>0</v>
      </c>
      <c r="I62" s="851">
        <f t="shared" si="14"/>
        <v>0</v>
      </c>
      <c r="J62" s="852">
        <f t="shared" si="15"/>
        <v>0</v>
      </c>
      <c r="K62" s="852">
        <f t="shared" si="15"/>
        <v>0</v>
      </c>
      <c r="L62" s="853">
        <f t="shared" si="15"/>
        <v>0</v>
      </c>
      <c r="M62" s="1840">
        <v>1</v>
      </c>
      <c r="N62" s="1841">
        <v>1</v>
      </c>
      <c r="O62" s="1842">
        <v>1</v>
      </c>
    </row>
    <row r="63" spans="1:15" ht="12.75">
      <c r="A63" s="1"/>
      <c r="B63" s="932"/>
      <c r="C63" s="931"/>
      <c r="D63" s="346"/>
      <c r="E63" s="851">
        <f t="shared" si="17"/>
        <v>0</v>
      </c>
      <c r="F63" s="852">
        <f t="shared" si="17"/>
        <v>0</v>
      </c>
      <c r="G63" s="852">
        <f t="shared" si="17"/>
        <v>0</v>
      </c>
      <c r="H63" s="852">
        <f t="shared" si="17"/>
        <v>0</v>
      </c>
      <c r="I63" s="851">
        <f t="shared" si="14"/>
        <v>0</v>
      </c>
      <c r="J63" s="852">
        <f t="shared" si="15"/>
        <v>0</v>
      </c>
      <c r="K63" s="852">
        <f t="shared" si="15"/>
        <v>0</v>
      </c>
      <c r="L63" s="853">
        <f t="shared" si="15"/>
        <v>0</v>
      </c>
      <c r="M63" s="1840">
        <v>1</v>
      </c>
      <c r="N63" s="1841">
        <v>1</v>
      </c>
      <c r="O63" s="1842">
        <v>1</v>
      </c>
    </row>
    <row r="64" spans="1:15" ht="12.75">
      <c r="A64" s="1"/>
      <c r="B64" s="932"/>
      <c r="C64" s="931"/>
      <c r="D64" s="346"/>
      <c r="E64" s="851">
        <f>IF($D64&gt;0,E$54,0)</f>
        <v>0</v>
      </c>
      <c r="F64" s="852">
        <f>IF($D64&gt;0,F$54,0)</f>
        <v>0</v>
      </c>
      <c r="G64" s="852">
        <f>IF($D64&gt;0,G$54,0)</f>
        <v>0</v>
      </c>
      <c r="H64" s="852">
        <f>IF($D64&gt;0,H$54,0)</f>
        <v>0</v>
      </c>
      <c r="I64" s="851">
        <f t="shared" si="14"/>
        <v>0</v>
      </c>
      <c r="J64" s="852">
        <f t="shared" si="15"/>
        <v>0</v>
      </c>
      <c r="K64" s="852">
        <f t="shared" si="15"/>
        <v>0</v>
      </c>
      <c r="L64" s="853">
        <f t="shared" si="15"/>
        <v>0</v>
      </c>
      <c r="M64" s="1840">
        <v>1</v>
      </c>
      <c r="N64" s="1841">
        <v>1</v>
      </c>
      <c r="O64" s="1842">
        <v>1</v>
      </c>
    </row>
    <row r="65" spans="1:15" ht="12.75">
      <c r="A65" s="1"/>
      <c r="B65" s="2587" t="str">
        <f>Texte!A1001</f>
        <v>Spargel, Grün-</v>
      </c>
      <c r="C65" s="2586"/>
      <c r="D65" s="346"/>
      <c r="E65" s="851">
        <f>IF($D65&gt;0,E$55,0)</f>
        <v>0</v>
      </c>
      <c r="F65" s="852">
        <f>IF($D65&gt;0,F$55,0)</f>
        <v>0</v>
      </c>
      <c r="G65" s="852">
        <f>IF($D65&gt;0,G$55,0)</f>
        <v>0</v>
      </c>
      <c r="H65" s="852">
        <f>IF($D65&gt;0,H$55,0)</f>
        <v>0</v>
      </c>
      <c r="I65" s="851">
        <f t="shared" si="14"/>
        <v>0</v>
      </c>
      <c r="J65" s="852">
        <f t="shared" si="15"/>
        <v>0</v>
      </c>
      <c r="K65" s="852">
        <f t="shared" si="15"/>
        <v>0</v>
      </c>
      <c r="L65" s="853">
        <f t="shared" si="15"/>
        <v>0</v>
      </c>
      <c r="M65" s="1840">
        <v>1</v>
      </c>
      <c r="N65" s="1841">
        <v>1</v>
      </c>
      <c r="O65" s="1842">
        <v>1</v>
      </c>
    </row>
    <row r="66" spans="1:15" ht="12.75">
      <c r="A66" s="1"/>
      <c r="B66" s="932"/>
      <c r="C66" s="931"/>
      <c r="D66" s="346"/>
      <c r="E66" s="851">
        <f t="shared" ref="E66:H67" si="18">IF($D66&gt;0,E$55,0)</f>
        <v>0</v>
      </c>
      <c r="F66" s="852">
        <f t="shared" si="18"/>
        <v>0</v>
      </c>
      <c r="G66" s="852">
        <f t="shared" si="18"/>
        <v>0</v>
      </c>
      <c r="H66" s="852">
        <f t="shared" si="18"/>
        <v>0</v>
      </c>
      <c r="I66" s="851">
        <f t="shared" si="14"/>
        <v>0</v>
      </c>
      <c r="J66" s="852">
        <f t="shared" si="15"/>
        <v>0</v>
      </c>
      <c r="K66" s="852">
        <f t="shared" si="15"/>
        <v>0</v>
      </c>
      <c r="L66" s="853">
        <f t="shared" si="15"/>
        <v>0</v>
      </c>
      <c r="M66" s="1840">
        <v>1</v>
      </c>
      <c r="N66" s="1841">
        <v>1</v>
      </c>
      <c r="O66" s="1842">
        <v>1</v>
      </c>
    </row>
    <row r="67" spans="1:15" ht="13.5" thickBot="1">
      <c r="A67" s="1"/>
      <c r="B67" s="932"/>
      <c r="C67" s="1818"/>
      <c r="D67" s="346"/>
      <c r="E67" s="851">
        <f t="shared" si="18"/>
        <v>0</v>
      </c>
      <c r="F67" s="852">
        <f t="shared" si="18"/>
        <v>0</v>
      </c>
      <c r="G67" s="852">
        <f t="shared" si="18"/>
        <v>0</v>
      </c>
      <c r="H67" s="852">
        <f t="shared" si="18"/>
        <v>0</v>
      </c>
      <c r="I67" s="851">
        <f>ROUND($D67*E67,1)</f>
        <v>0</v>
      </c>
      <c r="J67" s="852">
        <f>ROUND($D67*F67,1)*M67</f>
        <v>0</v>
      </c>
      <c r="K67" s="852">
        <f>ROUND($D67*G67,1)*N67</f>
        <v>0</v>
      </c>
      <c r="L67" s="853">
        <f>ROUND($D67*H67,1)*O67</f>
        <v>0</v>
      </c>
      <c r="M67" s="1843">
        <v>1</v>
      </c>
      <c r="N67" s="1844">
        <v>1</v>
      </c>
      <c r="O67" s="1845">
        <v>1</v>
      </c>
    </row>
    <row r="68" spans="1:15" ht="12.75" thickBot="1">
      <c r="B68" s="299"/>
      <c r="C68" s="2589" t="str">
        <f>Texte!A1053</f>
        <v>Anbaufläche (Hektaren):</v>
      </c>
      <c r="D68" s="879">
        <f>SUM(D56:D67)</f>
        <v>0</v>
      </c>
      <c r="E68" s="299"/>
      <c r="F68" s="299"/>
      <c r="G68" s="195"/>
      <c r="H68" s="2588" t="str">
        <f>Texte!A999</f>
        <v>Nährstoffbedarf DK:</v>
      </c>
      <c r="I68" s="854">
        <f>SUM(I56:I67)</f>
        <v>0</v>
      </c>
      <c r="J68" s="854">
        <f>SUM(J56:J67)</f>
        <v>0</v>
      </c>
      <c r="K68" s="854">
        <f>SUM(K56:K67)</f>
        <v>0</v>
      </c>
      <c r="L68" s="855">
        <f>SUM(L56:L67)</f>
        <v>0</v>
      </c>
    </row>
    <row r="69" spans="1:15" ht="12.75">
      <c r="D69" s="1825" t="str">
        <f>IF(D68&lt;&gt;'SB2'!I58,Texte!A1059,"")</f>
        <v/>
      </c>
    </row>
  </sheetData>
  <sheetProtection algorithmName="SHA-512" hashValue="SPJFBtVDxX/KrkKReFxIjHCaJbG1hVEHfUvaXRrwyP2R0r26dkm0nJTSAjiy4D92XY9186ucskDeCworcGwGDQ==" saltValue="Tw8n69iCWEO8ztyqf3yCQw==" spinCount="100000" sheet="1" objects="1" scenarios="1"/>
  <mergeCells count="4">
    <mergeCell ref="M7:O7"/>
    <mergeCell ref="M48:O48"/>
    <mergeCell ref="M8:O8"/>
    <mergeCell ref="M49:O49"/>
  </mergeCells>
  <phoneticPr fontId="65" type="noConversion"/>
  <conditionalFormatting sqref="M13:N26 O12:O26 M56:O67">
    <cfRule type="cellIs" dxfId="90" priority="1" stopIfTrue="1" operator="greaterThan">
      <formula>1.6</formula>
    </cfRule>
  </conditionalFormatting>
  <conditionalFormatting sqref="M12:N12">
    <cfRule type="cellIs" dxfId="89" priority="3" stopIfTrue="1" operator="greaterThan">
      <formula>1.6</formula>
    </cfRule>
    <cfRule type="cellIs" dxfId="88" priority="4" stopIfTrue="1" operator="lessThanOrEqual">
      <formula>0</formula>
    </cfRule>
  </conditionalFormatting>
  <conditionalFormatting sqref="M29:O43">
    <cfRule type="cellIs" dxfId="87" priority="5" stopIfTrue="1" operator="greaterThan">
      <formula>1.6</formula>
    </cfRule>
    <cfRule type="cellIs" dxfId="86" priority="6" stopIfTrue="1" operator="lessThan">
      <formula>0</formula>
    </cfRule>
  </conditionalFormatting>
  <printOptions horizontalCentered="1"/>
  <pageMargins left="0.35433070866141736" right="0.27559055118110237" top="0.35433070866141736" bottom="0.59055118110236227" header="0" footer="0.39370078740157483"/>
  <pageSetup paperSize="9" scale="91" orientation="portrait" r:id="rId1"/>
  <headerFooter alignWithMargins="0">
    <oddFooter>&amp;C&amp;9&amp;F&amp;R&amp;"Arial,Standard"&amp;9Seite &amp;P&amp;L&amp;"Arial,Fett"&amp;11AGRIDEA &amp;"Arial,Standard"&amp;9 Nachweis Version 9.9</oddFooter>
  </headerFooter>
  <drawing r:id="rId2"/>
</worksheet>
</file>

<file path=xl/worksheets/sheet14.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7">
    <tabColor indexed="43"/>
    <pageSetUpPr fitToPage="1"/>
  </sheetPr>
  <dimension ref="A1:R59"/>
  <sheetViews>
    <sheetView showGridLines="0" showRowColHeaders="0" showZeros="0" workbookViewId="0">
      <selection activeCell="D15" sqref="D15"/>
      <extLst>
        <ext uri="{77bfe23e-c014-4d31-8a63-9c772dbf06b6}">
          <ns2:showDataTypeIcons visible="0"/>
        </ext>
      </extLst>
    </sheetView>
  </sheetViews>
  <sheetFormatPr baseColWidth="10" defaultRowHeight="12"/>
  <cols>
    <col min="1" max="1" width="0.85546875" customWidth="1"/>
    <col min="2" max="2" width="12.7109375" customWidth="1"/>
    <col min="3" max="3" width="23.7109375" customWidth="1"/>
    <col min="4" max="4" width="6.5703125" customWidth="1"/>
    <col min="5" max="5" width="5.7109375" customWidth="1"/>
    <col min="6" max="6" width="5.140625" customWidth="1"/>
    <col min="7" max="9" width="5.28515625" customWidth="1"/>
    <col min="10" max="12" width="7.7109375" customWidth="1"/>
    <col min="13" max="13" width="7.5703125" customWidth="1"/>
    <col min="14" max="16" width="3.7109375" customWidth="1"/>
  </cols>
  <sheetData>
    <row r="1" spans="1:18" ht="42" customHeight="1">
      <c r="A1" s="1"/>
      <c r="B1" s="19" t="str">
        <f>Q!NW_Tit</f>
        <v xml:space="preserve">                                   Nachweis</v>
      </c>
      <c r="C1" s="1"/>
      <c r="D1" s="1"/>
      <c r="E1" s="1"/>
      <c r="F1" s="1"/>
      <c r="G1" s="1"/>
      <c r="H1" s="1"/>
      <c r="I1" s="1"/>
      <c r="J1" s="1"/>
      <c r="K1" s="1"/>
      <c r="L1" s="1"/>
      <c r="P1" s="20" t="str">
        <f>Q!F23</f>
        <v>SuiBi: Freilandgemüse</v>
      </c>
    </row>
    <row r="2" spans="1:18" ht="11.1" customHeight="1" thickBot="1">
      <c r="A2" s="1"/>
      <c r="B2" s="21"/>
      <c r="C2" s="21"/>
      <c r="D2" s="21"/>
      <c r="E2" s="21"/>
      <c r="F2" s="21"/>
      <c r="G2" s="21"/>
      <c r="H2" s="21"/>
      <c r="I2" s="21"/>
      <c r="J2" s="21"/>
      <c r="K2" s="21"/>
      <c r="L2" s="21"/>
      <c r="M2" s="44"/>
      <c r="N2" s="44"/>
      <c r="O2" s="44"/>
      <c r="P2" s="44"/>
    </row>
    <row r="3" spans="1:18" ht="21.95" customHeight="1">
      <c r="A3" s="1"/>
      <c r="B3" s="1861" t="str">
        <f>Texte!A13</f>
        <v>Betrieb:</v>
      </c>
      <c r="C3" s="1433" t="str">
        <f>Allg!$C$9&amp;""</f>
        <v>Imhof &amp; Zaehner Betriebsgemeinschaft</v>
      </c>
      <c r="D3" s="569"/>
      <c r="E3" s="569"/>
      <c r="F3" s="569"/>
      <c r="G3" s="569"/>
      <c r="H3" s="1863" t="str">
        <f>Texte!A14</f>
        <v>Variante:</v>
      </c>
      <c r="I3" s="1433" t="str">
        <f>IF(ISBLANK(Allg!G7),"",Allg!G7)</f>
        <v/>
      </c>
      <c r="J3" s="569"/>
      <c r="K3" s="569"/>
      <c r="L3" s="1863" t="str">
        <f>Texte!A15</f>
        <v>Jahr:</v>
      </c>
      <c r="M3" s="571">
        <f>IF(Allg!G6="","",Allg!G6)</f>
        <v>2026</v>
      </c>
      <c r="N3" s="1868"/>
      <c r="O3" s="1868"/>
      <c r="P3" s="1868"/>
    </row>
    <row r="4" spans="1:18" ht="20.100000000000001" customHeight="1">
      <c r="A4" s="1"/>
      <c r="B4" s="510" t="str">
        <f>Texte!A1011</f>
        <v>Zusatzformular "Freiland-Gemüsebau"</v>
      </c>
      <c r="C4" s="234"/>
      <c r="D4" s="1"/>
      <c r="E4" s="1"/>
      <c r="F4" s="1"/>
      <c r="G4" s="1"/>
      <c r="H4" s="1"/>
      <c r="I4" s="43"/>
      <c r="J4" s="1"/>
      <c r="K4" s="1"/>
      <c r="L4" s="3" t="str">
        <f>Texte!A1012</f>
        <v>Anbaufläche (Aren):</v>
      </c>
      <c r="M4" s="1869">
        <f>SUM(D12:D56)</f>
        <v>4450</v>
      </c>
    </row>
    <row r="5" spans="1:18" ht="16.149999999999999" customHeight="1">
      <c r="A5" s="1"/>
      <c r="B5" s="45" t="str">
        <f>Texte!A1013</f>
        <v>Netto-Nährstoffbedarf der Gemüsekulturen gemäss "Handbuch Gemüse"</v>
      </c>
      <c r="C5" s="23"/>
      <c r="D5" s="23"/>
      <c r="E5" s="23"/>
      <c r="F5" s="23"/>
      <c r="G5" s="23"/>
      <c r="H5" s="23"/>
      <c r="I5" s="23"/>
      <c r="J5" s="23"/>
      <c r="K5" s="23"/>
      <c r="L5" s="23"/>
      <c r="M5" s="23"/>
    </row>
    <row r="6" spans="1:18" ht="7.15" customHeight="1">
      <c r="A6" s="1"/>
      <c r="B6" s="45"/>
      <c r="C6" s="23"/>
      <c r="D6" s="23"/>
      <c r="E6" s="23"/>
      <c r="F6" s="23"/>
      <c r="G6" s="23"/>
      <c r="H6" s="23"/>
      <c r="I6" s="23"/>
      <c r="J6" s="23"/>
      <c r="K6" s="23"/>
      <c r="L6" s="23"/>
      <c r="M6" s="23"/>
    </row>
    <row r="7" spans="1:18" ht="12.75">
      <c r="A7" s="1"/>
      <c r="B7" s="298"/>
      <c r="C7" s="299"/>
      <c r="D7" s="489"/>
      <c r="E7" s="409" t="str">
        <f>Texte!A1017</f>
        <v>Netto-Nährstoffbedarf</v>
      </c>
      <c r="F7" s="465"/>
      <c r="G7" s="465"/>
      <c r="H7" s="465"/>
      <c r="I7" s="465"/>
      <c r="J7" s="511" t="str">
        <f>Texte!A1020</f>
        <v>Netto-Nährstoffbedarf</v>
      </c>
      <c r="K7" s="465"/>
      <c r="L7" s="465"/>
      <c r="M7" s="482"/>
      <c r="N7" s="3435" t="str">
        <f>Texte!A984</f>
        <v>Korrektur-</v>
      </c>
      <c r="O7" s="3436"/>
      <c r="P7" s="3437"/>
    </row>
    <row r="8" spans="1:18" ht="12.75">
      <c r="A8" s="1"/>
      <c r="B8" s="469"/>
      <c r="C8" s="109"/>
      <c r="D8" s="467" t="str">
        <f>Texte!A1015</f>
        <v>Fläche</v>
      </c>
      <c r="E8" s="412" t="str">
        <f>Texte!A1018</f>
        <v>in</v>
      </c>
      <c r="F8" s="413"/>
      <c r="G8" s="413"/>
      <c r="H8" s="413"/>
      <c r="I8" s="413"/>
      <c r="J8" s="512" t="str">
        <f>Texte!A1021</f>
        <v>in</v>
      </c>
      <c r="K8" s="413"/>
      <c r="L8" s="413"/>
      <c r="M8" s="486"/>
      <c r="N8" s="3438" t="str">
        <f>Texte!A985</f>
        <v>faktoren</v>
      </c>
      <c r="O8" s="3439"/>
      <c r="P8" s="3440"/>
    </row>
    <row r="9" spans="1:18" ht="12.75">
      <c r="A9" s="1"/>
      <c r="B9" s="469" t="str">
        <f>Texte!A1016</f>
        <v>Kultur</v>
      </c>
      <c r="C9" s="109"/>
      <c r="D9" s="469"/>
      <c r="E9" s="412" t="str">
        <f>Texte!A1019</f>
        <v>kg pro Are</v>
      </c>
      <c r="F9" s="413"/>
      <c r="G9" s="413"/>
      <c r="H9" s="413"/>
      <c r="I9" s="413"/>
      <c r="J9" s="512" t="str">
        <f>Texte!A1022</f>
        <v xml:space="preserve">kg pro Jahr </v>
      </c>
      <c r="K9" s="413"/>
      <c r="L9" s="413"/>
      <c r="M9" s="486"/>
      <c r="N9" s="772"/>
      <c r="O9" s="674"/>
      <c r="P9" s="671"/>
    </row>
    <row r="10" spans="1:18" ht="12.75">
      <c r="A10" s="1"/>
      <c r="B10" s="354"/>
      <c r="C10" s="353"/>
      <c r="D10" s="435"/>
      <c r="E10" s="435" t="s">
        <v>1511</v>
      </c>
      <c r="F10" s="430" t="s">
        <v>7541</v>
      </c>
      <c r="G10" s="430" t="s">
        <v>2415</v>
      </c>
      <c r="H10" s="430" t="s">
        <v>7030</v>
      </c>
      <c r="I10" s="430" t="s">
        <v>7031</v>
      </c>
      <c r="J10" s="435" t="s">
        <v>1511</v>
      </c>
      <c r="K10" s="430" t="s">
        <v>2415</v>
      </c>
      <c r="L10" s="430" t="s">
        <v>7030</v>
      </c>
      <c r="M10" s="470" t="s">
        <v>7031</v>
      </c>
      <c r="N10" s="430" t="s">
        <v>4701</v>
      </c>
      <c r="O10" s="430" t="s">
        <v>4702</v>
      </c>
      <c r="P10" s="470" t="s">
        <v>7031</v>
      </c>
    </row>
    <row r="11" spans="1:18" ht="12.75">
      <c r="A11" s="1"/>
      <c r="B11" s="513" t="str">
        <f>Texte!A1023</f>
        <v>Beispiel: Karotten Industrie</v>
      </c>
      <c r="C11" s="514"/>
      <c r="D11" s="515">
        <v>25</v>
      </c>
      <c r="E11" s="516">
        <v>1.6</v>
      </c>
      <c r="F11" s="877"/>
      <c r="G11" s="517">
        <v>0.4</v>
      </c>
      <c r="H11" s="517">
        <v>1.6</v>
      </c>
      <c r="I11" s="517">
        <v>0.2</v>
      </c>
      <c r="J11" s="516">
        <f>IF(D11="","",ROUND(D11*E11,1))</f>
        <v>40</v>
      </c>
      <c r="K11" s="517">
        <f>IF(ISBLANK(D11),"",ROUND(D11*G11,1))</f>
        <v>10</v>
      </c>
      <c r="L11" s="517">
        <f>IF(ISBLANK(D11),"",ROUND(D11*H11,1))</f>
        <v>40</v>
      </c>
      <c r="M11" s="518">
        <f>IF(ISBLANK(D11),"",ROUND(D11*I11,1))</f>
        <v>5</v>
      </c>
      <c r="N11" s="1837">
        <v>1</v>
      </c>
      <c r="O11" s="1838">
        <v>1</v>
      </c>
      <c r="P11" s="1839">
        <v>1</v>
      </c>
      <c r="R11" s="1855"/>
    </row>
    <row r="12" spans="1:18" ht="15" customHeight="1">
      <c r="A12" s="1"/>
      <c r="B12" s="352" t="s">
        <v>87</v>
      </c>
      <c r="C12" s="351"/>
      <c r="D12" s="3451">
        <v>1400</v>
      </c>
      <c r="E12" s="519">
        <f>IF(B12="","",VLOOKUP($B12,D_Gemüse1!$B$4:$G$71,3,FALSE))</f>
        <v>1.6</v>
      </c>
      <c r="F12" s="878"/>
      <c r="G12" s="520">
        <f>IF(B12="","",VLOOKUP($B12,D_Gemüse1!$B$4:$G$71,4,FALSE))</f>
        <v>0.3</v>
      </c>
      <c r="H12" s="520">
        <f>IF($B12="","",VLOOKUP($B12,D_Gemüse1!$B$4:$G$71,5,FALSE))</f>
        <v>1.8</v>
      </c>
      <c r="I12" s="520">
        <f>IF($B12="","",VLOOKUP($B12,D_Gemüse1!$B$4:$G$71,6,FALSE))</f>
        <v>0.2</v>
      </c>
      <c r="J12" s="519">
        <f>IF(OR(ISBLANK(B12),ISBLANK(D12)),"",IF(ISBLANK(F12),ROUND(D12*E12,1),ROUND(D12*F12,1)))</f>
        <v>2240</v>
      </c>
      <c r="K12" s="520">
        <f>IF(OR(ISBLANK(B12),ISBLANK(D12)),"",(ROUND(D12*G12,1))*N12)</f>
        <v>420</v>
      </c>
      <c r="L12" s="520">
        <f>IF(OR(ISBLANK(B12),ISBLANK(D12)),"",(ROUND(D12*H12,1))*O12)</f>
        <v>2520</v>
      </c>
      <c r="M12" s="521">
        <f>IF(OR(ISBLANK(B12),ISBLANK(D12)),"",(ROUND(D12*I12,1))*P12)</f>
        <v>280</v>
      </c>
      <c r="N12" s="1840">
        <v>1</v>
      </c>
      <c r="O12" s="1841">
        <v>1</v>
      </c>
      <c r="P12" s="1842">
        <v>1</v>
      </c>
      <c r="R12" s="1855" t="str">
        <f>CONCATENATE(B12)</f>
        <v>Fenchel, Knollen</v>
      </c>
    </row>
    <row r="13" spans="1:18" ht="15" customHeight="1">
      <c r="A13" s="1"/>
      <c r="B13" s="352" t="s">
        <v>5049</v>
      </c>
      <c r="C13" s="351"/>
      <c r="D13" s="3451">
        <v>1100</v>
      </c>
      <c r="E13" s="519">
        <f>IF(B13="","",VLOOKUP($B13,D_Gemüse1!$B$4:$G$71,3,FALSE))</f>
        <v>0.9</v>
      </c>
      <c r="F13" s="878"/>
      <c r="G13" s="520">
        <f>IF(B13="","",VLOOKUP($B13,D_Gemüse1!$B$4:$G$71,4,FALSE))</f>
        <v>0.2</v>
      </c>
      <c r="H13" s="520">
        <f>IF(B13="","",VLOOKUP($B13,D_Gemüse1!$B$4:$G$71,5,FALSE))</f>
        <v>0.7</v>
      </c>
      <c r="I13" s="520">
        <f>IF(B13="","",VLOOKUP($B13,D_Gemüse1!$B$4:$G$71,6,FALSE))</f>
        <v>0.1</v>
      </c>
      <c r="J13" s="519">
        <f t="shared" ref="J13:J28" si="0">IF(OR(ISBLANK(B13),ISBLANK(D13)),"",IF(ISBLANK(F13),ROUND(D13*E13,1),ROUND(D13*F13,1)))</f>
        <v>990</v>
      </c>
      <c r="K13" s="520">
        <f t="shared" ref="K13:K56" si="1">IF(OR(ISBLANK(B13),ISBLANK(D13)),"",(ROUND(D13*G13,1))*N13)</f>
        <v>220</v>
      </c>
      <c r="L13" s="520">
        <f t="shared" ref="L13:L56" si="2">IF(OR(ISBLANK(B13),ISBLANK(D13)),"",(ROUND(D13*H13,1))*O13)</f>
        <v>770</v>
      </c>
      <c r="M13" s="521">
        <f t="shared" ref="M13:M56" si="3">IF(OR(ISBLANK(B13),ISBLANK(D13)),"",(ROUND(D13*I13,1))*P13)</f>
        <v>110</v>
      </c>
      <c r="N13" s="1846">
        <v>1</v>
      </c>
      <c r="O13" s="1847">
        <v>1</v>
      </c>
      <c r="P13" s="1848">
        <v>1</v>
      </c>
      <c r="R13" s="1855" t="str">
        <f>CONCATENATE(B13,R12)</f>
        <v>Salate, diverse, mittlerer ErtragFenchel, Knollen</v>
      </c>
    </row>
    <row r="14" spans="1:18" ht="15" customHeight="1">
      <c r="A14" s="1"/>
      <c r="B14" s="352" t="inlineStr">
        <is>
          <t xml:space="preserve">Karotten Verarbeitung-, Lager-, mittlerer Ertrag</t>
        </is>
      </c>
      <c r="C14" s="351"/>
      <c r="D14" s="3451">
        <v>800</v>
      </c>
      <c r="E14" s="519">
        <f>IF(B14="","",VLOOKUP($B14,D_Gemüse1!$B$4:$G$71,3,FALSE))</f>
        <v>0.7</v>
      </c>
      <c r="F14" s="878"/>
      <c r="G14" s="520">
        <f>IF(B14="","",VLOOKUP($B14,D_Gemüse1!$B$4:$G$71,4,FALSE))</f>
        <v>0.3</v>
      </c>
      <c r="H14" s="520">
        <f>IF(B14="","",VLOOKUP($B14,D_Gemüse1!$B$4:$G$71,5,FALSE))</f>
        <v>1.6</v>
      </c>
      <c r="I14" s="520">
        <f>IF(B14="","",VLOOKUP($B14,D_Gemüse1!$B$4:$G$71,6,FALSE))</f>
        <v>0.15</v>
      </c>
      <c r="J14" s="519">
        <f t="shared" si="0"/>
        <v>35</v>
      </c>
      <c r="K14" s="520">
        <f t="shared" si="1"/>
        <v>15</v>
      </c>
      <c r="L14" s="520">
        <f t="shared" si="2"/>
        <v>80</v>
      </c>
      <c r="M14" s="521">
        <f t="shared" si="3"/>
        <v>7.5</v>
      </c>
      <c r="N14" s="1840">
        <v>1</v>
      </c>
      <c r="O14" s="1841">
        <v>1</v>
      </c>
      <c r="P14" s="1842">
        <v>1</v>
      </c>
      <c r="R14" s="1855" t="str">
        <f t="shared" ref="R14:R56" si="4">CONCATENATE(B14,R13)</f>
        <v>Kräuter, Gewürz mittelSalate, diverse, mittlerer ErtragFenchel, Knollen</v>
      </c>
    </row>
    <row r="15" spans="1:18" ht="15" customHeight="1">
      <c r="A15" s="1"/>
      <c r="B15" s="352" t="s">
        <v>6728</v>
      </c>
      <c r="C15" s="351"/>
      <c r="D15" s="3451">
        <v>700</v>
      </c>
      <c r="E15" s="519">
        <f>IF(B15="","",VLOOKUP($B15,D_Gemüse1!$B$4:$G$71,3,FALSE))</f>
        <v>1.3</v>
      </c>
      <c r="F15" s="878"/>
      <c r="G15" s="520">
        <f>IF(B15="","",VLOOKUP($B15,D_Gemüse1!$B$4:$G$71,4,FALSE))</f>
        <v>0.6</v>
      </c>
      <c r="H15" s="520">
        <f>IF(B15="","",VLOOKUP($B15,D_Gemüse1!$B$4:$G$71,5,FALSE))</f>
        <v>1.6</v>
      </c>
      <c r="I15" s="520">
        <f>IF(B15="","",VLOOKUP($B15,D_Gemüse1!$B$4:$G$71,6,FALSE))</f>
        <v>0.2</v>
      </c>
      <c r="J15" s="519">
        <f t="shared" si="0"/>
        <v>910</v>
      </c>
      <c r="K15" s="520">
        <f t="shared" si="1"/>
        <v>420</v>
      </c>
      <c r="L15" s="520">
        <f t="shared" si="2"/>
        <v>1120</v>
      </c>
      <c r="M15" s="521">
        <f t="shared" si="3"/>
        <v>140</v>
      </c>
      <c r="N15" s="1840">
        <v>1</v>
      </c>
      <c r="O15" s="1841">
        <v>1</v>
      </c>
      <c r="P15" s="1842">
        <v>1</v>
      </c>
      <c r="R15" s="1855" t="str">
        <f t="shared" si="4"/>
        <v>ZwiebelnKräuter, Gewürz mittelSalate, diverse, mittlerer ErtragFenchel, Knollen</v>
      </c>
    </row>
    <row r="16" spans="1:18" ht="15" customHeight="1">
      <c r="A16" s="1"/>
      <c r="B16" s="352" t="s">
        <v>1941</v>
      </c>
      <c r="C16" s="351"/>
      <c r="D16" s="3451">
        <v>1200</v>
      </c>
      <c r="E16" s="519">
        <f>IF(B16="","",VLOOKUP($B16,D_Gemüse1!$B$4:$G$71,3,FALSE))</f>
        <v>1.3</v>
      </c>
      <c r="F16" s="878"/>
      <c r="G16" s="520">
        <f>IF(B16="","",VLOOKUP($B16,D_Gemüse1!$B$4:$G$71,4,FALSE))</f>
        <v>0.2</v>
      </c>
      <c r="H16" s="520">
        <f>IF(B16="","",VLOOKUP($B16,D_Gemüse1!$B$4:$G$71,5,FALSE))</f>
        <v>1</v>
      </c>
      <c r="I16" s="520">
        <f>IF(B16="","",VLOOKUP($B16,D_Gemüse1!$B$4:$G$71,6,FALSE))</f>
        <v>0.1</v>
      </c>
      <c r="J16" s="519">
        <f t="shared" si="0"/>
        <v>1560</v>
      </c>
      <c r="K16" s="520">
        <f t="shared" si="1"/>
        <v>240</v>
      </c>
      <c r="L16" s="520">
        <f t="shared" si="2"/>
        <v>1200</v>
      </c>
      <c r="M16" s="521">
        <f t="shared" si="3"/>
        <v>120</v>
      </c>
      <c r="N16" s="1840">
        <v>1</v>
      </c>
      <c r="O16" s="1841">
        <v>1</v>
      </c>
      <c r="P16" s="1842">
        <v>1</v>
      </c>
      <c r="R16" s="1855" t="str">
        <f t="shared" si="4"/>
        <v>Zucchetti, Patisson, KürbisZwiebelnKräuter, Gewürz mittelSalate, diverse, mittlerer ErtragFenchel, Knollen</v>
      </c>
    </row>
    <row r="17" spans="1:18" ht="15" customHeight="1">
      <c r="A17" s="1"/>
      <c r="B17" s="352" t="inlineStr">
        <is>
          <t xml:space="preserve">Kräuter, Gewürz mittel</t>
        </is>
      </c>
      <c r="C17" s="351"/>
      <c r="D17" s="349">
        <v>50</v>
      </c>
      <c r="E17" s="519" t="str">
        <f>IF(B17="","",VLOOKUP($B17,D_Gemüse1!$B$4:$G$71,3,FALSE))</f>
        <v/>
      </c>
      <c r="F17" s="878"/>
      <c r="G17" s="520" t="str">
        <f>IF(B17="","",VLOOKUP($B17,D_Gemüse1!$B$4:$G$71,4,FALSE))</f>
        <v/>
      </c>
      <c r="H17" s="520" t="str">
        <f>IF(B17="","",VLOOKUP($B17,D_Gemüse1!$B$4:$G$71,5,FALSE))</f>
        <v/>
      </c>
      <c r="I17" s="520" t="str">
        <f>IF(B17="","",VLOOKUP($B17,D_Gemüse1!$B$4:$G$71,6,FALSE))</f>
        <v/>
      </c>
      <c r="J17" s="519" t="str">
        <f t="shared" si="0"/>
        <v/>
      </c>
      <c r="K17" s="520" t="str">
        <f t="shared" si="1"/>
        <v/>
      </c>
      <c r="L17" s="520" t="str">
        <f t="shared" si="2"/>
        <v/>
      </c>
      <c r="M17" s="521" t="str">
        <f t="shared" si="3"/>
        <v/>
      </c>
      <c r="N17" s="1840">
        <v>1</v>
      </c>
      <c r="O17" s="1841">
        <v>1</v>
      </c>
      <c r="P17" s="1842">
        <v>1</v>
      </c>
      <c r="R17" s="1855" t="str">
        <f t="shared" si="4"/>
        <v>Zucchetti, Patisson, KürbisZwiebelnKräuter, Gewürz mittelSalate, diverse, mittlerer ErtragFenchel, Knollen</v>
      </c>
    </row>
    <row r="18" spans="1:18" ht="15" customHeight="1">
      <c r="A18" s="1"/>
      <c r="B18" s="352"/>
      <c r="C18" s="351"/>
      <c r="D18" s="349"/>
      <c r="E18" s="519" t="str">
        <f>IF(B18="","",VLOOKUP($B18,D_Gemüse1!$B$4:$G$71,3,FALSE))</f>
        <v/>
      </c>
      <c r="F18" s="878"/>
      <c r="G18" s="520" t="str">
        <f>IF(B18="","",VLOOKUP($B18,D_Gemüse1!$B$4:$G$71,4,FALSE))</f>
        <v/>
      </c>
      <c r="H18" s="520" t="str">
        <f>IF(B18="","",VLOOKUP($B18,D_Gemüse1!$B$4:$G$71,5,FALSE))</f>
        <v/>
      </c>
      <c r="I18" s="520" t="str">
        <f>IF(B18="","",VLOOKUP($B18,D_Gemüse1!$B$4:$G$71,6,FALSE))</f>
        <v/>
      </c>
      <c r="J18" s="519" t="str">
        <f t="shared" si="0"/>
        <v/>
      </c>
      <c r="K18" s="520" t="str">
        <f t="shared" si="1"/>
        <v/>
      </c>
      <c r="L18" s="520" t="str">
        <f t="shared" si="2"/>
        <v/>
      </c>
      <c r="M18" s="521" t="str">
        <f t="shared" si="3"/>
        <v/>
      </c>
      <c r="N18" s="1840">
        <v>1</v>
      </c>
      <c r="O18" s="1841">
        <v>1</v>
      </c>
      <c r="P18" s="1842">
        <v>1</v>
      </c>
      <c r="R18" s="1855" t="str">
        <f t="shared" si="4"/>
        <v>Zucchetti, Patisson, KürbisZwiebelnKräuter, Gewürz mittelSalate, diverse, mittlerer ErtragFenchel, Knollen</v>
      </c>
    </row>
    <row r="19" spans="1:18" ht="15" customHeight="1">
      <c r="A19" s="1"/>
      <c r="B19" s="352"/>
      <c r="C19" s="351"/>
      <c r="D19" s="349"/>
      <c r="E19" s="519" t="str">
        <f>IF(B19="","",VLOOKUP($B19,D_Gemüse1!$B$4:$G$71,3,FALSE))</f>
        <v/>
      </c>
      <c r="F19" s="878"/>
      <c r="G19" s="520" t="str">
        <f>IF(B19="","",VLOOKUP($B19,D_Gemüse1!$B$4:$G$71,4,FALSE))</f>
        <v/>
      </c>
      <c r="H19" s="520" t="str">
        <f>IF(B19="","",VLOOKUP($B19,D_Gemüse1!$B$4:$G$71,5,FALSE))</f>
        <v/>
      </c>
      <c r="I19" s="520" t="str">
        <f>IF(B19="","",VLOOKUP($B19,D_Gemüse1!$B$4:$G$71,6,FALSE))</f>
        <v/>
      </c>
      <c r="J19" s="519" t="str">
        <f t="shared" si="0"/>
        <v/>
      </c>
      <c r="K19" s="520" t="str">
        <f t="shared" si="1"/>
        <v/>
      </c>
      <c r="L19" s="520" t="str">
        <f t="shared" si="2"/>
        <v/>
      </c>
      <c r="M19" s="521" t="str">
        <f t="shared" si="3"/>
        <v/>
      </c>
      <c r="N19" s="1840">
        <v>1</v>
      </c>
      <c r="O19" s="1841">
        <v>1</v>
      </c>
      <c r="P19" s="1842">
        <v>1</v>
      </c>
      <c r="R19" s="1855" t="str">
        <f t="shared" si="4"/>
        <v>Zucchetti, Patisson, KürbisZwiebelnKräuter, Gewürz mittelSalate, diverse, mittlerer ErtragFenchel, Knollen</v>
      </c>
    </row>
    <row r="20" spans="1:18" ht="15" customHeight="1">
      <c r="A20" s="1"/>
      <c r="B20" s="352"/>
      <c r="C20" s="351"/>
      <c r="D20" s="349"/>
      <c r="E20" s="519" t="str">
        <f>IF(B20="","",VLOOKUP($B20,D_Gemüse1!$B$4:$G$71,3,FALSE))</f>
        <v/>
      </c>
      <c r="F20" s="878"/>
      <c r="G20" s="520" t="str">
        <f>IF(B20="","",VLOOKUP($B20,D_Gemüse1!$B$4:$G$71,4,FALSE))</f>
        <v/>
      </c>
      <c r="H20" s="520" t="str">
        <f>IF(B20="","",VLOOKUP($B20,D_Gemüse1!$B$4:$G$71,5,FALSE))</f>
        <v/>
      </c>
      <c r="I20" s="520" t="str">
        <f>IF(B20="","",VLOOKUP($B20,D_Gemüse1!$B$4:$G$71,6,FALSE))</f>
        <v/>
      </c>
      <c r="J20" s="519" t="str">
        <f t="shared" si="0"/>
        <v/>
      </c>
      <c r="K20" s="520" t="str">
        <f t="shared" si="1"/>
        <v/>
      </c>
      <c r="L20" s="520" t="str">
        <f t="shared" si="2"/>
        <v/>
      </c>
      <c r="M20" s="521" t="str">
        <f t="shared" si="3"/>
        <v/>
      </c>
      <c r="N20" s="1840">
        <v>1</v>
      </c>
      <c r="O20" s="1841">
        <v>1</v>
      </c>
      <c r="P20" s="1842">
        <v>1</v>
      </c>
      <c r="R20" s="1855" t="str">
        <f t="shared" si="4"/>
        <v>Zucchetti, Patisson, KürbisZwiebelnKräuter, Gewürz mittelSalate, diverse, mittlerer ErtragFenchel, Knollen</v>
      </c>
    </row>
    <row r="21" spans="1:18" ht="15" customHeight="1">
      <c r="A21" s="1"/>
      <c r="B21" s="352"/>
      <c r="C21" s="351"/>
      <c r="D21" s="349"/>
      <c r="E21" s="519" t="str">
        <f>IF(B21="","",VLOOKUP($B21,D_Gemüse1!$B$4:$G$71,3,FALSE))</f>
        <v/>
      </c>
      <c r="F21" s="878"/>
      <c r="G21" s="520" t="str">
        <f>IF(B21="","",VLOOKUP($B21,D_Gemüse1!$B$4:$G$71,4,FALSE))</f>
        <v/>
      </c>
      <c r="H21" s="520" t="str">
        <f>IF(B21="","",VLOOKUP($B21,D_Gemüse1!$B$4:$G$71,5,FALSE))</f>
        <v/>
      </c>
      <c r="I21" s="520" t="str">
        <f>IF(B21="","",VLOOKUP($B21,D_Gemüse1!$B$4:$G$71,6,FALSE))</f>
        <v/>
      </c>
      <c r="J21" s="519" t="str">
        <f t="shared" si="0"/>
        <v/>
      </c>
      <c r="K21" s="520" t="str">
        <f t="shared" si="1"/>
        <v/>
      </c>
      <c r="L21" s="520" t="str">
        <f t="shared" si="2"/>
        <v/>
      </c>
      <c r="M21" s="521" t="str">
        <f t="shared" si="3"/>
        <v/>
      </c>
      <c r="N21" s="1840">
        <v>1</v>
      </c>
      <c r="O21" s="1841">
        <v>1</v>
      </c>
      <c r="P21" s="1842">
        <v>1</v>
      </c>
      <c r="R21" s="1855" t="str">
        <f t="shared" si="4"/>
        <v>Zucchetti, Patisson, KürbisZwiebelnKräuter, Gewürz mittelSalate, diverse, mittlerer ErtragFenchel, Knollen</v>
      </c>
    </row>
    <row r="22" spans="1:18" ht="15" customHeight="1">
      <c r="A22" s="1"/>
      <c r="B22" s="352"/>
      <c r="C22" s="351"/>
      <c r="D22" s="349"/>
      <c r="E22" s="519" t="str">
        <f>IF(B22="","",VLOOKUP($B22,D_Gemüse1!$B$4:$G$71,3,FALSE))</f>
        <v/>
      </c>
      <c r="F22" s="878"/>
      <c r="G22" s="520" t="str">
        <f>IF(B22="","",VLOOKUP($B22,D_Gemüse1!$B$4:$G$71,4,FALSE))</f>
        <v/>
      </c>
      <c r="H22" s="520" t="str">
        <f>IF(B22="","",VLOOKUP($B22,D_Gemüse1!$B$4:$G$71,5,FALSE))</f>
        <v/>
      </c>
      <c r="I22" s="520" t="str">
        <f>IF(B22="","",VLOOKUP($B22,D_Gemüse1!$B$4:$G$71,6,FALSE))</f>
        <v/>
      </c>
      <c r="J22" s="519" t="str">
        <f t="shared" si="0"/>
        <v/>
      </c>
      <c r="K22" s="520" t="str">
        <f t="shared" si="1"/>
        <v/>
      </c>
      <c r="L22" s="520" t="str">
        <f t="shared" si="2"/>
        <v/>
      </c>
      <c r="M22" s="521" t="str">
        <f t="shared" si="3"/>
        <v/>
      </c>
      <c r="N22" s="1840">
        <v>1</v>
      </c>
      <c r="O22" s="1841">
        <v>1</v>
      </c>
      <c r="P22" s="1842">
        <v>1</v>
      </c>
      <c r="R22" s="1855" t="str">
        <f t="shared" si="4"/>
        <v>Zucchetti, Patisson, KürbisZwiebelnKräuter, Gewürz mittelSalate, diverse, mittlerer ErtragFenchel, Knollen</v>
      </c>
    </row>
    <row r="23" spans="1:18" ht="15" customHeight="1">
      <c r="A23" s="1"/>
      <c r="B23" s="352"/>
      <c r="C23" s="351"/>
      <c r="D23" s="349"/>
      <c r="E23" s="519" t="str">
        <f>IF(B23="","",VLOOKUP($B23,D_Gemüse1!$B$4:$G$71,3,FALSE))</f>
        <v/>
      </c>
      <c r="F23" s="878"/>
      <c r="G23" s="520" t="str">
        <f>IF(B23="","",VLOOKUP($B23,D_Gemüse1!$B$4:$G$71,4,FALSE))</f>
        <v/>
      </c>
      <c r="H23" s="520" t="str">
        <f>IF(B23="","",VLOOKUP($B23,D_Gemüse1!$B$4:$G$71,5,FALSE))</f>
        <v/>
      </c>
      <c r="I23" s="520" t="str">
        <f>IF(B23="","",VLOOKUP($B23,D_Gemüse1!$B$4:$G$71,6,FALSE))</f>
        <v/>
      </c>
      <c r="J23" s="519" t="str">
        <f t="shared" si="0"/>
        <v/>
      </c>
      <c r="K23" s="520" t="str">
        <f t="shared" si="1"/>
        <v/>
      </c>
      <c r="L23" s="520" t="str">
        <f t="shared" si="2"/>
        <v/>
      </c>
      <c r="M23" s="521" t="str">
        <f t="shared" si="3"/>
        <v/>
      </c>
      <c r="N23" s="1840">
        <v>1</v>
      </c>
      <c r="O23" s="1841">
        <v>1</v>
      </c>
      <c r="P23" s="1842">
        <v>1</v>
      </c>
      <c r="R23" s="1855" t="str">
        <f t="shared" si="4"/>
        <v>Zucchetti, Patisson, KürbisZwiebelnKräuter, Gewürz mittelSalate, diverse, mittlerer ErtragFenchel, Knollen</v>
      </c>
    </row>
    <row r="24" spans="1:18" ht="15" customHeight="1">
      <c r="A24" s="1"/>
      <c r="B24" s="352"/>
      <c r="C24" s="351"/>
      <c r="D24" s="349"/>
      <c r="E24" s="519" t="str">
        <f>IF(B24="","",VLOOKUP($B24,D_Gemüse1!$B$4:$G$71,3,FALSE))</f>
        <v/>
      </c>
      <c r="F24" s="878"/>
      <c r="G24" s="520" t="str">
        <f>IF(B24="","",VLOOKUP($B24,D_Gemüse1!$B$4:$G$71,4,FALSE))</f>
        <v/>
      </c>
      <c r="H24" s="520" t="str">
        <f>IF(B24="","",VLOOKUP($B24,D_Gemüse1!$B$4:$G$71,5,FALSE))</f>
        <v/>
      </c>
      <c r="I24" s="520" t="str">
        <f>IF(B24="","",VLOOKUP($B24,D_Gemüse1!$B$4:$G$71,6,FALSE))</f>
        <v/>
      </c>
      <c r="J24" s="519" t="str">
        <f t="shared" si="0"/>
        <v/>
      </c>
      <c r="K24" s="520" t="str">
        <f t="shared" si="1"/>
        <v/>
      </c>
      <c r="L24" s="520" t="str">
        <f t="shared" si="2"/>
        <v/>
      </c>
      <c r="M24" s="521" t="str">
        <f t="shared" si="3"/>
        <v/>
      </c>
      <c r="N24" s="1840">
        <v>1</v>
      </c>
      <c r="O24" s="1841">
        <v>1</v>
      </c>
      <c r="P24" s="1842">
        <v>1</v>
      </c>
      <c r="R24" s="1855" t="str">
        <f t="shared" si="4"/>
        <v>Zucchetti, Patisson, KürbisZwiebelnKräuter, Gewürz mittelSalate, diverse, mittlerer ErtragFenchel, Knollen</v>
      </c>
    </row>
    <row r="25" spans="1:18" ht="15" customHeight="1">
      <c r="A25" s="1"/>
      <c r="B25" s="352"/>
      <c r="C25" s="351"/>
      <c r="D25" s="349"/>
      <c r="E25" s="519" t="str">
        <f>IF(B25="","",VLOOKUP($B25,D_Gemüse1!$B$4:$G$71,3,FALSE))</f>
        <v/>
      </c>
      <c r="F25" s="878"/>
      <c r="G25" s="520" t="str">
        <f>IF(B25="","",VLOOKUP($B25,D_Gemüse1!$B$4:$G$71,4,FALSE))</f>
        <v/>
      </c>
      <c r="H25" s="520" t="str">
        <f>IF(B25="","",VLOOKUP($B25,D_Gemüse1!$B$4:$G$71,5,FALSE))</f>
        <v/>
      </c>
      <c r="I25" s="520" t="str">
        <f>IF(B25="","",VLOOKUP($B25,D_Gemüse1!$B$4:$G$71,6,FALSE))</f>
        <v/>
      </c>
      <c r="J25" s="519" t="str">
        <f t="shared" si="0"/>
        <v/>
      </c>
      <c r="K25" s="520" t="str">
        <f t="shared" si="1"/>
        <v/>
      </c>
      <c r="L25" s="520" t="str">
        <f t="shared" si="2"/>
        <v/>
      </c>
      <c r="M25" s="521" t="str">
        <f t="shared" si="3"/>
        <v/>
      </c>
      <c r="N25" s="1840">
        <v>1.1000000000000001</v>
      </c>
      <c r="O25" s="1841">
        <v>1</v>
      </c>
      <c r="P25" s="1842">
        <v>1</v>
      </c>
      <c r="R25" s="1855" t="str">
        <f t="shared" si="4"/>
        <v>Zucchetti, Patisson, KürbisZwiebelnKräuter, Gewürz mittelSalate, diverse, mittlerer ErtragFenchel, Knollen</v>
      </c>
    </row>
    <row r="26" spans="1:18" ht="15" customHeight="1">
      <c r="A26" s="1"/>
      <c r="B26" s="352"/>
      <c r="C26" s="351"/>
      <c r="D26" s="349"/>
      <c r="E26" s="519" t="str">
        <f>IF(B26="","",VLOOKUP($B26,D_Gemüse1!$B$4:$G$71,3,FALSE))</f>
        <v/>
      </c>
      <c r="F26" s="878"/>
      <c r="G26" s="520" t="str">
        <f>IF(B26="","",VLOOKUP($B26,D_Gemüse1!$B$4:$G$71,4,FALSE))</f>
        <v/>
      </c>
      <c r="H26" s="520" t="str">
        <f>IF(B26="","",VLOOKUP($B26,D_Gemüse1!$B$4:$G$71,5,FALSE))</f>
        <v/>
      </c>
      <c r="I26" s="520" t="str">
        <f>IF(B26="","",VLOOKUP($B26,D_Gemüse1!$B$4:$G$71,6,FALSE))</f>
        <v/>
      </c>
      <c r="J26" s="519" t="str">
        <f t="shared" si="0"/>
        <v/>
      </c>
      <c r="K26" s="520" t="str">
        <f t="shared" si="1"/>
        <v/>
      </c>
      <c r="L26" s="520" t="str">
        <f t="shared" si="2"/>
        <v/>
      </c>
      <c r="M26" s="521" t="str">
        <f t="shared" si="3"/>
        <v/>
      </c>
      <c r="N26" s="1840">
        <v>1</v>
      </c>
      <c r="O26" s="1841">
        <v>1</v>
      </c>
      <c r="P26" s="1842">
        <v>1</v>
      </c>
      <c r="R26" s="1855" t="str">
        <f t="shared" si="4"/>
        <v>Zucchetti, Patisson, KürbisZwiebelnKräuter, Gewürz mittelSalate, diverse, mittlerer ErtragFenchel, Knollen</v>
      </c>
    </row>
    <row r="27" spans="1:18" ht="15" customHeight="1">
      <c r="A27" s="1"/>
      <c r="B27" s="352"/>
      <c r="C27" s="351"/>
      <c r="D27" s="349"/>
      <c r="E27" s="519" t="str">
        <f>IF(B27="","",VLOOKUP($B27,D_Gemüse1!$B$4:$G$71,3,FALSE))</f>
        <v/>
      </c>
      <c r="F27" s="878"/>
      <c r="G27" s="520" t="str">
        <f>IF(B27="","",VLOOKUP($B27,D_Gemüse1!$B$4:$G$71,4,FALSE))</f>
        <v/>
      </c>
      <c r="H27" s="520" t="str">
        <f>IF(B27="","",VLOOKUP($B27,D_Gemüse1!$B$4:$G$71,5,FALSE))</f>
        <v/>
      </c>
      <c r="I27" s="520" t="str">
        <f>IF(B27="","",VLOOKUP($B27,D_Gemüse1!$B$4:$G$71,6,FALSE))</f>
        <v/>
      </c>
      <c r="J27" s="519" t="str">
        <f t="shared" si="0"/>
        <v/>
      </c>
      <c r="K27" s="520" t="str">
        <f t="shared" si="1"/>
        <v/>
      </c>
      <c r="L27" s="520" t="str">
        <f t="shared" si="2"/>
        <v/>
      </c>
      <c r="M27" s="521" t="str">
        <f t="shared" si="3"/>
        <v/>
      </c>
      <c r="N27" s="1840">
        <v>1</v>
      </c>
      <c r="O27" s="1841">
        <v>1</v>
      </c>
      <c r="P27" s="1842">
        <v>1</v>
      </c>
      <c r="R27" s="1855" t="str">
        <f t="shared" si="4"/>
        <v>Zucchetti, Patisson, KürbisZwiebelnKräuter, Gewürz mittelSalate, diverse, mittlerer ErtragFenchel, Knollen</v>
      </c>
    </row>
    <row r="28" spans="1:18" ht="15" customHeight="1">
      <c r="A28" s="1"/>
      <c r="B28" s="352"/>
      <c r="C28" s="351"/>
      <c r="D28" s="349"/>
      <c r="E28" s="519" t="str">
        <f>IF(B28="","",VLOOKUP($B28,D_Gemüse1!$B$4:$G$71,3,FALSE))</f>
        <v/>
      </c>
      <c r="F28" s="878"/>
      <c r="G28" s="520" t="str">
        <f>IF(B28="","",VLOOKUP($B28,D_Gemüse1!$B$4:$G$71,4,FALSE))</f>
        <v/>
      </c>
      <c r="H28" s="520" t="str">
        <f>IF(B28="","",VLOOKUP($B28,D_Gemüse1!$B$4:$G$71,5,FALSE))</f>
        <v/>
      </c>
      <c r="I28" s="520" t="str">
        <f>IF(B28="","",VLOOKUP($B28,D_Gemüse1!$B$4:$G$71,6,FALSE))</f>
        <v/>
      </c>
      <c r="J28" s="519" t="str">
        <f t="shared" si="0"/>
        <v/>
      </c>
      <c r="K28" s="520" t="str">
        <f t="shared" si="1"/>
        <v/>
      </c>
      <c r="L28" s="520" t="str">
        <f t="shared" si="2"/>
        <v/>
      </c>
      <c r="M28" s="521" t="str">
        <f t="shared" si="3"/>
        <v/>
      </c>
      <c r="N28" s="1840">
        <v>1</v>
      </c>
      <c r="O28" s="1841">
        <v>1</v>
      </c>
      <c r="P28" s="1842">
        <v>1</v>
      </c>
      <c r="R28" s="1855" t="str">
        <f t="shared" si="4"/>
        <v>Zucchetti, Patisson, KürbisZwiebelnKräuter, Gewürz mittelSalate, diverse, mittlerer ErtragFenchel, Knollen</v>
      </c>
    </row>
    <row r="29" spans="1:18" ht="15" customHeight="1">
      <c r="A29" s="1"/>
      <c r="B29" s="352"/>
      <c r="C29" s="351"/>
      <c r="D29" s="349"/>
      <c r="E29" s="519" t="str">
        <f>IF(B29="","",VLOOKUP($B29,D_Gemüse1!$B$4:$G$71,3,FALSE))</f>
        <v/>
      </c>
      <c r="F29" s="878"/>
      <c r="G29" s="520" t="str">
        <f>IF(B29="","",VLOOKUP($B29,D_Gemüse1!$B$4:$G$71,4,FALSE))</f>
        <v/>
      </c>
      <c r="H29" s="520" t="str">
        <f>IF(B29="","",VLOOKUP($B29,D_Gemüse1!$B$4:$G$71,5,FALSE))</f>
        <v/>
      </c>
      <c r="I29" s="520" t="str">
        <f>IF(B29="","",VLOOKUP($B29,D_Gemüse1!$B$4:$G$71,6,FALSE))</f>
        <v/>
      </c>
      <c r="J29" s="519" t="str">
        <f t="shared" ref="J29:J44" si="5">IF(OR(ISBLANK(B29),ISBLANK(D29)),"",IF(ISBLANK(F29),ROUND(D29*E29,1),ROUND(D29*F29,1)))</f>
        <v/>
      </c>
      <c r="K29" s="520" t="str">
        <f t="shared" si="1"/>
        <v/>
      </c>
      <c r="L29" s="520" t="str">
        <f t="shared" si="2"/>
        <v/>
      </c>
      <c r="M29" s="521" t="str">
        <f t="shared" si="3"/>
        <v/>
      </c>
      <c r="N29" s="1840">
        <v>1</v>
      </c>
      <c r="O29" s="1841">
        <v>1</v>
      </c>
      <c r="P29" s="1842">
        <v>1</v>
      </c>
      <c r="R29" s="1855" t="str">
        <f t="shared" si="4"/>
        <v>Zucchetti, Patisson, KürbisZwiebelnKräuter, Gewürz mittelSalate, diverse, mittlerer ErtragFenchel, Knollen</v>
      </c>
    </row>
    <row r="30" spans="1:18" ht="15" customHeight="1">
      <c r="A30" s="1"/>
      <c r="B30" s="352"/>
      <c r="C30" s="351"/>
      <c r="D30" s="349"/>
      <c r="E30" s="519" t="str">
        <f>IF(B30="","",VLOOKUP($B30,D_Gemüse1!$B$4:$G$71,3,FALSE))</f>
        <v/>
      </c>
      <c r="F30" s="878"/>
      <c r="G30" s="520" t="str">
        <f>IF(B30="","",VLOOKUP($B30,D_Gemüse1!$B$4:$G$71,4,FALSE))</f>
        <v/>
      </c>
      <c r="H30" s="520" t="str">
        <f>IF(B30="","",VLOOKUP($B30,D_Gemüse1!$B$4:$G$71,5,FALSE))</f>
        <v/>
      </c>
      <c r="I30" s="520" t="str">
        <f>IF(B30="","",VLOOKUP($B30,D_Gemüse1!$B$4:$G$71,6,FALSE))</f>
        <v/>
      </c>
      <c r="J30" s="519" t="str">
        <f t="shared" si="5"/>
        <v/>
      </c>
      <c r="K30" s="520" t="str">
        <f t="shared" si="1"/>
        <v/>
      </c>
      <c r="L30" s="520" t="str">
        <f t="shared" si="2"/>
        <v/>
      </c>
      <c r="M30" s="521" t="str">
        <f t="shared" si="3"/>
        <v/>
      </c>
      <c r="N30" s="1840">
        <v>1</v>
      </c>
      <c r="O30" s="1841">
        <v>1</v>
      </c>
      <c r="P30" s="1842">
        <v>1</v>
      </c>
      <c r="R30" s="1855" t="str">
        <f t="shared" si="4"/>
        <v>Zucchetti, Patisson, KürbisZwiebelnKräuter, Gewürz mittelSalate, diverse, mittlerer ErtragFenchel, Knollen</v>
      </c>
    </row>
    <row r="31" spans="1:18" ht="15" customHeight="1">
      <c r="A31" s="1"/>
      <c r="B31" s="352"/>
      <c r="C31" s="351"/>
      <c r="D31" s="349"/>
      <c r="E31" s="519" t="str">
        <f>IF(B31="","",VLOOKUP($B31,D_Gemüse1!$B$4:$G$71,3,FALSE))</f>
        <v/>
      </c>
      <c r="F31" s="878"/>
      <c r="G31" s="520" t="str">
        <f>IF(B31="","",VLOOKUP($B31,D_Gemüse1!$B$4:$G$71,4,FALSE))</f>
        <v/>
      </c>
      <c r="H31" s="520" t="str">
        <f>IF(B31="","",VLOOKUP($B31,D_Gemüse1!$B$4:$G$71,5,FALSE))</f>
        <v/>
      </c>
      <c r="I31" s="520" t="str">
        <f>IF(B31="","",VLOOKUP($B31,D_Gemüse1!$B$4:$G$71,6,FALSE))</f>
        <v/>
      </c>
      <c r="J31" s="519" t="str">
        <f t="shared" si="5"/>
        <v/>
      </c>
      <c r="K31" s="520" t="str">
        <f t="shared" si="1"/>
        <v/>
      </c>
      <c r="L31" s="520" t="str">
        <f t="shared" si="2"/>
        <v/>
      </c>
      <c r="M31" s="521" t="str">
        <f t="shared" si="3"/>
        <v/>
      </c>
      <c r="N31" s="1840">
        <v>1</v>
      </c>
      <c r="O31" s="1841">
        <v>1</v>
      </c>
      <c r="P31" s="1842">
        <v>1</v>
      </c>
      <c r="R31" s="1855" t="str">
        <f t="shared" si="4"/>
        <v>Zucchetti, Patisson, KürbisZwiebelnKräuter, Gewürz mittelSalate, diverse, mittlerer ErtragFenchel, Knollen</v>
      </c>
    </row>
    <row r="32" spans="1:18" ht="15" customHeight="1">
      <c r="A32" s="1"/>
      <c r="B32" s="352"/>
      <c r="C32" s="351"/>
      <c r="D32" s="349"/>
      <c r="E32" s="519" t="str">
        <f>IF(B32="","",VLOOKUP($B32,D_Gemüse1!$B$4:$G$71,3,FALSE))</f>
        <v/>
      </c>
      <c r="F32" s="878"/>
      <c r="G32" s="520" t="str">
        <f>IF(B32="","",VLOOKUP($B32,D_Gemüse1!$B$4:$G$71,4,FALSE))</f>
        <v/>
      </c>
      <c r="H32" s="520" t="str">
        <f>IF(B32="","",VLOOKUP($B32,D_Gemüse1!$B$4:$G$71,5,FALSE))</f>
        <v/>
      </c>
      <c r="I32" s="520" t="str">
        <f>IF(B32="","",VLOOKUP($B32,D_Gemüse1!$B$4:$G$71,6,FALSE))</f>
        <v/>
      </c>
      <c r="J32" s="519" t="str">
        <f t="shared" si="5"/>
        <v/>
      </c>
      <c r="K32" s="520" t="str">
        <f t="shared" si="1"/>
        <v/>
      </c>
      <c r="L32" s="520" t="str">
        <f t="shared" si="2"/>
        <v/>
      </c>
      <c r="M32" s="521" t="str">
        <f t="shared" si="3"/>
        <v/>
      </c>
      <c r="N32" s="1840">
        <v>1</v>
      </c>
      <c r="O32" s="1841">
        <v>1</v>
      </c>
      <c r="P32" s="1842">
        <v>1</v>
      </c>
      <c r="R32" s="1855" t="str">
        <f t="shared" si="4"/>
        <v>Zucchetti, Patisson, KürbisZwiebelnKräuter, Gewürz mittelSalate, diverse, mittlerer ErtragFenchel, Knollen</v>
      </c>
    </row>
    <row r="33" spans="1:18" ht="15" customHeight="1">
      <c r="A33" s="1"/>
      <c r="B33" s="352"/>
      <c r="C33" s="351"/>
      <c r="D33" s="349"/>
      <c r="E33" s="519" t="str">
        <f>IF(B33="","",VLOOKUP($B33,D_Gemüse1!$B$4:$G$71,3,FALSE))</f>
        <v/>
      </c>
      <c r="F33" s="878"/>
      <c r="G33" s="520" t="str">
        <f>IF(B33="","",VLOOKUP($B33,D_Gemüse1!$B$4:$G$71,4,FALSE))</f>
        <v/>
      </c>
      <c r="H33" s="520" t="str">
        <f>IF(B33="","",VLOOKUP($B33,D_Gemüse1!$B$4:$G$71,5,FALSE))</f>
        <v/>
      </c>
      <c r="I33" s="520" t="str">
        <f>IF(B33="","",VLOOKUP($B33,D_Gemüse1!$B$4:$G$71,6,FALSE))</f>
        <v/>
      </c>
      <c r="J33" s="519" t="str">
        <f t="shared" si="5"/>
        <v/>
      </c>
      <c r="K33" s="520" t="str">
        <f t="shared" si="1"/>
        <v/>
      </c>
      <c r="L33" s="520" t="str">
        <f t="shared" si="2"/>
        <v/>
      </c>
      <c r="M33" s="521" t="str">
        <f t="shared" si="3"/>
        <v/>
      </c>
      <c r="N33" s="1840">
        <v>1</v>
      </c>
      <c r="O33" s="1841">
        <v>1</v>
      </c>
      <c r="P33" s="1842">
        <v>1</v>
      </c>
      <c r="R33" s="1855" t="str">
        <f t="shared" si="4"/>
        <v>Zucchetti, Patisson, KürbisZwiebelnKräuter, Gewürz mittelSalate, diverse, mittlerer ErtragFenchel, Knollen</v>
      </c>
    </row>
    <row r="34" spans="1:18" ht="15" customHeight="1">
      <c r="A34" s="1"/>
      <c r="B34" s="352"/>
      <c r="C34" s="351"/>
      <c r="D34" s="349"/>
      <c r="E34" s="519" t="str">
        <f>IF(B34="","",VLOOKUP($B34,D_Gemüse1!$B$4:$G$71,3,FALSE))</f>
        <v/>
      </c>
      <c r="F34" s="878"/>
      <c r="G34" s="520" t="str">
        <f>IF(B34="","",VLOOKUP($B34,D_Gemüse1!$B$4:$G$71,4,FALSE))</f>
        <v/>
      </c>
      <c r="H34" s="520" t="str">
        <f>IF(B34="","",VLOOKUP($B34,D_Gemüse1!$B$4:$G$71,5,FALSE))</f>
        <v/>
      </c>
      <c r="I34" s="520" t="str">
        <f>IF(B34="","",VLOOKUP($B34,D_Gemüse1!$B$4:$G$71,6,FALSE))</f>
        <v/>
      </c>
      <c r="J34" s="519" t="str">
        <f t="shared" si="5"/>
        <v/>
      </c>
      <c r="K34" s="520" t="str">
        <f t="shared" si="1"/>
        <v/>
      </c>
      <c r="L34" s="520" t="str">
        <f t="shared" si="2"/>
        <v/>
      </c>
      <c r="M34" s="521" t="str">
        <f t="shared" si="3"/>
        <v/>
      </c>
      <c r="N34" s="1840">
        <v>1</v>
      </c>
      <c r="O34" s="1841">
        <v>1</v>
      </c>
      <c r="P34" s="1842">
        <v>1</v>
      </c>
      <c r="R34" s="1855" t="str">
        <f t="shared" si="4"/>
        <v>Zucchetti, Patisson, KürbisZwiebelnKräuter, Gewürz mittelSalate, diverse, mittlerer ErtragFenchel, Knollen</v>
      </c>
    </row>
    <row r="35" spans="1:18" ht="15" customHeight="1">
      <c r="A35" s="1"/>
      <c r="B35" s="352"/>
      <c r="C35" s="351"/>
      <c r="D35" s="349"/>
      <c r="E35" s="519" t="str">
        <f>IF(B35="","",VLOOKUP($B35,D_Gemüse1!$B$4:$G$71,3,FALSE))</f>
        <v/>
      </c>
      <c r="F35" s="878"/>
      <c r="G35" s="520" t="str">
        <f>IF(B35="","",VLOOKUP($B35,D_Gemüse1!$B$4:$G$71,4,FALSE))</f>
        <v/>
      </c>
      <c r="H35" s="520" t="str">
        <f>IF(B35="","",VLOOKUP($B35,D_Gemüse1!$B$4:$G$71,5,FALSE))</f>
        <v/>
      </c>
      <c r="I35" s="520" t="str">
        <f>IF(B35="","",VLOOKUP($B35,D_Gemüse1!$B$4:$G$71,6,FALSE))</f>
        <v/>
      </c>
      <c r="J35" s="519" t="str">
        <f t="shared" si="5"/>
        <v/>
      </c>
      <c r="K35" s="520" t="str">
        <f t="shared" si="1"/>
        <v/>
      </c>
      <c r="L35" s="520" t="str">
        <f t="shared" si="2"/>
        <v/>
      </c>
      <c r="M35" s="521" t="str">
        <f t="shared" si="3"/>
        <v/>
      </c>
      <c r="N35" s="1840">
        <v>1</v>
      </c>
      <c r="O35" s="1841">
        <v>1</v>
      </c>
      <c r="P35" s="1842">
        <v>1</v>
      </c>
      <c r="R35" s="1855" t="str">
        <f t="shared" si="4"/>
        <v>Zucchetti, Patisson, KürbisZwiebelnKräuter, Gewürz mittelSalate, diverse, mittlerer ErtragFenchel, Knollen</v>
      </c>
    </row>
    <row r="36" spans="1:18" ht="15" customHeight="1">
      <c r="A36" s="1"/>
      <c r="B36" s="352"/>
      <c r="C36" s="351"/>
      <c r="D36" s="349"/>
      <c r="E36" s="519" t="str">
        <f>IF(B36="","",VLOOKUP($B36,D_Gemüse1!$B$4:$G$71,3,FALSE))</f>
        <v/>
      </c>
      <c r="F36" s="878"/>
      <c r="G36" s="520" t="str">
        <f>IF(B36="","",VLOOKUP($B36,D_Gemüse1!$B$4:$G$71,4,FALSE))</f>
        <v/>
      </c>
      <c r="H36" s="520" t="str">
        <f>IF(B36="","",VLOOKUP($B36,D_Gemüse1!$B$4:$G$71,5,FALSE))</f>
        <v/>
      </c>
      <c r="I36" s="520" t="str">
        <f>IF(B36="","",VLOOKUP($B36,D_Gemüse1!$B$4:$G$71,6,FALSE))</f>
        <v/>
      </c>
      <c r="J36" s="519" t="str">
        <f t="shared" si="5"/>
        <v/>
      </c>
      <c r="K36" s="520" t="str">
        <f t="shared" si="1"/>
        <v/>
      </c>
      <c r="L36" s="520" t="str">
        <f t="shared" si="2"/>
        <v/>
      </c>
      <c r="M36" s="521" t="str">
        <f t="shared" si="3"/>
        <v/>
      </c>
      <c r="N36" s="1840">
        <v>1</v>
      </c>
      <c r="O36" s="1841">
        <v>1</v>
      </c>
      <c r="P36" s="1842">
        <v>1</v>
      </c>
      <c r="R36" s="1855" t="str">
        <f t="shared" si="4"/>
        <v>Zucchetti, Patisson, KürbisZwiebelnKräuter, Gewürz mittelSalate, diverse, mittlerer ErtragFenchel, Knollen</v>
      </c>
    </row>
    <row r="37" spans="1:18" ht="15" customHeight="1">
      <c r="A37" s="1"/>
      <c r="B37" s="352"/>
      <c r="C37" s="351"/>
      <c r="D37" s="349"/>
      <c r="E37" s="519" t="str">
        <f>IF(B37="","",VLOOKUP($B37,D_Gemüse1!$B$4:$G$71,3,FALSE))</f>
        <v/>
      </c>
      <c r="F37" s="878"/>
      <c r="G37" s="520" t="str">
        <f>IF(B37="","",VLOOKUP($B37,D_Gemüse1!$B$4:$G$71,4,FALSE))</f>
        <v/>
      </c>
      <c r="H37" s="520" t="str">
        <f>IF(B37="","",VLOOKUP($B37,D_Gemüse1!$B$4:$G$71,5,FALSE))</f>
        <v/>
      </c>
      <c r="I37" s="520" t="str">
        <f>IF(B37="","",VLOOKUP($B37,D_Gemüse1!$B$4:$G$71,6,FALSE))</f>
        <v/>
      </c>
      <c r="J37" s="519" t="str">
        <f t="shared" si="5"/>
        <v/>
      </c>
      <c r="K37" s="520" t="str">
        <f t="shared" si="1"/>
        <v/>
      </c>
      <c r="L37" s="520" t="str">
        <f t="shared" si="2"/>
        <v/>
      </c>
      <c r="M37" s="521" t="str">
        <f t="shared" si="3"/>
        <v/>
      </c>
      <c r="N37" s="1840">
        <v>1</v>
      </c>
      <c r="O37" s="1841">
        <v>1</v>
      </c>
      <c r="P37" s="1842">
        <v>1</v>
      </c>
      <c r="R37" s="1855" t="str">
        <f t="shared" si="4"/>
        <v>Zucchetti, Patisson, KürbisZwiebelnKräuter, Gewürz mittelSalate, diverse, mittlerer ErtragFenchel, Knollen</v>
      </c>
    </row>
    <row r="38" spans="1:18" ht="15" customHeight="1">
      <c r="A38" s="1"/>
      <c r="B38" s="352"/>
      <c r="C38" s="351"/>
      <c r="D38" s="349"/>
      <c r="E38" s="519" t="str">
        <f>IF(B38="","",VLOOKUP($B38,D_Gemüse1!$B$4:$G$71,3,FALSE))</f>
        <v/>
      </c>
      <c r="F38" s="878"/>
      <c r="G38" s="520" t="str">
        <f>IF(B38="","",VLOOKUP($B38,D_Gemüse1!$B$4:$G$71,4,FALSE))</f>
        <v/>
      </c>
      <c r="H38" s="520" t="str">
        <f>IF(B38="","",VLOOKUP($B38,D_Gemüse1!$B$4:$G$71,5,FALSE))</f>
        <v/>
      </c>
      <c r="I38" s="520" t="str">
        <f>IF(B38="","",VLOOKUP($B38,D_Gemüse1!$B$4:$G$71,6,FALSE))</f>
        <v/>
      </c>
      <c r="J38" s="519" t="str">
        <f t="shared" si="5"/>
        <v/>
      </c>
      <c r="K38" s="520" t="str">
        <f t="shared" si="1"/>
        <v/>
      </c>
      <c r="L38" s="520" t="str">
        <f t="shared" si="2"/>
        <v/>
      </c>
      <c r="M38" s="521" t="str">
        <f t="shared" si="3"/>
        <v/>
      </c>
      <c r="N38" s="1840">
        <v>1</v>
      </c>
      <c r="O38" s="1841">
        <v>1</v>
      </c>
      <c r="P38" s="1842">
        <v>1</v>
      </c>
      <c r="R38" s="1855" t="str">
        <f t="shared" si="4"/>
        <v>Zucchetti, Patisson, KürbisZwiebelnKräuter, Gewürz mittelSalate, diverse, mittlerer ErtragFenchel, Knollen</v>
      </c>
    </row>
    <row r="39" spans="1:18" ht="15" customHeight="1">
      <c r="A39" s="1"/>
      <c r="B39" s="352"/>
      <c r="C39" s="351"/>
      <c r="D39" s="349"/>
      <c r="E39" s="519" t="str">
        <f>IF(B39="","",VLOOKUP($B39,D_Gemüse1!$B$4:$G$71,3,FALSE))</f>
        <v/>
      </c>
      <c r="F39" s="878"/>
      <c r="G39" s="520" t="str">
        <f>IF(B39="","",VLOOKUP($B39,D_Gemüse1!$B$4:$G$71,4,FALSE))</f>
        <v/>
      </c>
      <c r="H39" s="520" t="str">
        <f>IF(B39="","",VLOOKUP($B39,D_Gemüse1!$B$4:$G$71,5,FALSE))</f>
        <v/>
      </c>
      <c r="I39" s="520" t="str">
        <f>IF(B39="","",VLOOKUP($B39,D_Gemüse1!$B$4:$G$71,6,FALSE))</f>
        <v/>
      </c>
      <c r="J39" s="519" t="str">
        <f t="shared" si="5"/>
        <v/>
      </c>
      <c r="K39" s="520" t="str">
        <f t="shared" si="1"/>
        <v/>
      </c>
      <c r="L39" s="520" t="str">
        <f t="shared" si="2"/>
        <v/>
      </c>
      <c r="M39" s="521" t="str">
        <f t="shared" si="3"/>
        <v/>
      </c>
      <c r="N39" s="1840">
        <v>1</v>
      </c>
      <c r="O39" s="1841">
        <v>1</v>
      </c>
      <c r="P39" s="1842">
        <v>1</v>
      </c>
      <c r="R39" s="1855" t="str">
        <f t="shared" si="4"/>
        <v>Zucchetti, Patisson, KürbisZwiebelnKräuter, Gewürz mittelSalate, diverse, mittlerer ErtragFenchel, Knollen</v>
      </c>
    </row>
    <row r="40" spans="1:18" ht="15" customHeight="1">
      <c r="A40" s="1"/>
      <c r="B40" s="352"/>
      <c r="C40" s="351"/>
      <c r="D40" s="349"/>
      <c r="E40" s="519" t="str">
        <f>IF(B40="","",VLOOKUP($B40,D_Gemüse1!$B$4:$G$71,3,FALSE))</f>
        <v/>
      </c>
      <c r="F40" s="878"/>
      <c r="G40" s="520" t="str">
        <f>IF(B40="","",VLOOKUP($B40,D_Gemüse1!$B$4:$G$71,4,FALSE))</f>
        <v/>
      </c>
      <c r="H40" s="520" t="str">
        <f>IF(B40="","",VLOOKUP($B40,D_Gemüse1!$B$4:$G$71,5,FALSE))</f>
        <v/>
      </c>
      <c r="I40" s="520" t="str">
        <f>IF(B40="","",VLOOKUP($B40,D_Gemüse1!$B$4:$G$71,6,FALSE))</f>
        <v/>
      </c>
      <c r="J40" s="519" t="str">
        <f t="shared" si="5"/>
        <v/>
      </c>
      <c r="K40" s="520" t="str">
        <f t="shared" si="1"/>
        <v/>
      </c>
      <c r="L40" s="520" t="str">
        <f t="shared" si="2"/>
        <v/>
      </c>
      <c r="M40" s="521" t="str">
        <f t="shared" si="3"/>
        <v/>
      </c>
      <c r="N40" s="1840">
        <v>1</v>
      </c>
      <c r="O40" s="1841">
        <v>1</v>
      </c>
      <c r="P40" s="1842">
        <v>1</v>
      </c>
      <c r="R40" s="1855" t="str">
        <f t="shared" si="4"/>
        <v>Zucchetti, Patisson, KürbisZwiebelnKräuter, Gewürz mittelSalate, diverse, mittlerer ErtragFenchel, Knollen</v>
      </c>
    </row>
    <row r="41" spans="1:18" ht="15" customHeight="1">
      <c r="A41" s="1"/>
      <c r="B41" s="352"/>
      <c r="C41" s="351"/>
      <c r="D41" s="349"/>
      <c r="E41" s="519" t="str">
        <f>IF(B41="","",VLOOKUP($B41,D_Gemüse1!$B$4:$G$71,3,FALSE))</f>
        <v/>
      </c>
      <c r="F41" s="878"/>
      <c r="G41" s="520" t="str">
        <f>IF(B41="","",VLOOKUP($B41,D_Gemüse1!$B$4:$G$71,4,FALSE))</f>
        <v/>
      </c>
      <c r="H41" s="520" t="str">
        <f>IF(B41="","",VLOOKUP($B41,D_Gemüse1!$B$4:$G$71,5,FALSE))</f>
        <v/>
      </c>
      <c r="I41" s="520" t="str">
        <f>IF(B41="","",VLOOKUP($B41,D_Gemüse1!$B$4:$G$71,6,FALSE))</f>
        <v/>
      </c>
      <c r="J41" s="519" t="str">
        <f t="shared" si="5"/>
        <v/>
      </c>
      <c r="K41" s="520" t="str">
        <f t="shared" si="1"/>
        <v/>
      </c>
      <c r="L41" s="520" t="str">
        <f t="shared" si="2"/>
        <v/>
      </c>
      <c r="M41" s="521" t="str">
        <f t="shared" si="3"/>
        <v/>
      </c>
      <c r="N41" s="1840">
        <v>1</v>
      </c>
      <c r="O41" s="1841">
        <v>1</v>
      </c>
      <c r="P41" s="1842">
        <v>1</v>
      </c>
      <c r="R41" s="1855" t="str">
        <f t="shared" si="4"/>
        <v>Zucchetti, Patisson, KürbisZwiebelnKräuter, Gewürz mittelSalate, diverse, mittlerer ErtragFenchel, Knollen</v>
      </c>
    </row>
    <row r="42" spans="1:18" ht="15" customHeight="1">
      <c r="A42" s="1"/>
      <c r="B42" s="352"/>
      <c r="C42" s="351"/>
      <c r="D42" s="349"/>
      <c r="E42" s="519" t="str">
        <f>IF(B42="","",VLOOKUP($B42,D_Gemüse1!$B$4:$G$71,3,FALSE))</f>
        <v/>
      </c>
      <c r="F42" s="878"/>
      <c r="G42" s="520" t="str">
        <f>IF(B42="","",VLOOKUP($B42,D_Gemüse1!$B$4:$G$71,4,FALSE))</f>
        <v/>
      </c>
      <c r="H42" s="520" t="str">
        <f>IF(B42="","",VLOOKUP($B42,D_Gemüse1!$B$4:$G$71,5,FALSE))</f>
        <v/>
      </c>
      <c r="I42" s="520" t="str">
        <f>IF(B42="","",VLOOKUP($B42,D_Gemüse1!$B$4:$G$71,6,FALSE))</f>
        <v/>
      </c>
      <c r="J42" s="519" t="str">
        <f t="shared" si="5"/>
        <v/>
      </c>
      <c r="K42" s="520" t="str">
        <f t="shared" si="1"/>
        <v/>
      </c>
      <c r="L42" s="520" t="str">
        <f t="shared" si="2"/>
        <v/>
      </c>
      <c r="M42" s="521" t="str">
        <f t="shared" si="3"/>
        <v/>
      </c>
      <c r="N42" s="1840">
        <v>1</v>
      </c>
      <c r="O42" s="1841">
        <v>1</v>
      </c>
      <c r="P42" s="1842">
        <v>1</v>
      </c>
      <c r="R42" s="1855" t="str">
        <f t="shared" si="4"/>
        <v>Zucchetti, Patisson, KürbisZwiebelnKräuter, Gewürz mittelSalate, diverse, mittlerer ErtragFenchel, Knollen</v>
      </c>
    </row>
    <row r="43" spans="1:18" ht="15" customHeight="1">
      <c r="A43" s="1"/>
      <c r="B43" s="352"/>
      <c r="C43" s="351"/>
      <c r="D43" s="349"/>
      <c r="E43" s="519" t="str">
        <f>IF(B43="","",VLOOKUP($B43,D_Gemüse1!$B$4:$G$71,3,FALSE))</f>
        <v/>
      </c>
      <c r="F43" s="878"/>
      <c r="G43" s="520" t="str">
        <f>IF(B43="","",VLOOKUP($B43,D_Gemüse1!$B$4:$G$71,4,FALSE))</f>
        <v/>
      </c>
      <c r="H43" s="520" t="str">
        <f>IF(B43="","",VLOOKUP($B43,D_Gemüse1!$B$4:$G$71,5,FALSE))</f>
        <v/>
      </c>
      <c r="I43" s="520" t="str">
        <f>IF(B43="","",VLOOKUP($B43,D_Gemüse1!$B$4:$G$71,6,FALSE))</f>
        <v/>
      </c>
      <c r="J43" s="519" t="str">
        <f t="shared" si="5"/>
        <v/>
      </c>
      <c r="K43" s="520" t="str">
        <f t="shared" si="1"/>
        <v/>
      </c>
      <c r="L43" s="520" t="str">
        <f t="shared" si="2"/>
        <v/>
      </c>
      <c r="M43" s="521" t="str">
        <f t="shared" si="3"/>
        <v/>
      </c>
      <c r="N43" s="1840">
        <v>1</v>
      </c>
      <c r="O43" s="1841">
        <v>1</v>
      </c>
      <c r="P43" s="1842">
        <v>1</v>
      </c>
      <c r="R43" s="1855" t="str">
        <f t="shared" si="4"/>
        <v>Zucchetti, Patisson, KürbisZwiebelnKräuter, Gewürz mittelSalate, diverse, mittlerer ErtragFenchel, Knollen</v>
      </c>
    </row>
    <row r="44" spans="1:18" ht="15" customHeight="1">
      <c r="A44" s="1"/>
      <c r="B44" s="352"/>
      <c r="C44" s="351"/>
      <c r="D44" s="349"/>
      <c r="E44" s="519" t="str">
        <f>IF(B44="","",VLOOKUP($B44,D_Gemüse1!$B$4:$G$71,3,FALSE))</f>
        <v/>
      </c>
      <c r="F44" s="878"/>
      <c r="G44" s="520" t="str">
        <f>IF(B44="","",VLOOKUP($B44,D_Gemüse1!$B$4:$G$71,4,FALSE))</f>
        <v/>
      </c>
      <c r="H44" s="520" t="str">
        <f>IF(B44="","",VLOOKUP($B44,D_Gemüse1!$B$4:$G$71,5,FALSE))</f>
        <v/>
      </c>
      <c r="I44" s="520" t="str">
        <f>IF(B44="","",VLOOKUP($B44,D_Gemüse1!$B$4:$G$71,6,FALSE))</f>
        <v/>
      </c>
      <c r="J44" s="519" t="str">
        <f t="shared" si="5"/>
        <v/>
      </c>
      <c r="K44" s="520" t="str">
        <f t="shared" si="1"/>
        <v/>
      </c>
      <c r="L44" s="520" t="str">
        <f t="shared" si="2"/>
        <v/>
      </c>
      <c r="M44" s="521" t="str">
        <f t="shared" si="3"/>
        <v/>
      </c>
      <c r="N44" s="1840">
        <v>1</v>
      </c>
      <c r="O44" s="1841">
        <v>1</v>
      </c>
      <c r="P44" s="1842">
        <v>1</v>
      </c>
      <c r="R44" s="1855" t="str">
        <f t="shared" si="4"/>
        <v>Zucchetti, Patisson, KürbisZwiebelnKräuter, Gewürz mittelSalate, diverse, mittlerer ErtragFenchel, Knollen</v>
      </c>
    </row>
    <row r="45" spans="1:18" ht="15" customHeight="1">
      <c r="A45" s="1"/>
      <c r="B45" s="352"/>
      <c r="C45" s="351"/>
      <c r="D45" s="349"/>
      <c r="E45" s="519" t="str">
        <f>IF(B45="","",VLOOKUP($B45,D_Gemüse1!$B$4:$G$71,3,FALSE))</f>
        <v/>
      </c>
      <c r="F45" s="878"/>
      <c r="G45" s="520" t="str">
        <f>IF(B45="","",VLOOKUP($B45,D_Gemüse1!$B$4:$G$71,4,FALSE))</f>
        <v/>
      </c>
      <c r="H45" s="520" t="str">
        <f>IF(B45="","",VLOOKUP($B45,D_Gemüse1!$B$4:$G$71,5,FALSE))</f>
        <v/>
      </c>
      <c r="I45" s="520" t="str">
        <f>IF(B45="","",VLOOKUP($B45,D_Gemüse1!$B$4:$G$71,6,FALSE))</f>
        <v/>
      </c>
      <c r="J45" s="519" t="str">
        <f t="shared" ref="J45:J56" si="6">IF(OR(ISBLANK(B45),ISBLANK(D45)),"",IF(ISBLANK(F45),ROUND(D45*E45,1),ROUND(D45*F45,1)))</f>
        <v/>
      </c>
      <c r="K45" s="520" t="str">
        <f t="shared" si="1"/>
        <v/>
      </c>
      <c r="L45" s="520" t="str">
        <f t="shared" si="2"/>
        <v/>
      </c>
      <c r="M45" s="521" t="str">
        <f t="shared" si="3"/>
        <v/>
      </c>
      <c r="N45" s="1840">
        <v>1</v>
      </c>
      <c r="O45" s="1841">
        <v>1</v>
      </c>
      <c r="P45" s="1842">
        <v>1</v>
      </c>
      <c r="R45" s="1855" t="str">
        <f t="shared" si="4"/>
        <v>Zucchetti, Patisson, KürbisZwiebelnKräuter, Gewürz mittelSalate, diverse, mittlerer ErtragFenchel, Knollen</v>
      </c>
    </row>
    <row r="46" spans="1:18" ht="15" customHeight="1">
      <c r="A46" s="1"/>
      <c r="B46" s="352"/>
      <c r="C46" s="351"/>
      <c r="D46" s="349"/>
      <c r="E46" s="519" t="str">
        <f>IF(B46="","",VLOOKUP($B46,D_Gemüse1!$B$4:$G$71,3,FALSE))</f>
        <v/>
      </c>
      <c r="F46" s="878"/>
      <c r="G46" s="520" t="str">
        <f>IF(B46="","",VLOOKUP($B46,D_Gemüse1!$B$4:$G$71,4,FALSE))</f>
        <v/>
      </c>
      <c r="H46" s="520" t="str">
        <f>IF(B46="","",VLOOKUP($B46,D_Gemüse1!$B$4:$G$71,5,FALSE))</f>
        <v/>
      </c>
      <c r="I46" s="520" t="str">
        <f>IF(B46="","",VLOOKUP($B46,D_Gemüse1!$B$4:$G$71,6,FALSE))</f>
        <v/>
      </c>
      <c r="J46" s="519" t="str">
        <f t="shared" si="6"/>
        <v/>
      </c>
      <c r="K46" s="520" t="str">
        <f t="shared" si="1"/>
        <v/>
      </c>
      <c r="L46" s="520" t="str">
        <f t="shared" si="2"/>
        <v/>
      </c>
      <c r="M46" s="521" t="str">
        <f t="shared" si="3"/>
        <v/>
      </c>
      <c r="N46" s="1840">
        <v>1</v>
      </c>
      <c r="O46" s="1841">
        <v>1</v>
      </c>
      <c r="P46" s="1842">
        <v>1</v>
      </c>
      <c r="R46" s="1855" t="str">
        <f t="shared" si="4"/>
        <v>Zucchetti, Patisson, KürbisZwiebelnKräuter, Gewürz mittelSalate, diverse, mittlerer ErtragFenchel, Knollen</v>
      </c>
    </row>
    <row r="47" spans="1:18" ht="15" customHeight="1">
      <c r="A47" s="1"/>
      <c r="B47" s="352"/>
      <c r="C47" s="351"/>
      <c r="D47" s="349"/>
      <c r="E47" s="519" t="str">
        <f>IF(B47="","",VLOOKUP($B47,D_Gemüse1!$B$4:$G$71,3,FALSE))</f>
        <v/>
      </c>
      <c r="F47" s="878"/>
      <c r="G47" s="520" t="str">
        <f>IF(B47="","",VLOOKUP($B47,D_Gemüse1!$B$4:$G$71,4,FALSE))</f>
        <v/>
      </c>
      <c r="H47" s="520" t="str">
        <f>IF(B47="","",VLOOKUP($B47,D_Gemüse1!$B$4:$G$71,5,FALSE))</f>
        <v/>
      </c>
      <c r="I47" s="520" t="str">
        <f>IF(B47="","",VLOOKUP($B47,D_Gemüse1!$B$4:$G$71,6,FALSE))</f>
        <v/>
      </c>
      <c r="J47" s="519" t="str">
        <f t="shared" si="6"/>
        <v/>
      </c>
      <c r="K47" s="520" t="str">
        <f t="shared" si="1"/>
        <v/>
      </c>
      <c r="L47" s="520" t="str">
        <f t="shared" si="2"/>
        <v/>
      </c>
      <c r="M47" s="521" t="str">
        <f t="shared" si="3"/>
        <v/>
      </c>
      <c r="N47" s="1840">
        <v>1</v>
      </c>
      <c r="O47" s="1841">
        <v>1</v>
      </c>
      <c r="P47" s="1842">
        <v>1</v>
      </c>
      <c r="R47" s="1855" t="str">
        <f t="shared" si="4"/>
        <v>Zucchetti, Patisson, KürbisZwiebelnKräuter, Gewürz mittelSalate, diverse, mittlerer ErtragFenchel, Knollen</v>
      </c>
    </row>
    <row r="48" spans="1:18" ht="15" customHeight="1">
      <c r="A48" s="1"/>
      <c r="B48" s="352"/>
      <c r="C48" s="351"/>
      <c r="D48" s="349"/>
      <c r="E48" s="519" t="str">
        <f>IF(B48="","",VLOOKUP($B48,D_Gemüse1!$B$4:$G$71,3,FALSE))</f>
        <v/>
      </c>
      <c r="F48" s="878"/>
      <c r="G48" s="520" t="str">
        <f>IF(B48="","",VLOOKUP($B48,D_Gemüse1!$B$4:$G$71,4,FALSE))</f>
        <v/>
      </c>
      <c r="H48" s="520" t="str">
        <f>IF(B48="","",VLOOKUP($B48,D_Gemüse1!$B$4:$G$71,5,FALSE))</f>
        <v/>
      </c>
      <c r="I48" s="520" t="str">
        <f>IF(B48="","",VLOOKUP($B48,D_Gemüse1!$B$4:$G$71,6,FALSE))</f>
        <v/>
      </c>
      <c r="J48" s="519" t="str">
        <f t="shared" si="6"/>
        <v/>
      </c>
      <c r="K48" s="520" t="str">
        <f t="shared" si="1"/>
        <v/>
      </c>
      <c r="L48" s="520" t="str">
        <f t="shared" si="2"/>
        <v/>
      </c>
      <c r="M48" s="521" t="str">
        <f t="shared" si="3"/>
        <v/>
      </c>
      <c r="N48" s="1840">
        <v>1</v>
      </c>
      <c r="O48" s="1841">
        <v>1</v>
      </c>
      <c r="P48" s="1842">
        <v>1</v>
      </c>
      <c r="R48" s="1855" t="str">
        <f t="shared" si="4"/>
        <v>Zucchetti, Patisson, KürbisZwiebelnKräuter, Gewürz mittelSalate, diverse, mittlerer ErtragFenchel, Knollen</v>
      </c>
    </row>
    <row r="49" spans="1:18" ht="15" customHeight="1">
      <c r="A49" s="1"/>
      <c r="B49" s="352"/>
      <c r="C49" s="351"/>
      <c r="D49" s="349"/>
      <c r="E49" s="519" t="str">
        <f>IF(B49="","",VLOOKUP($B49,D_Gemüse1!$B$4:$G$71,3,FALSE))</f>
        <v/>
      </c>
      <c r="F49" s="878"/>
      <c r="G49" s="520" t="str">
        <f>IF(B49="","",VLOOKUP($B49,D_Gemüse1!$B$4:$G$71,4,FALSE))</f>
        <v/>
      </c>
      <c r="H49" s="520" t="str">
        <f>IF(B49="","",VLOOKUP($B49,D_Gemüse1!$B$4:$G$71,5,FALSE))</f>
        <v/>
      </c>
      <c r="I49" s="520" t="str">
        <f>IF(B49="","",VLOOKUP($B49,D_Gemüse1!$B$4:$G$71,6,FALSE))</f>
        <v/>
      </c>
      <c r="J49" s="519" t="str">
        <f t="shared" si="6"/>
        <v/>
      </c>
      <c r="K49" s="520" t="str">
        <f t="shared" si="1"/>
        <v/>
      </c>
      <c r="L49" s="520" t="str">
        <f t="shared" si="2"/>
        <v/>
      </c>
      <c r="M49" s="521" t="str">
        <f t="shared" si="3"/>
        <v/>
      </c>
      <c r="N49" s="1840">
        <v>1</v>
      </c>
      <c r="O49" s="1841">
        <v>1</v>
      </c>
      <c r="P49" s="1842">
        <v>1</v>
      </c>
      <c r="R49" s="1855" t="str">
        <f t="shared" si="4"/>
        <v>Zucchetti, Patisson, KürbisZwiebelnKräuter, Gewürz mittelSalate, diverse, mittlerer ErtragFenchel, Knollen</v>
      </c>
    </row>
    <row r="50" spans="1:18" ht="15" customHeight="1">
      <c r="A50" s="1"/>
      <c r="B50" s="352"/>
      <c r="C50" s="351"/>
      <c r="D50" s="349"/>
      <c r="E50" s="519" t="str">
        <f>IF(B50="","",VLOOKUP($B50,D_Gemüse1!$B$4:$G$71,3,FALSE))</f>
        <v/>
      </c>
      <c r="F50" s="878"/>
      <c r="G50" s="520" t="str">
        <f>IF(B50="","",VLOOKUP($B50,D_Gemüse1!$B$4:$G$71,4,FALSE))</f>
        <v/>
      </c>
      <c r="H50" s="520" t="str">
        <f>IF(B50="","",VLOOKUP($B50,D_Gemüse1!$B$4:$G$71,5,FALSE))</f>
        <v/>
      </c>
      <c r="I50" s="520" t="str">
        <f>IF(B50="","",VLOOKUP($B50,D_Gemüse1!$B$4:$G$71,6,FALSE))</f>
        <v/>
      </c>
      <c r="J50" s="519" t="str">
        <f t="shared" si="6"/>
        <v/>
      </c>
      <c r="K50" s="520" t="str">
        <f t="shared" si="1"/>
        <v/>
      </c>
      <c r="L50" s="520" t="str">
        <f t="shared" si="2"/>
        <v/>
      </c>
      <c r="M50" s="521" t="str">
        <f t="shared" si="3"/>
        <v/>
      </c>
      <c r="N50" s="1840">
        <v>1</v>
      </c>
      <c r="O50" s="1841">
        <v>1</v>
      </c>
      <c r="P50" s="1842">
        <v>1</v>
      </c>
      <c r="R50" s="1855" t="str">
        <f t="shared" si="4"/>
        <v>Zucchetti, Patisson, KürbisZwiebelnKräuter, Gewürz mittelSalate, diverse, mittlerer ErtragFenchel, Knollen</v>
      </c>
    </row>
    <row r="51" spans="1:18" ht="15" customHeight="1">
      <c r="A51" s="1"/>
      <c r="B51" s="352"/>
      <c r="C51" s="351"/>
      <c r="D51" s="349"/>
      <c r="E51" s="519" t="str">
        <f>IF(B51="","",VLOOKUP($B51,D_Gemüse1!$B$4:$G$71,3,FALSE))</f>
        <v/>
      </c>
      <c r="F51" s="878"/>
      <c r="G51" s="520" t="str">
        <f>IF(B51="","",VLOOKUP($B51,D_Gemüse1!$B$4:$G$71,4,FALSE))</f>
        <v/>
      </c>
      <c r="H51" s="520" t="str">
        <f>IF(B51="","",VLOOKUP($B51,D_Gemüse1!$B$4:$G$71,5,FALSE))</f>
        <v/>
      </c>
      <c r="I51" s="520" t="str">
        <f>IF(B51="","",VLOOKUP($B51,D_Gemüse1!$B$4:$G$71,6,FALSE))</f>
        <v/>
      </c>
      <c r="J51" s="519" t="str">
        <f t="shared" si="6"/>
        <v/>
      </c>
      <c r="K51" s="520" t="str">
        <f t="shared" si="1"/>
        <v/>
      </c>
      <c r="L51" s="520" t="str">
        <f t="shared" si="2"/>
        <v/>
      </c>
      <c r="M51" s="521" t="str">
        <f t="shared" si="3"/>
        <v/>
      </c>
      <c r="N51" s="1840">
        <v>1</v>
      </c>
      <c r="O51" s="1841">
        <v>1</v>
      </c>
      <c r="P51" s="1842">
        <v>1</v>
      </c>
      <c r="R51" s="1855" t="str">
        <f t="shared" si="4"/>
        <v>Zucchetti, Patisson, KürbisZwiebelnKräuter, Gewürz mittelSalate, diverse, mittlerer ErtragFenchel, Knollen</v>
      </c>
    </row>
    <row r="52" spans="1:18" ht="15" customHeight="1">
      <c r="A52" s="1"/>
      <c r="B52" s="352"/>
      <c r="C52" s="351"/>
      <c r="D52" s="349"/>
      <c r="E52" s="519" t="str">
        <f>IF(B52="","",VLOOKUP($B52,D_Gemüse1!$B$4:$G$71,3,FALSE))</f>
        <v/>
      </c>
      <c r="F52" s="878"/>
      <c r="G52" s="520" t="str">
        <f>IF(B52="","",VLOOKUP($B52,D_Gemüse1!$B$4:$G$71,4,FALSE))</f>
        <v/>
      </c>
      <c r="H52" s="520" t="str">
        <f>IF(B52="","",VLOOKUP($B52,D_Gemüse1!$B$4:$G$71,5,FALSE))</f>
        <v/>
      </c>
      <c r="I52" s="520" t="str">
        <f>IF(B52="","",VLOOKUP($B52,D_Gemüse1!$B$4:$G$71,6,FALSE))</f>
        <v/>
      </c>
      <c r="J52" s="519" t="str">
        <f t="shared" si="6"/>
        <v/>
      </c>
      <c r="K52" s="520" t="str">
        <f t="shared" si="1"/>
        <v/>
      </c>
      <c r="L52" s="520" t="str">
        <f t="shared" si="2"/>
        <v/>
      </c>
      <c r="M52" s="521" t="str">
        <f t="shared" si="3"/>
        <v/>
      </c>
      <c r="N52" s="1840">
        <v>1</v>
      </c>
      <c r="O52" s="1841">
        <v>1</v>
      </c>
      <c r="P52" s="1842">
        <v>1</v>
      </c>
      <c r="R52" s="1855" t="str">
        <f t="shared" si="4"/>
        <v>Zucchetti, Patisson, KürbisZwiebelnKräuter, Gewürz mittelSalate, diverse, mittlerer ErtragFenchel, Knollen</v>
      </c>
    </row>
    <row r="53" spans="1:18" ht="15" customHeight="1">
      <c r="A53" s="1"/>
      <c r="B53" s="352"/>
      <c r="C53" s="351"/>
      <c r="D53" s="349"/>
      <c r="E53" s="519" t="str">
        <f>IF(B53="","",VLOOKUP($B53,D_Gemüse1!$B$4:$G$71,3,FALSE))</f>
        <v/>
      </c>
      <c r="F53" s="878"/>
      <c r="G53" s="520" t="str">
        <f>IF(B53="","",VLOOKUP($B53,D_Gemüse1!$B$4:$G$71,4,FALSE))</f>
        <v/>
      </c>
      <c r="H53" s="520" t="str">
        <f>IF(B53="","",VLOOKUP($B53,D_Gemüse1!$B$4:$G$71,5,FALSE))</f>
        <v/>
      </c>
      <c r="I53" s="520" t="str">
        <f>IF(B53="","",VLOOKUP($B53,D_Gemüse1!$B$4:$G$71,6,FALSE))</f>
        <v/>
      </c>
      <c r="J53" s="519" t="str">
        <f t="shared" si="6"/>
        <v/>
      </c>
      <c r="K53" s="520" t="str">
        <f t="shared" si="1"/>
        <v/>
      </c>
      <c r="L53" s="520" t="str">
        <f t="shared" si="2"/>
        <v/>
      </c>
      <c r="M53" s="521" t="str">
        <f t="shared" si="3"/>
        <v/>
      </c>
      <c r="N53" s="1840">
        <v>1</v>
      </c>
      <c r="O53" s="1841">
        <v>1</v>
      </c>
      <c r="P53" s="1842">
        <v>1</v>
      </c>
      <c r="R53" s="1855" t="str">
        <f t="shared" si="4"/>
        <v>Zucchetti, Patisson, KürbisZwiebelnKräuter, Gewürz mittelSalate, diverse, mittlerer ErtragFenchel, Knollen</v>
      </c>
    </row>
    <row r="54" spans="1:18" ht="15" customHeight="1">
      <c r="A54" s="1"/>
      <c r="B54" s="352"/>
      <c r="C54" s="351"/>
      <c r="D54" s="349"/>
      <c r="E54" s="519" t="str">
        <f>IF(B54="","",VLOOKUP($B54,D_Gemüse1!$B$4:$G$71,3,FALSE))</f>
        <v/>
      </c>
      <c r="F54" s="878"/>
      <c r="G54" s="520" t="str">
        <f>IF(B54="","",VLOOKUP($B54,D_Gemüse1!$B$4:$G$71,4,FALSE))</f>
        <v/>
      </c>
      <c r="H54" s="520" t="str">
        <f>IF(B54="","",VLOOKUP($B54,D_Gemüse1!$B$4:$G$71,5,FALSE))</f>
        <v/>
      </c>
      <c r="I54" s="520" t="str">
        <f>IF(B54="","",VLOOKUP($B54,D_Gemüse1!$B$4:$G$71,6,FALSE))</f>
        <v/>
      </c>
      <c r="J54" s="519" t="str">
        <f t="shared" si="6"/>
        <v/>
      </c>
      <c r="K54" s="520" t="str">
        <f t="shared" si="1"/>
        <v/>
      </c>
      <c r="L54" s="520" t="str">
        <f t="shared" si="2"/>
        <v/>
      </c>
      <c r="M54" s="521" t="str">
        <f t="shared" si="3"/>
        <v/>
      </c>
      <c r="N54" s="1840">
        <v>1</v>
      </c>
      <c r="O54" s="1841">
        <v>1</v>
      </c>
      <c r="P54" s="1842">
        <v>1</v>
      </c>
      <c r="R54" s="1855" t="str">
        <f t="shared" si="4"/>
        <v>Zucchetti, Patisson, KürbisZwiebelnKräuter, Gewürz mittelSalate, diverse, mittlerer ErtragFenchel, Knollen</v>
      </c>
    </row>
    <row r="55" spans="1:18" ht="15" customHeight="1">
      <c r="A55" s="1"/>
      <c r="B55" s="352"/>
      <c r="C55" s="351"/>
      <c r="D55" s="349"/>
      <c r="E55" s="519" t="str">
        <f>IF(B55="","",VLOOKUP($B55,D_Gemüse1!$B$4:$G$71,3,FALSE))</f>
        <v/>
      </c>
      <c r="F55" s="878"/>
      <c r="G55" s="520" t="str">
        <f>IF(B55="","",VLOOKUP($B55,D_Gemüse1!$B$4:$G$71,4,FALSE))</f>
        <v/>
      </c>
      <c r="H55" s="520" t="str">
        <f>IF(B55="","",VLOOKUP($B55,D_Gemüse1!$B$4:$G$71,5,FALSE))</f>
        <v/>
      </c>
      <c r="I55" s="520" t="str">
        <f>IF(B55="","",VLOOKUP($B55,D_Gemüse1!$B$4:$G$71,6,FALSE))</f>
        <v/>
      </c>
      <c r="J55" s="519" t="str">
        <f t="shared" si="6"/>
        <v/>
      </c>
      <c r="K55" s="520" t="str">
        <f t="shared" si="1"/>
        <v/>
      </c>
      <c r="L55" s="520" t="str">
        <f t="shared" si="2"/>
        <v/>
      </c>
      <c r="M55" s="521" t="str">
        <f t="shared" si="3"/>
        <v/>
      </c>
      <c r="N55" s="1840">
        <v>1</v>
      </c>
      <c r="O55" s="1841">
        <v>1</v>
      </c>
      <c r="P55" s="1842">
        <v>1</v>
      </c>
      <c r="R55" s="1855" t="str">
        <f t="shared" si="4"/>
        <v>Zucchetti, Patisson, KürbisZwiebelnKräuter, Gewürz mittelSalate, diverse, mittlerer ErtragFenchel, Knollen</v>
      </c>
    </row>
    <row r="56" spans="1:18" ht="15" customHeight="1" thickBot="1">
      <c r="A56" s="1"/>
      <c r="B56" s="352"/>
      <c r="C56" s="351"/>
      <c r="D56" s="349"/>
      <c r="E56" s="519" t="str">
        <f>IF(B56="","",VLOOKUP($B56,D_Gemüse1!$B$4:$G$71,3,FALSE))</f>
        <v/>
      </c>
      <c r="F56" s="878"/>
      <c r="G56" s="520" t="str">
        <f>IF(B56="","",VLOOKUP($B56,D_Gemüse1!$B$4:$G$71,4,FALSE))</f>
        <v/>
      </c>
      <c r="H56" s="520" t="str">
        <f>IF(B56="","",VLOOKUP($B56,D_Gemüse1!$B$4:$G$71,5,FALSE))</f>
        <v/>
      </c>
      <c r="I56" s="520" t="str">
        <f>IF(B56="","",VLOOKUP($B56,D_Gemüse1!$B$4:$G$71,6,FALSE))</f>
        <v/>
      </c>
      <c r="J56" s="519" t="str">
        <f t="shared" si="6"/>
        <v/>
      </c>
      <c r="K56" s="520" t="str">
        <f t="shared" si="1"/>
        <v/>
      </c>
      <c r="L56" s="520" t="str">
        <f t="shared" si="2"/>
        <v/>
      </c>
      <c r="M56" s="521" t="str">
        <f t="shared" si="3"/>
        <v/>
      </c>
      <c r="N56" s="1843">
        <v>1</v>
      </c>
      <c r="O56" s="1844">
        <v>1</v>
      </c>
      <c r="P56" s="1845">
        <v>1</v>
      </c>
      <c r="R56" s="1855" t="str">
        <f t="shared" si="4"/>
        <v>Zucchetti, Patisson, KürbisZwiebelnKräuter, Gewürz mittelSalate, diverse, mittlerer ErtragFenchel, Knollen</v>
      </c>
    </row>
    <row r="57" spans="1:18" ht="13.5" thickBot="1">
      <c r="A57" s="1"/>
      <c r="B57" s="299"/>
      <c r="C57" s="522"/>
      <c r="D57" s="523"/>
      <c r="E57" s="299"/>
      <c r="F57" s="299"/>
      <c r="G57" s="299"/>
      <c r="H57" s="195"/>
      <c r="I57" s="195" t="str">
        <f>Texte!A1024</f>
        <v>Total Nährstoffbedarf der Gemüse:</v>
      </c>
      <c r="J57" s="524">
        <f>IF(SUM(J12:J56)=0,0,SUM(J12:J56))</f>
        <v>5735</v>
      </c>
      <c r="K57" s="524">
        <f>SUM(K12:K56)</f>
        <v>1315</v>
      </c>
      <c r="L57" s="524">
        <f>SUM(L12:L56)</f>
        <v>5690</v>
      </c>
      <c r="M57" s="525">
        <f>SUM(M12:M56)</f>
        <v>657.5</v>
      </c>
      <c r="R57" s="1856">
        <f>IF(ISERROR(FIND("PAM",R56))=TRUE,0,1)</f>
        <v>0</v>
      </c>
    </row>
    <row r="58" spans="1:18" ht="12.75">
      <c r="R58" s="1855">
        <v>0</v>
      </c>
    </row>
    <row r="59" spans="1:18">
      <c r="B59" s="1857" t="str">
        <f>IF(Texte!A3870=0,"",IF(R57 = 1,Texte!A3870,""))</f>
        <v/>
      </c>
    </row>
  </sheetData>
  <sheetProtection algorithmName="SHA-512" hashValue="MbnGj0XjZiwugKBKDiZRl8o8++ubpHiECW41aSsoyzW3HSzUewupOWyTzM+NcRGasMfzsbzTmCiJyo0JyhJV+Q==" saltValue="8zSK59qjvAqbZF4GD2dodQ==" spinCount="100000" sheet="1" objects="1" scenarios="1"/>
  <mergeCells count="2">
    <mergeCell ref="N7:P7"/>
    <mergeCell ref="N8:P8"/>
  </mergeCells>
  <phoneticPr fontId="65" type="noConversion"/>
  <conditionalFormatting sqref="N12:P56">
    <cfRule type="cellIs" dxfId="85" priority="1" stopIfTrue="1" operator="greaterThan">
      <formula>1.6</formula>
    </cfRule>
  </conditionalFormatting>
  <pageMargins left="0.35433070866141736" right="0.27559055118110237" top="0.35433070866141736" bottom="0.59055118110236227" header="0" footer="0.39370078740157483"/>
  <pageSetup paperSize="9" scale="95"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6385" r:id="rId4" name="Butt Gemüse1">
              <controlPr defaultSize="0" print="0" autoFill="0" autoLine="0" autoPict="0" macro="[0]!DlgGem1_Zeigen">
                <anchor moveWithCells="1" sizeWithCells="1">
                  <from>
                    <xdr:col>1</xdr:col>
                    <xdr:colOff>19050</xdr:colOff>
                    <xdr:row>6</xdr:row>
                    <xdr:rowOff>76200</xdr:rowOff>
                  </from>
                  <to>
                    <xdr:col>2</xdr:col>
                    <xdr:colOff>609600</xdr:colOff>
                    <xdr:row>7</xdr:row>
                    <xdr:rowOff>95250</xdr:rowOff>
                  </to>
                </anchor>
              </controlPr>
            </control>
          </ns1:Choice>
        </ns1:AlternateContent>
      </controls>
    </ns1:Choice>
  </ns1:AlternateContent>
</worksheet>
</file>

<file path=xl/worksheets/sheet15.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8">
    <tabColor indexed="43"/>
    <pageSetUpPr fitToPage="1"/>
  </sheetPr>
  <dimension ref="A1:P57"/>
  <sheetViews>
    <sheetView showGridLines="0" showRowColHeaders="0" showZeros="0" workbookViewId="0">
      <selection activeCell="D13" sqref="D13"/>
      <extLst>
        <ext uri="{77bfe23e-c014-4d31-8a63-9c772dbf06b6}">
          <ns2:showDataTypeIcons visible="0"/>
        </ext>
      </extLst>
    </sheetView>
  </sheetViews>
  <sheetFormatPr baseColWidth="10" defaultRowHeight="12"/>
  <cols>
    <col min="1" max="1" width="0.85546875" customWidth="1"/>
    <col min="2" max="2" width="12.7109375" customWidth="1"/>
    <col min="3" max="3" width="23.7109375" customWidth="1"/>
    <col min="4" max="4" width="6.5703125" customWidth="1"/>
    <col min="5" max="5" width="5.7109375" customWidth="1"/>
    <col min="6" max="6" width="5.140625" customWidth="1"/>
    <col min="7" max="9" width="5.28515625" customWidth="1"/>
    <col min="10" max="13" width="7.7109375" customWidth="1"/>
    <col min="14" max="16" width="3.7109375" customWidth="1"/>
  </cols>
  <sheetData>
    <row r="1" spans="1:16" ht="42" customHeight="1">
      <c r="A1" s="1"/>
      <c r="B1" s="19" t="str">
        <f>Q!NW_Tit</f>
        <v xml:space="preserve">                                   Nachweis</v>
      </c>
      <c r="C1" s="1"/>
      <c r="D1" s="1"/>
      <c r="E1" s="1"/>
      <c r="F1" s="1"/>
      <c r="G1" s="1"/>
      <c r="H1" s="1"/>
      <c r="I1" s="1"/>
      <c r="J1" s="1"/>
      <c r="K1" s="1"/>
      <c r="L1" s="1"/>
      <c r="P1" s="20" t="str">
        <f>Q!F24</f>
        <v>SuiBi: Gemüse Gewächshaus/Hochtunnel</v>
      </c>
    </row>
    <row r="2" spans="1:16" ht="11.1" customHeight="1" thickBot="1">
      <c r="A2" s="1"/>
      <c r="B2" s="21"/>
      <c r="C2" s="21"/>
      <c r="D2" s="21"/>
      <c r="E2" s="21"/>
      <c r="F2" s="21"/>
      <c r="G2" s="21"/>
      <c r="H2" s="21"/>
      <c r="I2" s="21"/>
      <c r="J2" s="21"/>
      <c r="K2" s="21"/>
      <c r="L2" s="21"/>
      <c r="M2" s="44"/>
      <c r="N2" s="44"/>
      <c r="O2" s="44"/>
      <c r="P2" s="44"/>
    </row>
    <row r="3" spans="1:16" ht="21.95" customHeight="1">
      <c r="A3" s="1"/>
      <c r="B3" s="1861" t="str">
        <f>Texte!A13</f>
        <v>Betrieb:</v>
      </c>
      <c r="C3" s="1433" t="str">
        <f>Allg!$C$9&amp;""</f>
        <v>Imhof &amp; Zaehner Betriebsgemeinschaft</v>
      </c>
      <c r="D3" s="569"/>
      <c r="E3" s="569"/>
      <c r="F3" s="569"/>
      <c r="G3" s="569"/>
      <c r="H3" s="1863" t="str">
        <f>Texte!A14</f>
        <v>Variante:</v>
      </c>
      <c r="I3" s="1433" t="str">
        <f>IF(ISBLANK(Allg!G7),"",Allg!G7)</f>
        <v/>
      </c>
      <c r="J3" s="569"/>
      <c r="K3" s="569"/>
      <c r="L3" s="1863" t="str">
        <f>Texte!A15</f>
        <v>Jahr:</v>
      </c>
      <c r="M3" s="571">
        <f>IF(Allg!G6="","",Allg!G6)</f>
        <v>2026</v>
      </c>
      <c r="N3" s="1868"/>
      <c r="O3" s="1868"/>
      <c r="P3" s="1868"/>
    </row>
    <row r="4" spans="1:16" ht="20.100000000000001" customHeight="1">
      <c r="A4" s="1"/>
      <c r="B4" s="510" t="str">
        <f>Texte!A1026</f>
        <v>Zusatzformular "Gemüsebau Gewächshaus, Hochtunnel"</v>
      </c>
      <c r="C4" s="234"/>
      <c r="D4" s="1"/>
      <c r="E4" s="1"/>
      <c r="F4" s="1"/>
      <c r="G4" s="1"/>
      <c r="H4" s="1"/>
      <c r="I4" s="43"/>
      <c r="J4" s="1"/>
      <c r="K4" s="1"/>
      <c r="L4" s="3" t="str">
        <f>Texte!A1027</f>
        <v>Anbaufläche (Aren):</v>
      </c>
      <c r="M4" s="1869">
        <f>SUM(D12:D56)</f>
        <v>121.86</v>
      </c>
    </row>
    <row r="5" spans="1:16" ht="16.149999999999999" customHeight="1">
      <c r="A5" s="1"/>
      <c r="B5" s="45" t="str">
        <f>Texte!A1028</f>
        <v>Netto-Nährstoffbedarf der Gemüsekulturen gemäss "Handbuch Gemüse"</v>
      </c>
      <c r="C5" s="23"/>
      <c r="D5" s="23"/>
      <c r="E5" s="23"/>
      <c r="F5" s="23"/>
      <c r="G5" s="23"/>
      <c r="H5" s="23"/>
      <c r="I5" s="23"/>
      <c r="J5" s="23"/>
      <c r="K5" s="23"/>
      <c r="L5" s="23"/>
      <c r="M5" s="23"/>
    </row>
    <row r="6" spans="1:16" ht="7.15" customHeight="1">
      <c r="A6" s="1"/>
      <c r="B6" s="45"/>
      <c r="C6" s="23"/>
      <c r="D6" s="23"/>
      <c r="E6" s="23"/>
      <c r="F6" s="23"/>
      <c r="G6" s="23"/>
      <c r="H6" s="23"/>
      <c r="I6" s="23"/>
      <c r="J6" s="23"/>
      <c r="K6" s="23"/>
      <c r="L6" s="23"/>
      <c r="M6" s="23"/>
    </row>
    <row r="7" spans="1:16" ht="12.75">
      <c r="A7" s="1"/>
      <c r="B7" s="298"/>
      <c r="C7" s="299"/>
      <c r="D7" s="489"/>
      <c r="E7" s="409" t="str">
        <f>Texte!A1032</f>
        <v>Netto-Nährstoffbedarf</v>
      </c>
      <c r="F7" s="465"/>
      <c r="G7" s="465"/>
      <c r="H7" s="465"/>
      <c r="I7" s="465"/>
      <c r="J7" s="511" t="str">
        <f>Texte!A1035</f>
        <v>Netto-Nährstoffbedarf</v>
      </c>
      <c r="K7" s="465"/>
      <c r="L7" s="465"/>
      <c r="M7" s="482"/>
      <c r="N7" s="3435" t="str">
        <f>Texte!A984</f>
        <v>Korrektur-</v>
      </c>
      <c r="O7" s="3436"/>
      <c r="P7" s="3437"/>
    </row>
    <row r="8" spans="1:16" ht="12.75">
      <c r="A8" s="1"/>
      <c r="B8" s="469"/>
      <c r="C8" s="109"/>
      <c r="D8" s="467" t="str">
        <f>Texte!A1030</f>
        <v>Fläche</v>
      </c>
      <c r="E8" s="412" t="str">
        <f>Texte!A1033</f>
        <v>in</v>
      </c>
      <c r="F8" s="413"/>
      <c r="G8" s="413"/>
      <c r="H8" s="413"/>
      <c r="I8" s="413"/>
      <c r="J8" s="512" t="str">
        <f>Texte!A1036</f>
        <v>in</v>
      </c>
      <c r="K8" s="413"/>
      <c r="L8" s="413"/>
      <c r="M8" s="486"/>
      <c r="N8" s="3438" t="str">
        <f>Texte!A985</f>
        <v>faktoren</v>
      </c>
      <c r="O8" s="3439"/>
      <c r="P8" s="3440"/>
    </row>
    <row r="9" spans="1:16" ht="12.75">
      <c r="A9" s="1"/>
      <c r="B9" s="469" t="str">
        <f>Texte!A1031</f>
        <v>Kultur</v>
      </c>
      <c r="C9" s="109"/>
      <c r="D9" s="469"/>
      <c r="E9" s="412" t="str">
        <f>Texte!A1034</f>
        <v>kg pro Are</v>
      </c>
      <c r="F9" s="413"/>
      <c r="G9" s="413"/>
      <c r="H9" s="413"/>
      <c r="I9" s="413"/>
      <c r="J9" s="512" t="str">
        <f>Texte!A1037</f>
        <v xml:space="preserve">kg pro Jahr </v>
      </c>
      <c r="K9" s="413"/>
      <c r="L9" s="413"/>
      <c r="M9" s="486"/>
      <c r="N9" s="772"/>
      <c r="O9" s="674"/>
      <c r="P9" s="671"/>
    </row>
    <row r="10" spans="1:16" ht="12.75">
      <c r="A10" s="1"/>
      <c r="B10" s="354"/>
      <c r="C10" s="353"/>
      <c r="D10" s="435"/>
      <c r="E10" s="435" t="s">
        <v>1511</v>
      </c>
      <c r="F10" s="430" t="s">
        <v>7541</v>
      </c>
      <c r="G10" s="430" t="s">
        <v>2415</v>
      </c>
      <c r="H10" s="430" t="s">
        <v>7030</v>
      </c>
      <c r="I10" s="430" t="s">
        <v>7031</v>
      </c>
      <c r="J10" s="435" t="s">
        <v>1511</v>
      </c>
      <c r="K10" s="430" t="s">
        <v>2415</v>
      </c>
      <c r="L10" s="430" t="s">
        <v>7030</v>
      </c>
      <c r="M10" s="470" t="s">
        <v>7031</v>
      </c>
      <c r="N10" s="430" t="s">
        <v>4701</v>
      </c>
      <c r="O10" s="430" t="s">
        <v>4702</v>
      </c>
      <c r="P10" s="470" t="s">
        <v>7031</v>
      </c>
    </row>
    <row r="11" spans="1:16" ht="12.75">
      <c r="A11" s="1"/>
      <c r="B11" s="513" t="str">
        <f>Texte!A1038</f>
        <v>Beispiel: Aubergine</v>
      </c>
      <c r="C11" s="514"/>
      <c r="D11" s="515">
        <v>10</v>
      </c>
      <c r="E11" s="516">
        <v>1.6</v>
      </c>
      <c r="F11" s="877"/>
      <c r="G11" s="517">
        <v>1</v>
      </c>
      <c r="H11" s="517">
        <v>2.5</v>
      </c>
      <c r="I11" s="517">
        <v>0.5</v>
      </c>
      <c r="J11" s="516">
        <f>IF(OR(ISBLANK(B11),ISBLANK(D11)),"",ROUND(D11*E11,1))</f>
        <v>16</v>
      </c>
      <c r="K11" s="517">
        <f>IF(OR(ISBLANK(B11),ISBLANK(D11)),"",ROUND(D11*G11,1))</f>
        <v>10</v>
      </c>
      <c r="L11" s="517">
        <f>IF(OR(ISBLANK(B11),ISBLANK(D11)),"",ROUND(D11*H11,1))</f>
        <v>25</v>
      </c>
      <c r="M11" s="518">
        <f>IF(OR(ISBLANK(B11),ISBLANK(D11)),"",ROUND(D11*I11,1))</f>
        <v>5</v>
      </c>
      <c r="N11" s="1837">
        <v>1</v>
      </c>
      <c r="O11" s="1838">
        <v>1</v>
      </c>
      <c r="P11" s="1839">
        <v>1</v>
      </c>
    </row>
    <row r="12" spans="1:16" ht="15" customHeight="1">
      <c r="A12" s="1"/>
      <c r="B12" s="352" t="s">
        <v>7326</v>
      </c>
      <c r="C12" s="351"/>
      <c r="D12" s="3451">
        <v>121.86</v>
      </c>
      <c r="E12" s="519">
        <f>IF(B12="","",VLOOKUP(B12,D_Gemüse2!$B$4:$G$31,3,FALSE))</f>
        <v>2.5</v>
      </c>
      <c r="F12" s="878"/>
      <c r="G12" s="520">
        <f>IF(B12="","",VLOOKUP(B12,D_Gemüse2!$B$4:$G$31,4,FALSE))</f>
        <v>1</v>
      </c>
      <c r="H12" s="520">
        <f>IF(B12="","",VLOOKUP(B12,D_Gemüse2!$B$4:$G$31,5,FALSE))</f>
        <v>5</v>
      </c>
      <c r="I12" s="520">
        <f>IF(B12="","",VLOOKUP(B12,D_Gemüse2!$B$4:$G$31,6,FALSE))</f>
        <v>0.8</v>
      </c>
      <c r="J12" s="519">
        <f>IF(OR(ISBLANK(B12),ISBLANK(D12)),"",IF(ISBLANK(F12),ROUND(D12*E12,1),ROUND(D12*F12,1)))</f>
        <v>304.7</v>
      </c>
      <c r="K12" s="520">
        <f>IF(OR(ISBLANK(B12),ISBLANK(D12)),"",(ROUND(D12*G12,1))*N12)</f>
        <v>121.9</v>
      </c>
      <c r="L12" s="520">
        <f>IF(OR(ISBLANK(B12),ISBLANK(D12)),"",(ROUND(D12*H12,1))*O12)</f>
        <v>609.29999999999995</v>
      </c>
      <c r="M12" s="521">
        <f>IF(OR(ISBLANK(B12),ISBLANK(D12)),"",(ROUND(D12*I12,1))*P12)</f>
        <v>97.5</v>
      </c>
      <c r="N12" s="1846">
        <v>1</v>
      </c>
      <c r="O12" s="1847">
        <v>1</v>
      </c>
      <c r="P12" s="1848">
        <v>1</v>
      </c>
    </row>
    <row r="13" spans="1:16" ht="15" customHeight="1">
      <c r="A13" s="1"/>
      <c r="B13" s="352"/>
      <c r="C13" s="351"/>
      <c r="D13" s="3452">
        <v>58.79</v>
      </c>
      <c r="E13" s="519" t="str">
        <f>IF(B13="","",VLOOKUP(B13,D_Gemüse2!$B$4:$G$31,3,FALSE))</f>
        <v/>
      </c>
      <c r="F13" s="878"/>
      <c r="G13" s="520" t="str">
        <f>IF(B13="","",VLOOKUP(B13,D_Gemüse2!$B$4:$G$31,4,FALSE))</f>
        <v/>
      </c>
      <c r="H13" s="520" t="str">
        <f>IF(B13="","",VLOOKUP(B13,D_Gemüse2!$B$4:$G$31,5,FALSE))</f>
        <v/>
      </c>
      <c r="I13" s="520" t="str">
        <f>IF(B13="","",VLOOKUP(B13,D_Gemüse2!$B$4:$G$31,6,FALSE))</f>
        <v/>
      </c>
      <c r="J13" s="519" t="str">
        <f t="shared" ref="J13:J28" si="0">IF(OR(ISBLANK(B13),ISBLANK(D13)),"",IF(ISBLANK(F13),ROUND(D13*E13,1),ROUND(D13*F13,1)))</f>
        <v/>
      </c>
      <c r="K13" s="520" t="str">
        <f t="shared" ref="K13:K56" si="1">IF(OR(ISBLANK(B13),ISBLANK(D13)),"",(ROUND(D13*G13,1))*N13)</f>
        <v/>
      </c>
      <c r="L13" s="520" t="str">
        <f t="shared" ref="L13:L56" si="2">IF(OR(ISBLANK(B13),ISBLANK(D13)),"",(ROUND(D13*H13,1))*O13)</f>
        <v/>
      </c>
      <c r="M13" s="521" t="str">
        <f t="shared" ref="M13:M56" si="3">IF(OR(ISBLANK(B13),ISBLANK(D13)),"",(ROUND(D13*I13,1))*P13)</f>
        <v/>
      </c>
      <c r="N13" s="1846">
        <v>1</v>
      </c>
      <c r="O13" s="1847">
        <v>1</v>
      </c>
      <c r="P13" s="1848">
        <v>1</v>
      </c>
    </row>
    <row r="14" spans="1:16" ht="15" customHeight="1">
      <c r="A14" s="1"/>
      <c r="B14" s="352"/>
      <c r="C14" s="351"/>
      <c r="D14" s="349"/>
      <c r="E14" s="519" t="str">
        <f>IF(B14="","",VLOOKUP(B14,D_Gemüse2!$B$4:$G$31,3,FALSE))</f>
        <v/>
      </c>
      <c r="F14" s="878"/>
      <c r="G14" s="520" t="str">
        <f>IF(B14="","",VLOOKUP(B14,D_Gemüse2!$B$4:$G$31,4,FALSE))</f>
        <v/>
      </c>
      <c r="H14" s="520" t="str">
        <f>IF(B14="","",VLOOKUP(B14,D_Gemüse2!$B$4:$G$31,5,FALSE))</f>
        <v/>
      </c>
      <c r="I14" s="520" t="str">
        <f>IF(B14="","",VLOOKUP(B14,D_Gemüse2!$B$4:$G$31,6,FALSE))</f>
        <v/>
      </c>
      <c r="J14" s="519" t="str">
        <f t="shared" si="0"/>
        <v/>
      </c>
      <c r="K14" s="520" t="str">
        <f t="shared" si="1"/>
        <v/>
      </c>
      <c r="L14" s="520" t="str">
        <f t="shared" si="2"/>
        <v/>
      </c>
      <c r="M14" s="521" t="str">
        <f t="shared" si="3"/>
        <v/>
      </c>
      <c r="N14" s="1846">
        <v>1</v>
      </c>
      <c r="O14" s="1847">
        <v>1</v>
      </c>
      <c r="P14" s="1848">
        <v>1</v>
      </c>
    </row>
    <row r="15" spans="1:16" ht="15" customHeight="1">
      <c r="A15" s="1"/>
      <c r="B15" s="352"/>
      <c r="C15" s="351"/>
      <c r="D15" s="349"/>
      <c r="E15" s="519" t="str">
        <f>IF(B15="","",VLOOKUP(B15,D_Gemüse2!$B$4:$G$31,3,FALSE))</f>
        <v/>
      </c>
      <c r="F15" s="878"/>
      <c r="G15" s="520" t="str">
        <f>IF(B15="","",VLOOKUP(B15,D_Gemüse2!$B$4:$G$31,4,FALSE))</f>
        <v/>
      </c>
      <c r="H15" s="520" t="str">
        <f>IF(B15="","",VLOOKUP(B15,D_Gemüse2!$B$4:$G$31,5,FALSE))</f>
        <v/>
      </c>
      <c r="I15" s="520" t="str">
        <f>IF(B15="","",VLOOKUP(B15,D_Gemüse2!$B$4:$G$31,6,FALSE))</f>
        <v/>
      </c>
      <c r="J15" s="519" t="str">
        <f t="shared" si="0"/>
        <v/>
      </c>
      <c r="K15" s="520" t="str">
        <f t="shared" si="1"/>
        <v/>
      </c>
      <c r="L15" s="520" t="str">
        <f t="shared" si="2"/>
        <v/>
      </c>
      <c r="M15" s="521" t="str">
        <f t="shared" si="3"/>
        <v/>
      </c>
      <c r="N15" s="1846">
        <v>1</v>
      </c>
      <c r="O15" s="1847">
        <v>1</v>
      </c>
      <c r="P15" s="1848">
        <v>1</v>
      </c>
    </row>
    <row r="16" spans="1:16" ht="15" customHeight="1">
      <c r="A16" s="1"/>
      <c r="B16" s="352"/>
      <c r="C16" s="351"/>
      <c r="D16" s="349"/>
      <c r="E16" s="519" t="str">
        <f>IF(B16="","",VLOOKUP(B16,D_Gemüse2!$B$4:$G$31,3,FALSE))</f>
        <v/>
      </c>
      <c r="F16" s="878"/>
      <c r="G16" s="520" t="str">
        <f>IF(B16="","",VLOOKUP(B16,D_Gemüse2!$B$4:$G$31,4,FALSE))</f>
        <v/>
      </c>
      <c r="H16" s="520" t="str">
        <f>IF(B16="","",VLOOKUP(B16,D_Gemüse2!$B$4:$G$31,5,FALSE))</f>
        <v/>
      </c>
      <c r="I16" s="520" t="str">
        <f>IF(B16="","",VLOOKUP(B16,D_Gemüse2!$B$4:$G$31,6,FALSE))</f>
        <v/>
      </c>
      <c r="J16" s="519" t="str">
        <f t="shared" si="0"/>
        <v/>
      </c>
      <c r="K16" s="520" t="str">
        <f t="shared" si="1"/>
        <v/>
      </c>
      <c r="L16" s="520" t="str">
        <f t="shared" si="2"/>
        <v/>
      </c>
      <c r="M16" s="521" t="str">
        <f t="shared" si="3"/>
        <v/>
      </c>
      <c r="N16" s="1846">
        <v>1</v>
      </c>
      <c r="O16" s="1847">
        <v>1</v>
      </c>
      <c r="P16" s="1848">
        <v>1</v>
      </c>
    </row>
    <row r="17" spans="1:16" ht="15" customHeight="1">
      <c r="A17" s="1"/>
      <c r="B17" s="352"/>
      <c r="C17" s="351"/>
      <c r="D17" s="349"/>
      <c r="E17" s="519" t="str">
        <f>IF(B17="","",VLOOKUP(B17,D_Gemüse2!$B$4:$G$31,3,FALSE))</f>
        <v/>
      </c>
      <c r="F17" s="878"/>
      <c r="G17" s="520" t="str">
        <f>IF(B17="","",VLOOKUP(B17,D_Gemüse2!$B$4:$G$31,4,FALSE))</f>
        <v/>
      </c>
      <c r="H17" s="520" t="str">
        <f>IF(B17="","",VLOOKUP(B17,D_Gemüse2!$B$4:$G$31,5,FALSE))</f>
        <v/>
      </c>
      <c r="I17" s="520" t="str">
        <f>IF(B17="","",VLOOKUP(B17,D_Gemüse2!$B$4:$G$31,6,FALSE))</f>
        <v/>
      </c>
      <c r="J17" s="519" t="str">
        <f t="shared" si="0"/>
        <v/>
      </c>
      <c r="K17" s="520" t="str">
        <f t="shared" si="1"/>
        <v/>
      </c>
      <c r="L17" s="520" t="str">
        <f t="shared" si="2"/>
        <v/>
      </c>
      <c r="M17" s="521" t="str">
        <f t="shared" si="3"/>
        <v/>
      </c>
      <c r="N17" s="1846">
        <v>1</v>
      </c>
      <c r="O17" s="1847">
        <v>1</v>
      </c>
      <c r="P17" s="1848">
        <v>1</v>
      </c>
    </row>
    <row r="18" spans="1:16" ht="15" customHeight="1">
      <c r="A18" s="1"/>
      <c r="B18" s="352"/>
      <c r="C18" s="351"/>
      <c r="D18" s="349"/>
      <c r="E18" s="519" t="str">
        <f>IF(B18="","",VLOOKUP(B18,D_Gemüse2!$B$4:$G$31,3,FALSE))</f>
        <v/>
      </c>
      <c r="F18" s="878"/>
      <c r="G18" s="520" t="str">
        <f>IF(B18="","",VLOOKUP(B18,D_Gemüse2!$B$4:$G$31,4,FALSE))</f>
        <v/>
      </c>
      <c r="H18" s="520" t="str">
        <f>IF(B18="","",VLOOKUP(B18,D_Gemüse2!$B$4:$G$31,5,FALSE))</f>
        <v/>
      </c>
      <c r="I18" s="520" t="str">
        <f>IF(B18="","",VLOOKUP(B18,D_Gemüse2!$B$4:$G$31,6,FALSE))</f>
        <v/>
      </c>
      <c r="J18" s="519" t="str">
        <f t="shared" si="0"/>
        <v/>
      </c>
      <c r="K18" s="520" t="str">
        <f t="shared" si="1"/>
        <v/>
      </c>
      <c r="L18" s="520" t="str">
        <f t="shared" si="2"/>
        <v/>
      </c>
      <c r="M18" s="521" t="str">
        <f t="shared" si="3"/>
        <v/>
      </c>
      <c r="N18" s="1846">
        <v>1</v>
      </c>
      <c r="O18" s="1847">
        <v>1</v>
      </c>
      <c r="P18" s="1848">
        <v>1</v>
      </c>
    </row>
    <row r="19" spans="1:16" ht="15" customHeight="1">
      <c r="A19" s="1"/>
      <c r="B19" s="352"/>
      <c r="C19" s="351"/>
      <c r="D19" s="349"/>
      <c r="E19" s="519" t="str">
        <f>IF(B19="","",VLOOKUP(B19,D_Gemüse2!$B$4:$G$31,3,FALSE))</f>
        <v/>
      </c>
      <c r="F19" s="878"/>
      <c r="G19" s="520" t="str">
        <f>IF(B19="","",VLOOKUP(B19,D_Gemüse2!$B$4:$G$31,4,FALSE))</f>
        <v/>
      </c>
      <c r="H19" s="520" t="str">
        <f>IF(B19="","",VLOOKUP(B19,D_Gemüse2!$B$4:$G$31,5,FALSE))</f>
        <v/>
      </c>
      <c r="I19" s="520" t="str">
        <f>IF(B19="","",VLOOKUP(B19,D_Gemüse2!$B$4:$G$31,6,FALSE))</f>
        <v/>
      </c>
      <c r="J19" s="519" t="str">
        <f t="shared" si="0"/>
        <v/>
      </c>
      <c r="K19" s="520" t="str">
        <f t="shared" si="1"/>
        <v/>
      </c>
      <c r="L19" s="520" t="str">
        <f t="shared" si="2"/>
        <v/>
      </c>
      <c r="M19" s="521" t="str">
        <f t="shared" si="3"/>
        <v/>
      </c>
      <c r="N19" s="1846">
        <v>1</v>
      </c>
      <c r="O19" s="1847">
        <v>1</v>
      </c>
      <c r="P19" s="1848">
        <v>1</v>
      </c>
    </row>
    <row r="20" spans="1:16" ht="15" customHeight="1">
      <c r="A20" s="1"/>
      <c r="B20" s="352"/>
      <c r="C20" s="351"/>
      <c r="D20" s="349"/>
      <c r="E20" s="519" t="str">
        <f>IF(B20="","",VLOOKUP(B20,D_Gemüse2!$B$4:$G$31,3,FALSE))</f>
        <v/>
      </c>
      <c r="F20" s="878"/>
      <c r="G20" s="520" t="str">
        <f>IF(B20="","",VLOOKUP(B20,D_Gemüse2!$B$4:$G$31,4,FALSE))</f>
        <v/>
      </c>
      <c r="H20" s="520" t="str">
        <f>IF(B20="","",VLOOKUP(B20,D_Gemüse2!$B$4:$G$31,5,FALSE))</f>
        <v/>
      </c>
      <c r="I20" s="520" t="str">
        <f>IF(B20="","",VLOOKUP(B20,D_Gemüse2!$B$4:$G$31,6,FALSE))</f>
        <v/>
      </c>
      <c r="J20" s="519" t="str">
        <f t="shared" si="0"/>
        <v/>
      </c>
      <c r="K20" s="520" t="str">
        <f t="shared" si="1"/>
        <v/>
      </c>
      <c r="L20" s="520" t="str">
        <f t="shared" si="2"/>
        <v/>
      </c>
      <c r="M20" s="521" t="str">
        <f t="shared" si="3"/>
        <v/>
      </c>
      <c r="N20" s="1846">
        <v>1</v>
      </c>
      <c r="O20" s="1847">
        <v>1</v>
      </c>
      <c r="P20" s="1848">
        <v>1</v>
      </c>
    </row>
    <row r="21" spans="1:16" ht="15" customHeight="1">
      <c r="A21" s="1"/>
      <c r="B21" s="352"/>
      <c r="C21" s="351"/>
      <c r="D21" s="349"/>
      <c r="E21" s="519" t="str">
        <f>IF(B21="","",VLOOKUP(B21,D_Gemüse2!$B$4:$G$31,3,FALSE))</f>
        <v/>
      </c>
      <c r="F21" s="878"/>
      <c r="G21" s="520" t="str">
        <f>IF(B21="","",VLOOKUP(B21,D_Gemüse2!$B$4:$G$31,4,FALSE))</f>
        <v/>
      </c>
      <c r="H21" s="520" t="str">
        <f>IF(B21="","",VLOOKUP(B21,D_Gemüse2!$B$4:$G$31,5,FALSE))</f>
        <v/>
      </c>
      <c r="I21" s="520" t="str">
        <f>IF(B21="","",VLOOKUP(B21,D_Gemüse2!$B$4:$G$31,6,FALSE))</f>
        <v/>
      </c>
      <c r="J21" s="519" t="str">
        <f t="shared" si="0"/>
        <v/>
      </c>
      <c r="K21" s="520" t="str">
        <f t="shared" si="1"/>
        <v/>
      </c>
      <c r="L21" s="520" t="str">
        <f t="shared" si="2"/>
        <v/>
      </c>
      <c r="M21" s="521" t="str">
        <f t="shared" si="3"/>
        <v/>
      </c>
      <c r="N21" s="1846">
        <v>1</v>
      </c>
      <c r="O21" s="1847">
        <v>1</v>
      </c>
      <c r="P21" s="1848">
        <v>1</v>
      </c>
    </row>
    <row r="22" spans="1:16" ht="15" customHeight="1">
      <c r="A22" s="1"/>
      <c r="B22" s="352"/>
      <c r="C22" s="351"/>
      <c r="D22" s="349"/>
      <c r="E22" s="519" t="str">
        <f>IF(B22="","",VLOOKUP(B22,D_Gemüse2!$B$4:$G$31,3,FALSE))</f>
        <v/>
      </c>
      <c r="F22" s="878"/>
      <c r="G22" s="520" t="str">
        <f>IF(B22="","",VLOOKUP(B22,D_Gemüse2!$B$4:$G$31,4,FALSE))</f>
        <v/>
      </c>
      <c r="H22" s="520" t="str">
        <f>IF(B22="","",VLOOKUP(B22,D_Gemüse2!$B$4:$G$31,5,FALSE))</f>
        <v/>
      </c>
      <c r="I22" s="520" t="str">
        <f>IF(B22="","",VLOOKUP(B22,D_Gemüse2!$B$4:$G$31,6,FALSE))</f>
        <v/>
      </c>
      <c r="J22" s="519" t="str">
        <f t="shared" si="0"/>
        <v/>
      </c>
      <c r="K22" s="520" t="str">
        <f t="shared" si="1"/>
        <v/>
      </c>
      <c r="L22" s="520" t="str">
        <f t="shared" si="2"/>
        <v/>
      </c>
      <c r="M22" s="521" t="str">
        <f t="shared" si="3"/>
        <v/>
      </c>
      <c r="N22" s="1846">
        <v>1</v>
      </c>
      <c r="O22" s="1847">
        <v>1</v>
      </c>
      <c r="P22" s="1848">
        <v>1</v>
      </c>
    </row>
    <row r="23" spans="1:16" ht="15" customHeight="1">
      <c r="A23" s="1"/>
      <c r="B23" s="352"/>
      <c r="C23" s="351"/>
      <c r="D23" s="349"/>
      <c r="E23" s="519" t="str">
        <f>IF(B23="","",VLOOKUP(B23,D_Gemüse2!$B$4:$G$31,3,FALSE))</f>
        <v/>
      </c>
      <c r="F23" s="878"/>
      <c r="G23" s="520" t="str">
        <f>IF(B23="","",VLOOKUP(B23,D_Gemüse2!$B$4:$G$31,4,FALSE))</f>
        <v/>
      </c>
      <c r="H23" s="520" t="str">
        <f>IF(B23="","",VLOOKUP(B23,D_Gemüse2!$B$4:$G$31,5,FALSE))</f>
        <v/>
      </c>
      <c r="I23" s="520" t="str">
        <f>IF(B23="","",VLOOKUP(B23,D_Gemüse2!$B$4:$G$31,6,FALSE))</f>
        <v/>
      </c>
      <c r="J23" s="519" t="str">
        <f t="shared" si="0"/>
        <v/>
      </c>
      <c r="K23" s="520" t="str">
        <f t="shared" si="1"/>
        <v/>
      </c>
      <c r="L23" s="520" t="str">
        <f t="shared" si="2"/>
        <v/>
      </c>
      <c r="M23" s="521" t="str">
        <f t="shared" si="3"/>
        <v/>
      </c>
      <c r="N23" s="1846">
        <v>1</v>
      </c>
      <c r="O23" s="1847">
        <v>1</v>
      </c>
      <c r="P23" s="1848">
        <v>1</v>
      </c>
    </row>
    <row r="24" spans="1:16" ht="15" customHeight="1">
      <c r="A24" s="1"/>
      <c r="B24" s="352"/>
      <c r="C24" s="351"/>
      <c r="D24" s="349"/>
      <c r="E24" s="519" t="str">
        <f>IF(B24="","",VLOOKUP(B24,D_Gemüse2!$B$4:$G$31,3,FALSE))</f>
        <v/>
      </c>
      <c r="F24" s="878"/>
      <c r="G24" s="520" t="str">
        <f>IF(B24="","",VLOOKUP(B24,D_Gemüse2!$B$4:$G$31,4,FALSE))</f>
        <v/>
      </c>
      <c r="H24" s="520" t="str">
        <f>IF(B24="","",VLOOKUP(B24,D_Gemüse2!$B$4:$G$31,5,FALSE))</f>
        <v/>
      </c>
      <c r="I24" s="520" t="str">
        <f>IF(B24="","",VLOOKUP(B24,D_Gemüse2!$B$4:$G$31,6,FALSE))</f>
        <v/>
      </c>
      <c r="J24" s="519" t="str">
        <f t="shared" si="0"/>
        <v/>
      </c>
      <c r="K24" s="520" t="str">
        <f t="shared" si="1"/>
        <v/>
      </c>
      <c r="L24" s="520" t="str">
        <f t="shared" si="2"/>
        <v/>
      </c>
      <c r="M24" s="521" t="str">
        <f t="shared" si="3"/>
        <v/>
      </c>
      <c r="N24" s="1846">
        <v>1</v>
      </c>
      <c r="O24" s="1847">
        <v>1</v>
      </c>
      <c r="P24" s="1848">
        <v>1</v>
      </c>
    </row>
    <row r="25" spans="1:16" ht="15" customHeight="1">
      <c r="A25" s="1"/>
      <c r="B25" s="352"/>
      <c r="C25" s="351"/>
      <c r="D25" s="349"/>
      <c r="E25" s="519" t="str">
        <f>IF(B25="","",VLOOKUP(B25,D_Gemüse2!$B$4:$G$31,3,FALSE))</f>
        <v/>
      </c>
      <c r="F25" s="878"/>
      <c r="G25" s="520" t="str">
        <f>IF(B25="","",VLOOKUP(B25,D_Gemüse2!$B$4:$G$31,4,FALSE))</f>
        <v/>
      </c>
      <c r="H25" s="520" t="str">
        <f>IF(B25="","",VLOOKUP(B25,D_Gemüse2!$B$4:$G$31,5,FALSE))</f>
        <v/>
      </c>
      <c r="I25" s="520" t="str">
        <f>IF(B25="","",VLOOKUP(B25,D_Gemüse2!$B$4:$G$31,6,FALSE))</f>
        <v/>
      </c>
      <c r="J25" s="519" t="str">
        <f t="shared" si="0"/>
        <v/>
      </c>
      <c r="K25" s="520" t="str">
        <f t="shared" si="1"/>
        <v/>
      </c>
      <c r="L25" s="520" t="str">
        <f t="shared" si="2"/>
        <v/>
      </c>
      <c r="M25" s="521" t="str">
        <f t="shared" si="3"/>
        <v/>
      </c>
      <c r="N25" s="1846">
        <v>1</v>
      </c>
      <c r="O25" s="1847">
        <v>1</v>
      </c>
      <c r="P25" s="1848">
        <v>1</v>
      </c>
    </row>
    <row r="26" spans="1:16" ht="15" customHeight="1">
      <c r="A26" s="1"/>
      <c r="B26" s="352"/>
      <c r="C26" s="351"/>
      <c r="D26" s="349"/>
      <c r="E26" s="519" t="str">
        <f>IF(B26="","",VLOOKUP(B26,D_Gemüse2!$B$4:$G$31,3,FALSE))</f>
        <v/>
      </c>
      <c r="F26" s="878"/>
      <c r="G26" s="520" t="str">
        <f>IF(B26="","",VLOOKUP(B26,D_Gemüse2!$B$4:$G$31,4,FALSE))</f>
        <v/>
      </c>
      <c r="H26" s="520" t="str">
        <f>IF(B26="","",VLOOKUP(B26,D_Gemüse2!$B$4:$G$31,5,FALSE))</f>
        <v/>
      </c>
      <c r="I26" s="520" t="str">
        <f>IF(B26="","",VLOOKUP(B26,D_Gemüse2!$B$4:$G$31,6,FALSE))</f>
        <v/>
      </c>
      <c r="J26" s="519" t="str">
        <f t="shared" si="0"/>
        <v/>
      </c>
      <c r="K26" s="520" t="str">
        <f t="shared" si="1"/>
        <v/>
      </c>
      <c r="L26" s="520" t="str">
        <f t="shared" si="2"/>
        <v/>
      </c>
      <c r="M26" s="521" t="str">
        <f t="shared" si="3"/>
        <v/>
      </c>
      <c r="N26" s="1846">
        <v>1</v>
      </c>
      <c r="O26" s="1847">
        <v>1</v>
      </c>
      <c r="P26" s="1848">
        <v>1</v>
      </c>
    </row>
    <row r="27" spans="1:16" ht="15" customHeight="1">
      <c r="A27" s="1"/>
      <c r="B27" s="352"/>
      <c r="C27" s="351"/>
      <c r="D27" s="349"/>
      <c r="E27" s="519" t="str">
        <f>IF(B27="","",VLOOKUP(B27,D_Gemüse2!$B$4:$G$31,3,FALSE))</f>
        <v/>
      </c>
      <c r="F27" s="878"/>
      <c r="G27" s="520" t="str">
        <f>IF(B27="","",VLOOKUP(B27,D_Gemüse2!$B$4:$G$31,4,FALSE))</f>
        <v/>
      </c>
      <c r="H27" s="520" t="str">
        <f>IF(B27="","",VLOOKUP(B27,D_Gemüse2!$B$4:$G$31,5,FALSE))</f>
        <v/>
      </c>
      <c r="I27" s="520" t="str">
        <f>IF(B27="","",VLOOKUP(B27,D_Gemüse2!$B$4:$G$31,6,FALSE))</f>
        <v/>
      </c>
      <c r="J27" s="519" t="str">
        <f t="shared" si="0"/>
        <v/>
      </c>
      <c r="K27" s="520" t="str">
        <f t="shared" si="1"/>
        <v/>
      </c>
      <c r="L27" s="520" t="str">
        <f t="shared" si="2"/>
        <v/>
      </c>
      <c r="M27" s="521" t="str">
        <f t="shared" si="3"/>
        <v/>
      </c>
      <c r="N27" s="1840">
        <v>1</v>
      </c>
      <c r="O27" s="1841">
        <v>1</v>
      </c>
      <c r="P27" s="1842">
        <v>1</v>
      </c>
    </row>
    <row r="28" spans="1:16" ht="15" customHeight="1">
      <c r="A28" s="1"/>
      <c r="B28" s="352"/>
      <c r="C28" s="351"/>
      <c r="D28" s="349"/>
      <c r="E28" s="519" t="str">
        <f>IF(B28="","",VLOOKUP(B28,D_Gemüse2!$B$4:$G$31,3,FALSE))</f>
        <v/>
      </c>
      <c r="F28" s="878"/>
      <c r="G28" s="520" t="str">
        <f>IF(B28="","",VLOOKUP(B28,D_Gemüse2!$B$4:$G$31,4,FALSE))</f>
        <v/>
      </c>
      <c r="H28" s="520" t="str">
        <f>IF(B28="","",VLOOKUP(B28,D_Gemüse2!$B$4:$G$31,5,FALSE))</f>
        <v/>
      </c>
      <c r="I28" s="520" t="str">
        <f>IF(B28="","",VLOOKUP(B28,D_Gemüse2!$B$4:$G$31,6,FALSE))</f>
        <v/>
      </c>
      <c r="J28" s="519" t="str">
        <f t="shared" si="0"/>
        <v/>
      </c>
      <c r="K28" s="520" t="str">
        <f t="shared" si="1"/>
        <v/>
      </c>
      <c r="L28" s="520" t="str">
        <f t="shared" si="2"/>
        <v/>
      </c>
      <c r="M28" s="521" t="str">
        <f t="shared" si="3"/>
        <v/>
      </c>
      <c r="N28" s="1840">
        <v>1</v>
      </c>
      <c r="O28" s="1841">
        <v>1</v>
      </c>
      <c r="P28" s="1842">
        <v>1</v>
      </c>
    </row>
    <row r="29" spans="1:16" ht="15" customHeight="1">
      <c r="A29" s="1"/>
      <c r="B29" s="352"/>
      <c r="C29" s="351"/>
      <c r="D29" s="349"/>
      <c r="E29" s="519" t="str">
        <f>IF(B29="","",VLOOKUP(B29,D_Gemüse2!$B$4:$G$31,3,FALSE))</f>
        <v/>
      </c>
      <c r="F29" s="878"/>
      <c r="G29" s="520" t="str">
        <f>IF(B29="","",VLOOKUP(B29,D_Gemüse2!$B$4:$G$31,4,FALSE))</f>
        <v/>
      </c>
      <c r="H29" s="520" t="str">
        <f>IF(B29="","",VLOOKUP(B29,D_Gemüse2!$B$4:$G$31,5,FALSE))</f>
        <v/>
      </c>
      <c r="I29" s="520" t="str">
        <f>IF(B29="","",VLOOKUP(B29,D_Gemüse2!$B$4:$G$31,6,FALSE))</f>
        <v/>
      </c>
      <c r="J29" s="519" t="str">
        <f t="shared" ref="J29:J44" si="4">IF(OR(ISBLANK(B29),ISBLANK(D29)),"",IF(ISBLANK(F29),ROUND(D29*E29,1),ROUND(D29*F29,1)))</f>
        <v/>
      </c>
      <c r="K29" s="520" t="str">
        <f t="shared" si="1"/>
        <v/>
      </c>
      <c r="L29" s="520" t="str">
        <f t="shared" si="2"/>
        <v/>
      </c>
      <c r="M29" s="521" t="str">
        <f t="shared" si="3"/>
        <v/>
      </c>
      <c r="N29" s="1840">
        <v>1</v>
      </c>
      <c r="O29" s="1841">
        <v>1</v>
      </c>
      <c r="P29" s="1842">
        <v>1</v>
      </c>
    </row>
    <row r="30" spans="1:16" ht="15" customHeight="1">
      <c r="A30" s="1"/>
      <c r="B30" s="352"/>
      <c r="C30" s="351"/>
      <c r="D30" s="349"/>
      <c r="E30" s="519" t="str">
        <f>IF(B30="","",VLOOKUP(B30,D_Gemüse2!$B$4:$G$31,3,FALSE))</f>
        <v/>
      </c>
      <c r="F30" s="878"/>
      <c r="G30" s="520" t="str">
        <f>IF(B30="","",VLOOKUP(B30,D_Gemüse2!$B$4:$G$31,4,FALSE))</f>
        <v/>
      </c>
      <c r="H30" s="520" t="str">
        <f>IF(B30="","",VLOOKUP(B30,D_Gemüse2!$B$4:$G$31,5,FALSE))</f>
        <v/>
      </c>
      <c r="I30" s="520" t="str">
        <f>IF(B30="","",VLOOKUP(B30,D_Gemüse2!$B$4:$G$31,6,FALSE))</f>
        <v/>
      </c>
      <c r="J30" s="519" t="str">
        <f t="shared" si="4"/>
        <v/>
      </c>
      <c r="K30" s="520" t="str">
        <f t="shared" si="1"/>
        <v/>
      </c>
      <c r="L30" s="520" t="str">
        <f t="shared" si="2"/>
        <v/>
      </c>
      <c r="M30" s="521" t="str">
        <f t="shared" si="3"/>
        <v/>
      </c>
      <c r="N30" s="1840">
        <v>1</v>
      </c>
      <c r="O30" s="1841">
        <v>1</v>
      </c>
      <c r="P30" s="1842">
        <v>1</v>
      </c>
    </row>
    <row r="31" spans="1:16" ht="15" customHeight="1">
      <c r="A31" s="1"/>
      <c r="B31" s="352"/>
      <c r="C31" s="351"/>
      <c r="D31" s="349"/>
      <c r="E31" s="519" t="str">
        <f>IF(B31="","",VLOOKUP(B31,D_Gemüse2!$B$4:$G$31,3,FALSE))</f>
        <v/>
      </c>
      <c r="F31" s="878"/>
      <c r="G31" s="520" t="str">
        <f>IF(B31="","",VLOOKUP(B31,D_Gemüse2!$B$4:$G$31,4,FALSE))</f>
        <v/>
      </c>
      <c r="H31" s="520" t="str">
        <f>IF(B31="","",VLOOKUP(B31,D_Gemüse2!$B$4:$G$31,5,FALSE))</f>
        <v/>
      </c>
      <c r="I31" s="520" t="str">
        <f>IF(B31="","",VLOOKUP(B31,D_Gemüse2!$B$4:$G$31,6,FALSE))</f>
        <v/>
      </c>
      <c r="J31" s="519" t="str">
        <f t="shared" si="4"/>
        <v/>
      </c>
      <c r="K31" s="520" t="str">
        <f t="shared" si="1"/>
        <v/>
      </c>
      <c r="L31" s="520" t="str">
        <f t="shared" si="2"/>
        <v/>
      </c>
      <c r="M31" s="521" t="str">
        <f t="shared" si="3"/>
        <v/>
      </c>
      <c r="N31" s="1840">
        <v>1</v>
      </c>
      <c r="O31" s="1841">
        <v>1</v>
      </c>
      <c r="P31" s="1842">
        <v>1</v>
      </c>
    </row>
    <row r="32" spans="1:16" ht="15" customHeight="1">
      <c r="A32" s="1"/>
      <c r="B32" s="352"/>
      <c r="C32" s="351"/>
      <c r="D32" s="349"/>
      <c r="E32" s="519" t="str">
        <f>IF(B32="","",VLOOKUP(B32,D_Gemüse2!$B$4:$G$31,3,FALSE))</f>
        <v/>
      </c>
      <c r="F32" s="878"/>
      <c r="G32" s="520" t="str">
        <f>IF(B32="","",VLOOKUP(B32,D_Gemüse2!$B$4:$G$31,4,FALSE))</f>
        <v/>
      </c>
      <c r="H32" s="520" t="str">
        <f>IF(B32="","",VLOOKUP(B32,D_Gemüse2!$B$4:$G$31,5,FALSE))</f>
        <v/>
      </c>
      <c r="I32" s="520" t="str">
        <f>IF(B32="","",VLOOKUP(B32,D_Gemüse2!$B$4:$G$31,6,FALSE))</f>
        <v/>
      </c>
      <c r="J32" s="519" t="str">
        <f t="shared" si="4"/>
        <v/>
      </c>
      <c r="K32" s="520" t="str">
        <f t="shared" si="1"/>
        <v/>
      </c>
      <c r="L32" s="520" t="str">
        <f t="shared" si="2"/>
        <v/>
      </c>
      <c r="M32" s="521" t="str">
        <f t="shared" si="3"/>
        <v/>
      </c>
      <c r="N32" s="1840">
        <v>1</v>
      </c>
      <c r="O32" s="1841">
        <v>1</v>
      </c>
      <c r="P32" s="1842">
        <v>1</v>
      </c>
    </row>
    <row r="33" spans="1:16" ht="15" customHeight="1">
      <c r="A33" s="1"/>
      <c r="B33" s="352"/>
      <c r="C33" s="351"/>
      <c r="D33" s="349"/>
      <c r="E33" s="519" t="str">
        <f>IF(B33="","",VLOOKUP(B33,D_Gemüse2!$B$4:$G$31,3,FALSE))</f>
        <v/>
      </c>
      <c r="F33" s="878"/>
      <c r="G33" s="520" t="str">
        <f>IF(B33="","",VLOOKUP(B33,D_Gemüse2!$B$4:$G$31,4,FALSE))</f>
        <v/>
      </c>
      <c r="H33" s="520" t="str">
        <f>IF(B33="","",VLOOKUP(B33,D_Gemüse2!$B$4:$G$31,5,FALSE))</f>
        <v/>
      </c>
      <c r="I33" s="520" t="str">
        <f>IF(B33="","",VLOOKUP(B33,D_Gemüse2!$B$4:$G$31,6,FALSE))</f>
        <v/>
      </c>
      <c r="J33" s="519" t="str">
        <f t="shared" si="4"/>
        <v/>
      </c>
      <c r="K33" s="520" t="str">
        <f t="shared" si="1"/>
        <v/>
      </c>
      <c r="L33" s="520" t="str">
        <f t="shared" si="2"/>
        <v/>
      </c>
      <c r="M33" s="521" t="str">
        <f t="shared" si="3"/>
        <v/>
      </c>
      <c r="N33" s="1840">
        <v>1</v>
      </c>
      <c r="O33" s="1841">
        <v>1</v>
      </c>
      <c r="P33" s="1842">
        <v>1</v>
      </c>
    </row>
    <row r="34" spans="1:16" ht="15" customHeight="1">
      <c r="A34" s="1"/>
      <c r="B34" s="352"/>
      <c r="C34" s="351"/>
      <c r="D34" s="349"/>
      <c r="E34" s="519" t="str">
        <f>IF(B34="","",VLOOKUP(B34,D_Gemüse2!$B$4:$G$31,3,FALSE))</f>
        <v/>
      </c>
      <c r="F34" s="878"/>
      <c r="G34" s="520" t="str">
        <f>IF(B34="","",VLOOKUP(B34,D_Gemüse2!$B$4:$G$31,4,FALSE))</f>
        <v/>
      </c>
      <c r="H34" s="520" t="str">
        <f>IF(B34="","",VLOOKUP(B34,D_Gemüse2!$B$4:$G$31,5,FALSE))</f>
        <v/>
      </c>
      <c r="I34" s="520" t="str">
        <f>IF(B34="","",VLOOKUP(B34,D_Gemüse2!$B$4:$G$31,6,FALSE))</f>
        <v/>
      </c>
      <c r="J34" s="519" t="str">
        <f t="shared" si="4"/>
        <v/>
      </c>
      <c r="K34" s="520" t="str">
        <f t="shared" si="1"/>
        <v/>
      </c>
      <c r="L34" s="520" t="str">
        <f t="shared" si="2"/>
        <v/>
      </c>
      <c r="M34" s="521" t="str">
        <f t="shared" si="3"/>
        <v/>
      </c>
      <c r="N34" s="1840">
        <v>1</v>
      </c>
      <c r="O34" s="1841">
        <v>1</v>
      </c>
      <c r="P34" s="1842">
        <v>1</v>
      </c>
    </row>
    <row r="35" spans="1:16" ht="15" customHeight="1">
      <c r="A35" s="1"/>
      <c r="B35" s="352"/>
      <c r="C35" s="351"/>
      <c r="D35" s="349"/>
      <c r="E35" s="519" t="str">
        <f>IF(B35="","",VLOOKUP(B35,D_Gemüse2!$B$4:$G$31,3,FALSE))</f>
        <v/>
      </c>
      <c r="F35" s="878"/>
      <c r="G35" s="520" t="str">
        <f>IF(B35="","",VLOOKUP(B35,D_Gemüse2!$B$4:$G$31,4,FALSE))</f>
        <v/>
      </c>
      <c r="H35" s="520" t="str">
        <f>IF(B35="","",VLOOKUP(B35,D_Gemüse2!$B$4:$G$31,5,FALSE))</f>
        <v/>
      </c>
      <c r="I35" s="520" t="str">
        <f>IF(B35="","",VLOOKUP(B35,D_Gemüse2!$B$4:$G$31,6,FALSE))</f>
        <v/>
      </c>
      <c r="J35" s="519" t="str">
        <f t="shared" si="4"/>
        <v/>
      </c>
      <c r="K35" s="520" t="str">
        <f t="shared" si="1"/>
        <v/>
      </c>
      <c r="L35" s="520" t="str">
        <f t="shared" si="2"/>
        <v/>
      </c>
      <c r="M35" s="521" t="str">
        <f t="shared" si="3"/>
        <v/>
      </c>
      <c r="N35" s="1840">
        <v>1</v>
      </c>
      <c r="O35" s="1841">
        <v>1</v>
      </c>
      <c r="P35" s="1842">
        <v>1</v>
      </c>
    </row>
    <row r="36" spans="1:16" ht="15" customHeight="1">
      <c r="A36" s="1"/>
      <c r="B36" s="352"/>
      <c r="C36" s="351"/>
      <c r="D36" s="349"/>
      <c r="E36" s="519" t="str">
        <f>IF(B36="","",VLOOKUP(B36,D_Gemüse2!$B$4:$G$31,3,FALSE))</f>
        <v/>
      </c>
      <c r="F36" s="878"/>
      <c r="G36" s="520" t="str">
        <f>IF(B36="","",VLOOKUP(B36,D_Gemüse2!$B$4:$G$31,4,FALSE))</f>
        <v/>
      </c>
      <c r="H36" s="520" t="str">
        <f>IF(B36="","",VLOOKUP(B36,D_Gemüse2!$B$4:$G$31,5,FALSE))</f>
        <v/>
      </c>
      <c r="I36" s="520" t="str">
        <f>IF(B36="","",VLOOKUP(B36,D_Gemüse2!$B$4:$G$31,6,FALSE))</f>
        <v/>
      </c>
      <c r="J36" s="519" t="str">
        <f t="shared" si="4"/>
        <v/>
      </c>
      <c r="K36" s="520" t="str">
        <f t="shared" si="1"/>
        <v/>
      </c>
      <c r="L36" s="520" t="str">
        <f t="shared" si="2"/>
        <v/>
      </c>
      <c r="M36" s="521" t="str">
        <f t="shared" si="3"/>
        <v/>
      </c>
      <c r="N36" s="1840">
        <v>1</v>
      </c>
      <c r="O36" s="1841">
        <v>1</v>
      </c>
      <c r="P36" s="1842">
        <v>1</v>
      </c>
    </row>
    <row r="37" spans="1:16" ht="15" customHeight="1">
      <c r="A37" s="1"/>
      <c r="B37" s="352"/>
      <c r="C37" s="351"/>
      <c r="D37" s="349"/>
      <c r="E37" s="519" t="str">
        <f>IF(B37="","",VLOOKUP(B37,D_Gemüse2!$B$4:$G$31,3,FALSE))</f>
        <v/>
      </c>
      <c r="F37" s="878"/>
      <c r="G37" s="520" t="str">
        <f>IF(B37="","",VLOOKUP(B37,D_Gemüse2!$B$4:$G$31,4,FALSE))</f>
        <v/>
      </c>
      <c r="H37" s="520" t="str">
        <f>IF(B37="","",VLOOKUP(B37,D_Gemüse2!$B$4:$G$31,5,FALSE))</f>
        <v/>
      </c>
      <c r="I37" s="520" t="str">
        <f>IF(B37="","",VLOOKUP(B37,D_Gemüse2!$B$4:$G$31,6,FALSE))</f>
        <v/>
      </c>
      <c r="J37" s="519" t="str">
        <f t="shared" si="4"/>
        <v/>
      </c>
      <c r="K37" s="520" t="str">
        <f t="shared" si="1"/>
        <v/>
      </c>
      <c r="L37" s="520" t="str">
        <f t="shared" si="2"/>
        <v/>
      </c>
      <c r="M37" s="521" t="str">
        <f t="shared" si="3"/>
        <v/>
      </c>
      <c r="N37" s="1840">
        <v>1</v>
      </c>
      <c r="O37" s="1841">
        <v>1</v>
      </c>
      <c r="P37" s="1842">
        <v>1</v>
      </c>
    </row>
    <row r="38" spans="1:16" ht="15" customHeight="1">
      <c r="A38" s="1"/>
      <c r="B38" s="352"/>
      <c r="C38" s="351"/>
      <c r="D38" s="349"/>
      <c r="E38" s="519" t="str">
        <f>IF(B38="","",VLOOKUP(B38,D_Gemüse2!$B$4:$G$31,3,FALSE))</f>
        <v/>
      </c>
      <c r="F38" s="878"/>
      <c r="G38" s="520" t="str">
        <f>IF(B38="","",VLOOKUP(B38,D_Gemüse2!$B$4:$G$31,4,FALSE))</f>
        <v/>
      </c>
      <c r="H38" s="520" t="str">
        <f>IF(B38="","",VLOOKUP(B38,D_Gemüse2!$B$4:$G$31,5,FALSE))</f>
        <v/>
      </c>
      <c r="I38" s="520" t="str">
        <f>IF(B38="","",VLOOKUP(B38,D_Gemüse2!$B$4:$G$31,6,FALSE))</f>
        <v/>
      </c>
      <c r="J38" s="519" t="str">
        <f t="shared" si="4"/>
        <v/>
      </c>
      <c r="K38" s="520" t="str">
        <f t="shared" si="1"/>
        <v/>
      </c>
      <c r="L38" s="520" t="str">
        <f t="shared" si="2"/>
        <v/>
      </c>
      <c r="M38" s="521" t="str">
        <f t="shared" si="3"/>
        <v/>
      </c>
      <c r="N38" s="1840">
        <v>1</v>
      </c>
      <c r="O38" s="1841">
        <v>1</v>
      </c>
      <c r="P38" s="1842">
        <v>1</v>
      </c>
    </row>
    <row r="39" spans="1:16" ht="15" customHeight="1">
      <c r="A39" s="1"/>
      <c r="B39" s="352"/>
      <c r="C39" s="351"/>
      <c r="D39" s="349"/>
      <c r="E39" s="519" t="str">
        <f>IF(B39="","",VLOOKUP(B39,D_Gemüse2!$B$4:$G$31,3,FALSE))</f>
        <v/>
      </c>
      <c r="F39" s="878"/>
      <c r="G39" s="520" t="str">
        <f>IF(B39="","",VLOOKUP(B39,D_Gemüse2!$B$4:$G$31,4,FALSE))</f>
        <v/>
      </c>
      <c r="H39" s="520" t="str">
        <f>IF(B39="","",VLOOKUP(B39,D_Gemüse2!$B$4:$G$31,5,FALSE))</f>
        <v/>
      </c>
      <c r="I39" s="520" t="str">
        <f>IF(B39="","",VLOOKUP(B39,D_Gemüse2!$B$4:$G$31,6,FALSE))</f>
        <v/>
      </c>
      <c r="J39" s="519" t="str">
        <f t="shared" si="4"/>
        <v/>
      </c>
      <c r="K39" s="520" t="str">
        <f t="shared" si="1"/>
        <v/>
      </c>
      <c r="L39" s="520" t="str">
        <f t="shared" si="2"/>
        <v/>
      </c>
      <c r="M39" s="521" t="str">
        <f t="shared" si="3"/>
        <v/>
      </c>
      <c r="N39" s="1840">
        <v>1</v>
      </c>
      <c r="O39" s="1841">
        <v>1</v>
      </c>
      <c r="P39" s="1842">
        <v>1</v>
      </c>
    </row>
    <row r="40" spans="1:16" ht="15" customHeight="1">
      <c r="A40" s="1"/>
      <c r="B40" s="352"/>
      <c r="C40" s="351"/>
      <c r="D40" s="349"/>
      <c r="E40" s="519" t="str">
        <f>IF(B40="","",VLOOKUP(B40,D_Gemüse2!$B$4:$G$31,3,FALSE))</f>
        <v/>
      </c>
      <c r="F40" s="878"/>
      <c r="G40" s="520" t="str">
        <f>IF(B40="","",VLOOKUP(B40,D_Gemüse2!$B$4:$G$31,4,FALSE))</f>
        <v/>
      </c>
      <c r="H40" s="520" t="str">
        <f>IF(B40="","",VLOOKUP(B40,D_Gemüse2!$B$4:$G$31,5,FALSE))</f>
        <v/>
      </c>
      <c r="I40" s="520" t="str">
        <f>IF(B40="","",VLOOKUP(B40,D_Gemüse2!$B$4:$G$31,6,FALSE))</f>
        <v/>
      </c>
      <c r="J40" s="519" t="str">
        <f t="shared" si="4"/>
        <v/>
      </c>
      <c r="K40" s="520" t="str">
        <f t="shared" si="1"/>
        <v/>
      </c>
      <c r="L40" s="520" t="str">
        <f t="shared" si="2"/>
        <v/>
      </c>
      <c r="M40" s="521" t="str">
        <f t="shared" si="3"/>
        <v/>
      </c>
      <c r="N40" s="1840">
        <v>1</v>
      </c>
      <c r="O40" s="1841">
        <v>1</v>
      </c>
      <c r="P40" s="1842">
        <v>1</v>
      </c>
    </row>
    <row r="41" spans="1:16" ht="15" customHeight="1">
      <c r="A41" s="1"/>
      <c r="B41" s="352"/>
      <c r="C41" s="351"/>
      <c r="D41" s="349"/>
      <c r="E41" s="519" t="str">
        <f>IF(B41="","",VLOOKUP(B41,D_Gemüse2!$B$4:$G$31,3,FALSE))</f>
        <v/>
      </c>
      <c r="F41" s="878"/>
      <c r="G41" s="520" t="str">
        <f>IF(B41="","",VLOOKUP(B41,D_Gemüse2!$B$4:$G$31,4,FALSE))</f>
        <v/>
      </c>
      <c r="H41" s="520" t="str">
        <f>IF(B41="","",VLOOKUP(B41,D_Gemüse2!$B$4:$G$31,5,FALSE))</f>
        <v/>
      </c>
      <c r="I41" s="520" t="str">
        <f>IF(B41="","",VLOOKUP(B41,D_Gemüse2!$B$4:$G$31,6,FALSE))</f>
        <v/>
      </c>
      <c r="J41" s="519" t="str">
        <f t="shared" si="4"/>
        <v/>
      </c>
      <c r="K41" s="520" t="str">
        <f t="shared" si="1"/>
        <v/>
      </c>
      <c r="L41" s="520" t="str">
        <f t="shared" si="2"/>
        <v/>
      </c>
      <c r="M41" s="521" t="str">
        <f t="shared" si="3"/>
        <v/>
      </c>
      <c r="N41" s="1840">
        <v>1</v>
      </c>
      <c r="O41" s="1841">
        <v>1</v>
      </c>
      <c r="P41" s="1842">
        <v>1</v>
      </c>
    </row>
    <row r="42" spans="1:16" ht="15" customHeight="1">
      <c r="A42" s="1"/>
      <c r="B42" s="352"/>
      <c r="C42" s="351"/>
      <c r="D42" s="349"/>
      <c r="E42" s="519" t="str">
        <f>IF(B42="","",VLOOKUP(B42,D_Gemüse2!$B$4:$G$31,3,FALSE))</f>
        <v/>
      </c>
      <c r="F42" s="878"/>
      <c r="G42" s="520" t="str">
        <f>IF(B42="","",VLOOKUP(B42,D_Gemüse2!$B$4:$G$31,4,FALSE))</f>
        <v/>
      </c>
      <c r="H42" s="520" t="str">
        <f>IF(B42="","",VLOOKUP(B42,D_Gemüse2!$B$4:$G$31,5,FALSE))</f>
        <v/>
      </c>
      <c r="I42" s="520" t="str">
        <f>IF(B42="","",VLOOKUP(B42,D_Gemüse2!$B$4:$G$31,6,FALSE))</f>
        <v/>
      </c>
      <c r="J42" s="519" t="str">
        <f t="shared" si="4"/>
        <v/>
      </c>
      <c r="K42" s="520" t="str">
        <f t="shared" si="1"/>
        <v/>
      </c>
      <c r="L42" s="520" t="str">
        <f t="shared" si="2"/>
        <v/>
      </c>
      <c r="M42" s="521" t="str">
        <f t="shared" si="3"/>
        <v/>
      </c>
      <c r="N42" s="1840">
        <v>1</v>
      </c>
      <c r="O42" s="1841">
        <v>1</v>
      </c>
      <c r="P42" s="1842">
        <v>1</v>
      </c>
    </row>
    <row r="43" spans="1:16" ht="15" customHeight="1">
      <c r="A43" s="1"/>
      <c r="B43" s="352"/>
      <c r="C43" s="351"/>
      <c r="D43" s="349"/>
      <c r="E43" s="519" t="str">
        <f>IF(B43="","",VLOOKUP(B43,D_Gemüse2!$B$4:$G$31,3,FALSE))</f>
        <v/>
      </c>
      <c r="F43" s="878"/>
      <c r="G43" s="520" t="str">
        <f>IF(B43="","",VLOOKUP(B43,D_Gemüse2!$B$4:$G$31,4,FALSE))</f>
        <v/>
      </c>
      <c r="H43" s="520" t="str">
        <f>IF(B43="","",VLOOKUP(B43,D_Gemüse2!$B$4:$G$31,5,FALSE))</f>
        <v/>
      </c>
      <c r="I43" s="520" t="str">
        <f>IF(B43="","",VLOOKUP(B43,D_Gemüse2!$B$4:$G$31,6,FALSE))</f>
        <v/>
      </c>
      <c r="J43" s="519" t="str">
        <f t="shared" si="4"/>
        <v/>
      </c>
      <c r="K43" s="520" t="str">
        <f t="shared" si="1"/>
        <v/>
      </c>
      <c r="L43" s="520" t="str">
        <f t="shared" si="2"/>
        <v/>
      </c>
      <c r="M43" s="521" t="str">
        <f t="shared" si="3"/>
        <v/>
      </c>
      <c r="N43" s="1840">
        <v>1</v>
      </c>
      <c r="O43" s="1841">
        <v>1</v>
      </c>
      <c r="P43" s="1842">
        <v>1</v>
      </c>
    </row>
    <row r="44" spans="1:16" ht="15" customHeight="1">
      <c r="A44" s="1"/>
      <c r="B44" s="352"/>
      <c r="C44" s="351"/>
      <c r="D44" s="349"/>
      <c r="E44" s="519" t="str">
        <f>IF(B44="","",VLOOKUP(B44,D_Gemüse2!$B$4:$G$31,3,FALSE))</f>
        <v/>
      </c>
      <c r="F44" s="878"/>
      <c r="G44" s="520" t="str">
        <f>IF(B44="","",VLOOKUP(B44,D_Gemüse2!$B$4:$G$31,4,FALSE))</f>
        <v/>
      </c>
      <c r="H44" s="520" t="str">
        <f>IF(B44="","",VLOOKUP(B44,D_Gemüse2!$B$4:$G$31,5,FALSE))</f>
        <v/>
      </c>
      <c r="I44" s="520" t="str">
        <f>IF(B44="","",VLOOKUP(B44,D_Gemüse2!$B$4:$G$31,6,FALSE))</f>
        <v/>
      </c>
      <c r="J44" s="519" t="str">
        <f t="shared" si="4"/>
        <v/>
      </c>
      <c r="K44" s="520" t="str">
        <f t="shared" si="1"/>
        <v/>
      </c>
      <c r="L44" s="520" t="str">
        <f t="shared" si="2"/>
        <v/>
      </c>
      <c r="M44" s="521" t="str">
        <f t="shared" si="3"/>
        <v/>
      </c>
      <c r="N44" s="1840">
        <v>1</v>
      </c>
      <c r="O44" s="1841">
        <v>1</v>
      </c>
      <c r="P44" s="1842">
        <v>1</v>
      </c>
    </row>
    <row r="45" spans="1:16" ht="15" customHeight="1">
      <c r="A45" s="1"/>
      <c r="B45" s="352"/>
      <c r="C45" s="351"/>
      <c r="D45" s="349"/>
      <c r="E45" s="519" t="str">
        <f>IF(B45="","",VLOOKUP(B45,D_Gemüse2!$B$4:$G$31,3,FALSE))</f>
        <v/>
      </c>
      <c r="F45" s="878"/>
      <c r="G45" s="520" t="str">
        <f>IF(B45="","",VLOOKUP(B45,D_Gemüse2!$B$4:$G$31,4,FALSE))</f>
        <v/>
      </c>
      <c r="H45" s="520" t="str">
        <f>IF(B45="","",VLOOKUP(B45,D_Gemüse2!$B$4:$G$31,5,FALSE))</f>
        <v/>
      </c>
      <c r="I45" s="520" t="str">
        <f>IF(B45="","",VLOOKUP(B45,D_Gemüse2!$B$4:$G$31,6,FALSE))</f>
        <v/>
      </c>
      <c r="J45" s="519" t="str">
        <f t="shared" ref="J45:J56" si="5">IF(OR(ISBLANK(B45),ISBLANK(D45)),"",IF(ISBLANK(F45),ROUND(D45*E45,1),ROUND(D45*F45,1)))</f>
        <v/>
      </c>
      <c r="K45" s="520" t="str">
        <f t="shared" si="1"/>
        <v/>
      </c>
      <c r="L45" s="520" t="str">
        <f t="shared" si="2"/>
        <v/>
      </c>
      <c r="M45" s="521" t="str">
        <f t="shared" si="3"/>
        <v/>
      </c>
      <c r="N45" s="1840">
        <v>1</v>
      </c>
      <c r="O45" s="1841">
        <v>1</v>
      </c>
      <c r="P45" s="1842">
        <v>1</v>
      </c>
    </row>
    <row r="46" spans="1:16" ht="15" customHeight="1">
      <c r="A46" s="1"/>
      <c r="B46" s="352"/>
      <c r="C46" s="351"/>
      <c r="D46" s="349"/>
      <c r="E46" s="519" t="str">
        <f>IF(B46="","",VLOOKUP(B46,D_Gemüse2!$B$4:$G$31,3,FALSE))</f>
        <v/>
      </c>
      <c r="F46" s="878"/>
      <c r="G46" s="520" t="str">
        <f>IF(B46="","",VLOOKUP(B46,D_Gemüse2!$B$4:$G$31,4,FALSE))</f>
        <v/>
      </c>
      <c r="H46" s="520" t="str">
        <f>IF(B46="","",VLOOKUP(B46,D_Gemüse2!$B$4:$G$31,5,FALSE))</f>
        <v/>
      </c>
      <c r="I46" s="520" t="str">
        <f>IF(B46="","",VLOOKUP(B46,D_Gemüse2!$B$4:$G$31,6,FALSE))</f>
        <v/>
      </c>
      <c r="J46" s="519" t="str">
        <f t="shared" si="5"/>
        <v/>
      </c>
      <c r="K46" s="520" t="str">
        <f t="shared" si="1"/>
        <v/>
      </c>
      <c r="L46" s="520" t="str">
        <f t="shared" si="2"/>
        <v/>
      </c>
      <c r="M46" s="521" t="str">
        <f t="shared" si="3"/>
        <v/>
      </c>
      <c r="N46" s="1840">
        <v>1</v>
      </c>
      <c r="O46" s="1841">
        <v>1</v>
      </c>
      <c r="P46" s="1842">
        <v>1</v>
      </c>
    </row>
    <row r="47" spans="1:16" ht="15" customHeight="1">
      <c r="A47" s="1"/>
      <c r="B47" s="352"/>
      <c r="C47" s="351"/>
      <c r="D47" s="349"/>
      <c r="E47" s="519" t="str">
        <f>IF(B47="","",VLOOKUP(B47,D_Gemüse2!$B$4:$G$31,3,FALSE))</f>
        <v/>
      </c>
      <c r="F47" s="878"/>
      <c r="G47" s="520" t="str">
        <f>IF(B47="","",VLOOKUP(B47,D_Gemüse2!$B$4:$G$31,4,FALSE))</f>
        <v/>
      </c>
      <c r="H47" s="520" t="str">
        <f>IF(B47="","",VLOOKUP(B47,D_Gemüse2!$B$4:$G$31,5,FALSE))</f>
        <v/>
      </c>
      <c r="I47" s="520" t="str">
        <f>IF(B47="","",VLOOKUP(B47,D_Gemüse2!$B$4:$G$31,6,FALSE))</f>
        <v/>
      </c>
      <c r="J47" s="519" t="str">
        <f t="shared" si="5"/>
        <v/>
      </c>
      <c r="K47" s="520" t="str">
        <f t="shared" si="1"/>
        <v/>
      </c>
      <c r="L47" s="520" t="str">
        <f t="shared" si="2"/>
        <v/>
      </c>
      <c r="M47" s="521" t="str">
        <f t="shared" si="3"/>
        <v/>
      </c>
      <c r="N47" s="1840">
        <v>1</v>
      </c>
      <c r="O47" s="1841">
        <v>1</v>
      </c>
      <c r="P47" s="1842">
        <v>1</v>
      </c>
    </row>
    <row r="48" spans="1:16" ht="15" customHeight="1">
      <c r="A48" s="1"/>
      <c r="B48" s="352"/>
      <c r="C48" s="351"/>
      <c r="D48" s="349"/>
      <c r="E48" s="519" t="str">
        <f>IF(B48="","",VLOOKUP(B48,D_Gemüse2!$B$4:$G$31,3,FALSE))</f>
        <v/>
      </c>
      <c r="F48" s="878"/>
      <c r="G48" s="520" t="str">
        <f>IF(B48="","",VLOOKUP(B48,D_Gemüse2!$B$4:$G$31,4,FALSE))</f>
        <v/>
      </c>
      <c r="H48" s="520" t="str">
        <f>IF(B48="","",VLOOKUP(B48,D_Gemüse2!$B$4:$G$31,5,FALSE))</f>
        <v/>
      </c>
      <c r="I48" s="520" t="str">
        <f>IF(B48="","",VLOOKUP(B48,D_Gemüse2!$B$4:$G$31,6,FALSE))</f>
        <v/>
      </c>
      <c r="J48" s="519" t="str">
        <f t="shared" si="5"/>
        <v/>
      </c>
      <c r="K48" s="520" t="str">
        <f t="shared" si="1"/>
        <v/>
      </c>
      <c r="L48" s="520" t="str">
        <f t="shared" si="2"/>
        <v/>
      </c>
      <c r="M48" s="521" t="str">
        <f t="shared" si="3"/>
        <v/>
      </c>
      <c r="N48" s="1840">
        <v>1</v>
      </c>
      <c r="O48" s="1841">
        <v>1</v>
      </c>
      <c r="P48" s="1842">
        <v>1</v>
      </c>
    </row>
    <row r="49" spans="1:16" ht="15" customHeight="1">
      <c r="A49" s="1"/>
      <c r="B49" s="352"/>
      <c r="C49" s="351"/>
      <c r="D49" s="349"/>
      <c r="E49" s="519" t="str">
        <f>IF(B49="","",VLOOKUP(B49,D_Gemüse2!$B$4:$G$31,3,FALSE))</f>
        <v/>
      </c>
      <c r="F49" s="878"/>
      <c r="G49" s="520" t="str">
        <f>IF(B49="","",VLOOKUP(B49,D_Gemüse2!$B$4:$G$31,4,FALSE))</f>
        <v/>
      </c>
      <c r="H49" s="520" t="str">
        <f>IF(B49="","",VLOOKUP(B49,D_Gemüse2!$B$4:$G$31,5,FALSE))</f>
        <v/>
      </c>
      <c r="I49" s="520" t="str">
        <f>IF(B49="","",VLOOKUP(B49,D_Gemüse2!$B$4:$G$31,6,FALSE))</f>
        <v/>
      </c>
      <c r="J49" s="519" t="str">
        <f t="shared" si="5"/>
        <v/>
      </c>
      <c r="K49" s="520" t="str">
        <f t="shared" si="1"/>
        <v/>
      </c>
      <c r="L49" s="520" t="str">
        <f t="shared" si="2"/>
        <v/>
      </c>
      <c r="M49" s="521" t="str">
        <f t="shared" si="3"/>
        <v/>
      </c>
      <c r="N49" s="1840">
        <v>1</v>
      </c>
      <c r="O49" s="1841">
        <v>1</v>
      </c>
      <c r="P49" s="1842">
        <v>1</v>
      </c>
    </row>
    <row r="50" spans="1:16" ht="15" customHeight="1">
      <c r="A50" s="1"/>
      <c r="B50" s="352"/>
      <c r="C50" s="351"/>
      <c r="D50" s="349"/>
      <c r="E50" s="519" t="str">
        <f>IF(B50="","",VLOOKUP(B50,D_Gemüse2!$B$4:$G$31,3,FALSE))</f>
        <v/>
      </c>
      <c r="F50" s="878"/>
      <c r="G50" s="520" t="str">
        <f>IF(B50="","",VLOOKUP(B50,D_Gemüse2!$B$4:$G$31,4,FALSE))</f>
        <v/>
      </c>
      <c r="H50" s="520" t="str">
        <f>IF(B50="","",VLOOKUP(B50,D_Gemüse2!$B$4:$G$31,5,FALSE))</f>
        <v/>
      </c>
      <c r="I50" s="520" t="str">
        <f>IF(B50="","",VLOOKUP(B50,D_Gemüse2!$B$4:$G$31,6,FALSE))</f>
        <v/>
      </c>
      <c r="J50" s="519" t="str">
        <f t="shared" si="5"/>
        <v/>
      </c>
      <c r="K50" s="520" t="str">
        <f t="shared" si="1"/>
        <v/>
      </c>
      <c r="L50" s="520" t="str">
        <f t="shared" si="2"/>
        <v/>
      </c>
      <c r="M50" s="521" t="str">
        <f t="shared" si="3"/>
        <v/>
      </c>
      <c r="N50" s="1840">
        <v>1</v>
      </c>
      <c r="O50" s="1841">
        <v>1</v>
      </c>
      <c r="P50" s="1842">
        <v>1</v>
      </c>
    </row>
    <row r="51" spans="1:16" ht="15" customHeight="1">
      <c r="A51" s="1"/>
      <c r="B51" s="352"/>
      <c r="C51" s="351"/>
      <c r="D51" s="349"/>
      <c r="E51" s="519" t="str">
        <f>IF(B51="","",VLOOKUP(B51,D_Gemüse2!$B$4:$G$31,3,FALSE))</f>
        <v/>
      </c>
      <c r="F51" s="878"/>
      <c r="G51" s="520" t="str">
        <f>IF(B51="","",VLOOKUP(B51,D_Gemüse2!$B$4:$G$31,4,FALSE))</f>
        <v/>
      </c>
      <c r="H51" s="520" t="str">
        <f>IF(B51="","",VLOOKUP(B51,D_Gemüse2!$B$4:$G$31,5,FALSE))</f>
        <v/>
      </c>
      <c r="I51" s="520" t="str">
        <f>IF(B51="","",VLOOKUP(B51,D_Gemüse2!$B$4:$G$31,6,FALSE))</f>
        <v/>
      </c>
      <c r="J51" s="519" t="str">
        <f t="shared" si="5"/>
        <v/>
      </c>
      <c r="K51" s="520" t="str">
        <f t="shared" si="1"/>
        <v/>
      </c>
      <c r="L51" s="520" t="str">
        <f t="shared" si="2"/>
        <v/>
      </c>
      <c r="M51" s="521" t="str">
        <f t="shared" si="3"/>
        <v/>
      </c>
      <c r="N51" s="1840">
        <v>1</v>
      </c>
      <c r="O51" s="1841">
        <v>1</v>
      </c>
      <c r="P51" s="1842">
        <v>1</v>
      </c>
    </row>
    <row r="52" spans="1:16" ht="15" customHeight="1">
      <c r="A52" s="1"/>
      <c r="B52" s="352"/>
      <c r="C52" s="351"/>
      <c r="D52" s="349"/>
      <c r="E52" s="519" t="str">
        <f>IF(B52="","",VLOOKUP(B52,D_Gemüse2!$B$4:$G$31,3,FALSE))</f>
        <v/>
      </c>
      <c r="F52" s="878"/>
      <c r="G52" s="520" t="str">
        <f>IF(B52="","",VLOOKUP(B52,D_Gemüse2!$B$4:$G$31,4,FALSE))</f>
        <v/>
      </c>
      <c r="H52" s="520" t="str">
        <f>IF(B52="","",VLOOKUP(B52,D_Gemüse2!$B$4:$G$31,5,FALSE))</f>
        <v/>
      </c>
      <c r="I52" s="520" t="str">
        <f>IF(B52="","",VLOOKUP(B52,D_Gemüse2!$B$4:$G$31,6,FALSE))</f>
        <v/>
      </c>
      <c r="J52" s="519" t="str">
        <f t="shared" si="5"/>
        <v/>
      </c>
      <c r="K52" s="520" t="str">
        <f t="shared" si="1"/>
        <v/>
      </c>
      <c r="L52" s="520" t="str">
        <f t="shared" si="2"/>
        <v/>
      </c>
      <c r="M52" s="521" t="str">
        <f t="shared" si="3"/>
        <v/>
      </c>
      <c r="N52" s="1840">
        <v>1</v>
      </c>
      <c r="O52" s="1841">
        <v>1</v>
      </c>
      <c r="P52" s="1842">
        <v>1</v>
      </c>
    </row>
    <row r="53" spans="1:16" ht="15" customHeight="1">
      <c r="A53" s="1"/>
      <c r="B53" s="352"/>
      <c r="C53" s="351"/>
      <c r="D53" s="349"/>
      <c r="E53" s="519" t="str">
        <f>IF(B53="","",VLOOKUP(B53,D_Gemüse2!$B$4:$G$31,3,FALSE))</f>
        <v/>
      </c>
      <c r="F53" s="878"/>
      <c r="G53" s="520" t="str">
        <f>IF(B53="","",VLOOKUP(B53,D_Gemüse2!$B$4:$G$31,4,FALSE))</f>
        <v/>
      </c>
      <c r="H53" s="520" t="str">
        <f>IF(B53="","",VLOOKUP(B53,D_Gemüse2!$B$4:$G$31,5,FALSE))</f>
        <v/>
      </c>
      <c r="I53" s="520" t="str">
        <f>IF(B53="","",VLOOKUP(B53,D_Gemüse2!$B$4:$G$31,6,FALSE))</f>
        <v/>
      </c>
      <c r="J53" s="519" t="str">
        <f t="shared" si="5"/>
        <v/>
      </c>
      <c r="K53" s="520" t="str">
        <f t="shared" si="1"/>
        <v/>
      </c>
      <c r="L53" s="520" t="str">
        <f t="shared" si="2"/>
        <v/>
      </c>
      <c r="M53" s="521" t="str">
        <f t="shared" si="3"/>
        <v/>
      </c>
      <c r="N53" s="1840">
        <v>1</v>
      </c>
      <c r="O53" s="1841">
        <v>1</v>
      </c>
      <c r="P53" s="1842">
        <v>1</v>
      </c>
    </row>
    <row r="54" spans="1:16" ht="15" customHeight="1">
      <c r="A54" s="1"/>
      <c r="B54" s="352"/>
      <c r="C54" s="351"/>
      <c r="D54" s="349"/>
      <c r="E54" s="519" t="str">
        <f>IF(B54="","",VLOOKUP(B54,D_Gemüse2!$B$4:$G$31,3,FALSE))</f>
        <v/>
      </c>
      <c r="F54" s="878"/>
      <c r="G54" s="520" t="str">
        <f>IF(B54="","",VLOOKUP(B54,D_Gemüse2!$B$4:$G$31,4,FALSE))</f>
        <v/>
      </c>
      <c r="H54" s="520" t="str">
        <f>IF(B54="","",VLOOKUP(B54,D_Gemüse2!$B$4:$G$31,5,FALSE))</f>
        <v/>
      </c>
      <c r="I54" s="520" t="str">
        <f>IF(B54="","",VLOOKUP(B54,D_Gemüse2!$B$4:$G$31,6,FALSE))</f>
        <v/>
      </c>
      <c r="J54" s="519" t="str">
        <f t="shared" si="5"/>
        <v/>
      </c>
      <c r="K54" s="520" t="str">
        <f t="shared" si="1"/>
        <v/>
      </c>
      <c r="L54" s="520" t="str">
        <f t="shared" si="2"/>
        <v/>
      </c>
      <c r="M54" s="521" t="str">
        <f t="shared" si="3"/>
        <v/>
      </c>
      <c r="N54" s="1840">
        <v>1</v>
      </c>
      <c r="O54" s="1841">
        <v>1</v>
      </c>
      <c r="P54" s="1842">
        <v>1</v>
      </c>
    </row>
    <row r="55" spans="1:16" ht="15" customHeight="1">
      <c r="A55" s="1"/>
      <c r="B55" s="352"/>
      <c r="C55" s="351"/>
      <c r="D55" s="349"/>
      <c r="E55" s="519" t="str">
        <f>IF(B55="","",VLOOKUP(B55,D_Gemüse2!$B$4:$G$31,3,FALSE))</f>
        <v/>
      </c>
      <c r="F55" s="878"/>
      <c r="G55" s="520" t="str">
        <f>IF(B55="","",VLOOKUP(B55,D_Gemüse2!$B$4:$G$31,4,FALSE))</f>
        <v/>
      </c>
      <c r="H55" s="520" t="str">
        <f>IF(B55="","",VLOOKUP(B55,D_Gemüse2!$B$4:$G$31,5,FALSE))</f>
        <v/>
      </c>
      <c r="I55" s="520" t="str">
        <f>IF(B55="","",VLOOKUP(B55,D_Gemüse2!$B$4:$G$31,6,FALSE))</f>
        <v/>
      </c>
      <c r="J55" s="519" t="str">
        <f t="shared" si="5"/>
        <v/>
      </c>
      <c r="K55" s="520" t="str">
        <f t="shared" si="1"/>
        <v/>
      </c>
      <c r="L55" s="520" t="str">
        <f t="shared" si="2"/>
        <v/>
      </c>
      <c r="M55" s="521" t="str">
        <f t="shared" si="3"/>
        <v/>
      </c>
      <c r="N55" s="1840">
        <v>1</v>
      </c>
      <c r="O55" s="1841">
        <v>1</v>
      </c>
      <c r="P55" s="1842">
        <v>1</v>
      </c>
    </row>
    <row r="56" spans="1:16" ht="15" customHeight="1" thickBot="1">
      <c r="A56" s="1"/>
      <c r="B56" s="352"/>
      <c r="C56" s="351"/>
      <c r="D56" s="349"/>
      <c r="E56" s="519" t="str">
        <f>IF(B56="","",VLOOKUP(B56,D_Gemüse2!$B$4:$G$31,3,FALSE))</f>
        <v/>
      </c>
      <c r="F56" s="878"/>
      <c r="G56" s="520" t="str">
        <f>IF(B56="","",VLOOKUP(B56,D_Gemüse2!$B$4:$G$31,4,FALSE))</f>
        <v/>
      </c>
      <c r="H56" s="520" t="str">
        <f>IF(B56="","",VLOOKUP(B56,D_Gemüse2!$B$4:$G$31,5,FALSE))</f>
        <v/>
      </c>
      <c r="I56" s="520" t="str">
        <f>IF(B56="","",VLOOKUP(B56,D_Gemüse2!$B$4:$G$31,6,FALSE))</f>
        <v/>
      </c>
      <c r="J56" s="519" t="str">
        <f t="shared" si="5"/>
        <v/>
      </c>
      <c r="K56" s="520" t="str">
        <f t="shared" si="1"/>
        <v/>
      </c>
      <c r="L56" s="520" t="str">
        <f t="shared" si="2"/>
        <v/>
      </c>
      <c r="M56" s="521" t="str">
        <f t="shared" si="3"/>
        <v/>
      </c>
      <c r="N56" s="1843">
        <v>1</v>
      </c>
      <c r="O56" s="1844">
        <v>1</v>
      </c>
      <c r="P56" s="1845">
        <v>1</v>
      </c>
    </row>
    <row r="57" spans="1:16" ht="13.5" thickBot="1">
      <c r="A57" s="1"/>
      <c r="B57" s="299"/>
      <c r="C57" s="522"/>
      <c r="D57" s="523"/>
      <c r="E57" s="299"/>
      <c r="F57" s="299"/>
      <c r="G57" s="299"/>
      <c r="H57" s="195"/>
      <c r="I57" s="195" t="str">
        <f>Texte!A1039</f>
        <v>Total Nährstoffbedarf der Gemüse:</v>
      </c>
      <c r="J57" s="524">
        <f>SUM(J12:J56)</f>
        <v>304.7</v>
      </c>
      <c r="K57" s="524">
        <f>SUM(K12:K56)</f>
        <v>121.9</v>
      </c>
      <c r="L57" s="524">
        <f>SUM(L12:L56)</f>
        <v>609.29999999999995</v>
      </c>
      <c r="M57" s="525">
        <f>SUM(M12:M56)</f>
        <v>97.5</v>
      </c>
    </row>
  </sheetData>
  <sheetProtection algorithmName="SHA-512" hashValue="1wegbCE/WkBtz1f4oVUHR/poyI9idxHo6RskInLDYRaZePSZ9xwtwLJKTADr1DsDcW3Vi8KE7n7dHt6d+GvAyg==" saltValue="uaPnetvCt/p48HDWv5PUGA==" spinCount="100000" sheet="1" objects="1" scenarios="1"/>
  <mergeCells count="2">
    <mergeCell ref="N7:P7"/>
    <mergeCell ref="N8:P8"/>
  </mergeCells>
  <phoneticPr fontId="65" type="noConversion"/>
  <conditionalFormatting sqref="N12:P56">
    <cfRule type="cellIs" dxfId="84" priority="1" stopIfTrue="1" operator="greaterThan">
      <formula>1.6</formula>
    </cfRule>
  </conditionalFormatting>
  <printOptions horizontalCentered="1"/>
  <pageMargins left="0.35433070866141736" right="0.27559055118110237" top="0.35433070866141736" bottom="0.59055118110236227" header="0" footer="0.39370078740157483"/>
  <pageSetup paperSize="9" scale="95"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7409" r:id="rId4" name="Butt Gemüse2">
              <controlPr defaultSize="0" print="0" autoFill="0" autoLine="0" autoPict="0" macro="[0]!DlgGem2_Zeigen">
                <anchor moveWithCells="1" sizeWithCells="1">
                  <from>
                    <xdr:col>1</xdr:col>
                    <xdr:colOff>19050</xdr:colOff>
                    <xdr:row>6</xdr:row>
                    <xdr:rowOff>76200</xdr:rowOff>
                  </from>
                  <to>
                    <xdr:col>2</xdr:col>
                    <xdr:colOff>590550</xdr:colOff>
                    <xdr:row>7</xdr:row>
                    <xdr:rowOff>95250</xdr:rowOff>
                  </to>
                </anchor>
              </controlPr>
            </control>
          </ns1:Choice>
        </ns1:AlternateContent>
      </controls>
    </ns1:Choice>
  </ns1:AlternateContent>
</worksheet>
</file>

<file path=xl/worksheets/sheet16.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9">
    <tabColor indexed="43"/>
    <pageSetUpPr fitToPage="1"/>
  </sheetPr>
  <dimension ref="A1:O53"/>
  <sheetViews>
    <sheetView showGridLines="0" showRowColHeaders="0" showZeros="0" topLeftCell="A7" workbookViewId="0">
      <selection activeCell="I40" sqref="I40"/>
      <extLst>
        <ext uri="{77bfe23e-c014-4d31-8a63-9c772dbf06b6}">
          <ns2:showDataTypeIcons visible="0"/>
        </ext>
      </extLst>
    </sheetView>
  </sheetViews>
  <sheetFormatPr baseColWidth="10" defaultRowHeight="12"/>
  <cols>
    <col min="1" max="1" width="0.85546875" customWidth="1"/>
    <col min="2" max="2" width="12.7109375" customWidth="1"/>
    <col min="3" max="3" width="23.7109375" customWidth="1"/>
    <col min="4" max="4" width="7.7109375" customWidth="1"/>
    <col min="5" max="8" width="5.7109375" customWidth="1"/>
    <col min="9" max="12" width="8.7109375" customWidth="1"/>
    <col min="13" max="15" width="3.7109375" customWidth="1"/>
  </cols>
  <sheetData>
    <row r="1" spans="1:15" ht="42" customHeight="1">
      <c r="A1" s="1"/>
      <c r="B1" s="19" t="str">
        <f>Q!NW_Tit</f>
        <v xml:space="preserve">                                   Nachweis</v>
      </c>
      <c r="C1" s="1"/>
      <c r="D1" s="1"/>
      <c r="E1" s="1"/>
      <c r="F1" s="1"/>
      <c r="G1" s="1"/>
      <c r="H1" s="1"/>
      <c r="I1" s="1"/>
      <c r="J1" s="1"/>
      <c r="K1" s="1"/>
      <c r="O1" s="20" t="str">
        <f>Q!F25</f>
        <v>SuiBi: Obst und Beeren</v>
      </c>
    </row>
    <row r="2" spans="1:15" ht="11.1" customHeight="1" thickBot="1">
      <c r="A2" s="1"/>
      <c r="B2" s="21"/>
      <c r="C2" s="21"/>
      <c r="D2" s="21"/>
      <c r="E2" s="21"/>
      <c r="F2" s="21"/>
      <c r="G2" s="21"/>
      <c r="H2" s="21"/>
      <c r="I2" s="21"/>
      <c r="J2" s="21"/>
      <c r="K2" s="21"/>
      <c r="L2" s="44"/>
      <c r="M2" s="44"/>
      <c r="N2" s="44"/>
      <c r="O2" s="44"/>
    </row>
    <row r="3" spans="1:15" ht="21.95" customHeight="1">
      <c r="A3" s="1"/>
      <c r="B3" s="1861" t="str">
        <f>Texte!A13</f>
        <v>Betrieb:</v>
      </c>
      <c r="C3" s="1433" t="str">
        <f>Allg!$C$9&amp;""</f>
        <v>Imhof &amp; Zaehner Betriebsgemeinschaft</v>
      </c>
      <c r="D3" s="569"/>
      <c r="E3" s="569"/>
      <c r="F3" s="569"/>
      <c r="G3" s="1863" t="str">
        <f>Texte!A14</f>
        <v>Variante:</v>
      </c>
      <c r="H3" s="1433" t="str">
        <f>IF(ISBLANK(Allg!G7),"",Allg!G7)</f>
        <v/>
      </c>
      <c r="I3" s="569"/>
      <c r="J3" s="569"/>
      <c r="K3" s="1863" t="str">
        <f>Texte!A15</f>
        <v>Jahr:</v>
      </c>
      <c r="L3" s="571">
        <f>IF(Allg!G6="","",Allg!G6)</f>
        <v>2026</v>
      </c>
      <c r="M3" s="1868"/>
      <c r="N3" s="1868"/>
      <c r="O3" s="1868"/>
    </row>
    <row r="4" spans="1:15" ht="20.100000000000001" customHeight="1">
      <c r="A4" s="1"/>
      <c r="B4" s="510" t="str">
        <f>Texte!A1041</f>
        <v>Zusatzformular "Obst und Beeren"</v>
      </c>
      <c r="C4" s="234"/>
      <c r="D4" s="1"/>
      <c r="E4" s="1"/>
      <c r="F4" s="1"/>
      <c r="G4" s="1"/>
      <c r="H4" s="43"/>
      <c r="I4" s="1"/>
      <c r="J4" s="1"/>
    </row>
    <row r="5" spans="1:15" ht="16.149999999999999" customHeight="1">
      <c r="A5" s="1"/>
      <c r="B5" s="45" t="str">
        <f>Texte!A1042</f>
        <v>Netto-Nährstoffbedarf Obst gemäss Wegleitung Suisse-Bilanz</v>
      </c>
      <c r="C5" s="23"/>
      <c r="D5" s="23"/>
      <c r="E5" s="23"/>
      <c r="F5" s="23"/>
      <c r="G5" s="23"/>
      <c r="H5" s="23"/>
      <c r="I5" s="23"/>
      <c r="J5" s="23"/>
      <c r="K5" s="23"/>
      <c r="L5" s="23"/>
      <c r="O5" s="1823"/>
    </row>
    <row r="6" spans="1:15" ht="7.15" customHeight="1">
      <c r="A6" s="1"/>
      <c r="B6" s="45"/>
      <c r="C6" s="23"/>
      <c r="D6" s="23"/>
      <c r="E6" s="23"/>
      <c r="F6" s="23"/>
      <c r="G6" s="23"/>
      <c r="H6" s="23"/>
      <c r="I6" s="23"/>
      <c r="J6" s="23"/>
      <c r="K6" s="23"/>
      <c r="L6" s="23"/>
    </row>
    <row r="7" spans="1:15" ht="12.75">
      <c r="A7" s="1"/>
      <c r="B7" s="298"/>
      <c r="C7" s="299"/>
      <c r="D7" s="489"/>
      <c r="E7" s="409" t="str">
        <f>Texte!A1046</f>
        <v>Netto-Nährstoffbedarf</v>
      </c>
      <c r="F7" s="465"/>
      <c r="G7" s="465"/>
      <c r="H7" s="465"/>
      <c r="I7" s="511" t="str">
        <f>Texte!A1049</f>
        <v>Netto-Nährstoffbedarf</v>
      </c>
      <c r="J7" s="465"/>
      <c r="K7" s="465"/>
      <c r="L7" s="482"/>
      <c r="M7" s="3435" t="str">
        <f>Texte!A984</f>
        <v>Korrektur-</v>
      </c>
      <c r="N7" s="3436"/>
      <c r="O7" s="3437"/>
    </row>
    <row r="8" spans="1:15" ht="12.75">
      <c r="A8" s="1"/>
      <c r="B8" s="469"/>
      <c r="C8" s="109"/>
      <c r="D8" s="467" t="str">
        <f>Texte!A1044</f>
        <v>Fläche</v>
      </c>
      <c r="E8" s="412" t="str">
        <f>Texte!A1047</f>
        <v>in</v>
      </c>
      <c r="F8" s="413"/>
      <c r="G8" s="413"/>
      <c r="H8" s="413"/>
      <c r="I8" s="512" t="str">
        <f>Texte!A1050</f>
        <v>in</v>
      </c>
      <c r="J8" s="413"/>
      <c r="K8" s="413"/>
      <c r="L8" s="486"/>
      <c r="M8" s="3438" t="str">
        <f>Texte!A985</f>
        <v>faktoren</v>
      </c>
      <c r="N8" s="3439"/>
      <c r="O8" s="3440"/>
    </row>
    <row r="9" spans="1:15" ht="12.75">
      <c r="A9" s="1"/>
      <c r="B9" s="469" t="str">
        <f>Texte!A1045</f>
        <v>Kultur</v>
      </c>
      <c r="C9" s="109"/>
      <c r="D9" s="467" t="s">
        <v>5675</v>
      </c>
      <c r="E9" s="412" t="str">
        <f>Texte!A1048</f>
        <v>kg pro ha</v>
      </c>
      <c r="F9" s="413"/>
      <c r="G9" s="413"/>
      <c r="H9" s="413"/>
      <c r="I9" s="512" t="str">
        <f>Texte!A1051</f>
        <v xml:space="preserve">kg pro Jahr </v>
      </c>
      <c r="J9" s="413"/>
      <c r="K9" s="413"/>
      <c r="L9" s="486"/>
      <c r="M9" s="772"/>
      <c r="N9" s="674"/>
      <c r="O9" s="671"/>
    </row>
    <row r="10" spans="1:15" ht="12.75">
      <c r="A10" s="1"/>
      <c r="B10" s="354"/>
      <c r="C10" s="353"/>
      <c r="D10" s="435"/>
      <c r="E10" s="435" t="s">
        <v>1511</v>
      </c>
      <c r="F10" s="430" t="s">
        <v>2415</v>
      </c>
      <c r="G10" s="430" t="s">
        <v>7030</v>
      </c>
      <c r="H10" s="430" t="s">
        <v>7031</v>
      </c>
      <c r="I10" s="435" t="s">
        <v>1511</v>
      </c>
      <c r="J10" s="430" t="s">
        <v>2415</v>
      </c>
      <c r="K10" s="430" t="s">
        <v>7030</v>
      </c>
      <c r="L10" s="470" t="s">
        <v>7031</v>
      </c>
      <c r="M10" s="435" t="s">
        <v>4701</v>
      </c>
      <c r="N10" s="430" t="s">
        <v>4702</v>
      </c>
      <c r="O10" s="470" t="s">
        <v>7031</v>
      </c>
    </row>
    <row r="11" spans="1:15" ht="12.75">
      <c r="A11" s="1"/>
      <c r="B11" s="513" t="str">
        <f>Texte!A1052</f>
        <v>Beispiel: Kiwi</v>
      </c>
      <c r="C11" s="514"/>
      <c r="D11" s="847">
        <v>0.4</v>
      </c>
      <c r="E11" s="848">
        <v>50</v>
      </c>
      <c r="F11" s="849">
        <v>15</v>
      </c>
      <c r="G11" s="849">
        <v>75</v>
      </c>
      <c r="H11" s="849">
        <v>5</v>
      </c>
      <c r="I11" s="848">
        <f t="shared" ref="I11:I49" si="0">IF(OR(ISBLANK(B11),ISBLANK(D11)),"",ROUND(D11*E11,1))</f>
        <v>20</v>
      </c>
      <c r="J11" s="849">
        <f>IF(OR(ISBLANK(B11),ISBLANK(D11)),"",ROUND(D11*F11,1))</f>
        <v>6</v>
      </c>
      <c r="K11" s="849">
        <f>IF(OR(ISBLANK(B11),ISBLANK(D11)),"",ROUND(D11*G11,1))</f>
        <v>30</v>
      </c>
      <c r="L11" s="850">
        <f>IF(OR(ISBLANK(B11),ISBLANK(D11)),"",ROUND(D11*H11,1))</f>
        <v>2</v>
      </c>
      <c r="M11" s="1837">
        <v>1</v>
      </c>
      <c r="N11" s="1838">
        <v>1</v>
      </c>
      <c r="O11" s="1839">
        <v>1</v>
      </c>
    </row>
    <row r="12" spans="1:15" ht="12.75">
      <c r="A12" s="1"/>
      <c r="B12" s="352"/>
      <c r="C12" s="351"/>
      <c r="D12" s="346"/>
      <c r="E12" s="851" t="str">
        <f>IF(B12="","",VLOOKUP(B12,D_ObstBeeren!$B$4:$G$20,3,FALSE))</f>
        <v/>
      </c>
      <c r="F12" s="852" t="str">
        <f>IF(B12="","",VLOOKUP(B12,D_ObstBeeren!$B$4:$G$20,4,FALSE))</f>
        <v/>
      </c>
      <c r="G12" s="852" t="str">
        <f>IF(B12="","",VLOOKUP(B12,D_ObstBeeren!$B$4:$G$20,5,FALSE))</f>
        <v/>
      </c>
      <c r="H12" s="852" t="str">
        <f>IF(B12="","",VLOOKUP(B12,D_ObstBeeren!$B$4:$G$20,6,FALSE))</f>
        <v/>
      </c>
      <c r="I12" s="851" t="str">
        <f t="shared" si="0"/>
        <v/>
      </c>
      <c r="J12" s="852" t="str">
        <f>IF(OR(ISBLANK(B12),ISBLANK(D12)),"",(ROUND(D12*F12,1))*M12)</f>
        <v/>
      </c>
      <c r="K12" s="852" t="str">
        <f>IF(OR(ISBLANK(B12),ISBLANK(D12)),"",(ROUND(D12*G12,1))*N12)</f>
        <v/>
      </c>
      <c r="L12" s="853" t="str">
        <f>IF(OR(ISBLANK(B12),ISBLANK(D12)),"",(ROUND(D12*H12,1))*O12)</f>
        <v/>
      </c>
      <c r="M12" s="1840">
        <v>1</v>
      </c>
      <c r="N12" s="1841">
        <v>1</v>
      </c>
      <c r="O12" s="1842">
        <v>1</v>
      </c>
    </row>
    <row r="13" spans="1:15" ht="12.75">
      <c r="A13" s="1"/>
      <c r="B13" s="352"/>
      <c r="C13" s="351"/>
      <c r="D13" s="346"/>
      <c r="E13" s="851" t="str">
        <f>IF(B13="","",VLOOKUP(B13,D_ObstBeeren!$B$4:$G$20,3,FALSE))</f>
        <v/>
      </c>
      <c r="F13" s="852" t="str">
        <f>IF(B13="","",VLOOKUP(B13,D_ObstBeeren!$B$4:$G$20,4,FALSE))</f>
        <v/>
      </c>
      <c r="G13" s="852" t="str">
        <f>IF(B13="","",VLOOKUP(B13,D_ObstBeeren!$B$4:$G$20,5,FALSE))</f>
        <v/>
      </c>
      <c r="H13" s="852" t="str">
        <f>IF(B13="","",VLOOKUP(B13,D_ObstBeeren!$B$4:$G$20,6,FALSE))</f>
        <v/>
      </c>
      <c r="I13" s="851" t="str">
        <f t="shared" si="0"/>
        <v/>
      </c>
      <c r="J13" s="852" t="str">
        <f t="shared" ref="J13:J25" si="1">IF(OR(ISBLANK(B13),ISBLANK(D13)),"",(ROUND(D13*F13,1))*M13)</f>
        <v/>
      </c>
      <c r="K13" s="852" t="str">
        <f t="shared" ref="K13:K25" si="2">IF(OR(ISBLANK(B13),ISBLANK(D13)),"",(ROUND(D13*G13,1))*N13)</f>
        <v/>
      </c>
      <c r="L13" s="853" t="str">
        <f t="shared" ref="L13:L25" si="3">IF(OR(ISBLANK(B13),ISBLANK(D13)),"",(ROUND(D13*H13,1))*O13)</f>
        <v/>
      </c>
      <c r="M13" s="1840">
        <v>1</v>
      </c>
      <c r="N13" s="1841">
        <v>1</v>
      </c>
      <c r="O13" s="1842">
        <v>1</v>
      </c>
    </row>
    <row r="14" spans="1:15" ht="12.75">
      <c r="A14" s="1"/>
      <c r="B14" s="352"/>
      <c r="C14" s="351"/>
      <c r="D14" s="346"/>
      <c r="E14" s="851" t="str">
        <f>IF(B14="","",VLOOKUP(B14,D_ObstBeeren!$B$4:$G$20,3,FALSE))</f>
        <v/>
      </c>
      <c r="F14" s="852" t="str">
        <f>IF(B14="","",VLOOKUP(B14,D_ObstBeeren!$B$4:$G$20,4,FALSE))</f>
        <v/>
      </c>
      <c r="G14" s="852" t="str">
        <f>IF(B14="","",VLOOKUP(B14,D_ObstBeeren!$B$4:$G$20,5,FALSE))</f>
        <v/>
      </c>
      <c r="H14" s="852" t="str">
        <f>IF(B14="","",VLOOKUP(B14,D_ObstBeeren!$B$4:$G$20,6,FALSE))</f>
        <v/>
      </c>
      <c r="I14" s="851" t="str">
        <f t="shared" si="0"/>
        <v/>
      </c>
      <c r="J14" s="852" t="str">
        <f t="shared" si="1"/>
        <v/>
      </c>
      <c r="K14" s="852" t="str">
        <f t="shared" si="2"/>
        <v/>
      </c>
      <c r="L14" s="853" t="str">
        <f t="shared" si="3"/>
        <v/>
      </c>
      <c r="M14" s="1840">
        <v>1</v>
      </c>
      <c r="N14" s="1841">
        <v>1</v>
      </c>
      <c r="O14" s="1842">
        <v>1</v>
      </c>
    </row>
    <row r="15" spans="1:15" ht="12.75">
      <c r="A15" s="1"/>
      <c r="B15" s="352"/>
      <c r="C15" s="351"/>
      <c r="D15" s="346"/>
      <c r="E15" s="851" t="str">
        <f>IF(B15="","",VLOOKUP(B15,D_ObstBeeren!$B$4:$G$20,3,FALSE))</f>
        <v/>
      </c>
      <c r="F15" s="852" t="str">
        <f>IF(B15="","",VLOOKUP(B15,D_ObstBeeren!$B$4:$G$20,4,FALSE))</f>
        <v/>
      </c>
      <c r="G15" s="852" t="str">
        <f>IF(B15="","",VLOOKUP(B15,D_ObstBeeren!$B$4:$G$20,5,FALSE))</f>
        <v/>
      </c>
      <c r="H15" s="852" t="str">
        <f>IF(B15="","",VLOOKUP(B15,D_ObstBeeren!$B$4:$G$20,6,FALSE))</f>
        <v/>
      </c>
      <c r="I15" s="851" t="str">
        <f t="shared" si="0"/>
        <v/>
      </c>
      <c r="J15" s="852" t="str">
        <f t="shared" si="1"/>
        <v/>
      </c>
      <c r="K15" s="852" t="str">
        <f t="shared" si="2"/>
        <v/>
      </c>
      <c r="L15" s="853" t="str">
        <f t="shared" si="3"/>
        <v/>
      </c>
      <c r="M15" s="1840">
        <v>1</v>
      </c>
      <c r="N15" s="1841">
        <v>1</v>
      </c>
      <c r="O15" s="1842">
        <v>1</v>
      </c>
    </row>
    <row r="16" spans="1:15" ht="12.75">
      <c r="A16" s="1"/>
      <c r="B16" s="352"/>
      <c r="C16" s="351"/>
      <c r="D16" s="346"/>
      <c r="E16" s="851" t="str">
        <f>IF(B16="","",VLOOKUP(B16,D_ObstBeeren!$B$4:$G$20,3,FALSE))</f>
        <v/>
      </c>
      <c r="F16" s="852" t="str">
        <f>IF(B16="","",VLOOKUP(B16,D_ObstBeeren!$B$4:$G$20,4,FALSE))</f>
        <v/>
      </c>
      <c r="G16" s="852" t="str">
        <f>IF(B16="","",VLOOKUP(B16,D_ObstBeeren!$B$4:$G$20,5,FALSE))</f>
        <v/>
      </c>
      <c r="H16" s="852" t="str">
        <f>IF(B16="","",VLOOKUP(B16,D_ObstBeeren!$B$4:$G$20,6,FALSE))</f>
        <v/>
      </c>
      <c r="I16" s="851" t="str">
        <f t="shared" si="0"/>
        <v/>
      </c>
      <c r="J16" s="852" t="str">
        <f t="shared" si="1"/>
        <v/>
      </c>
      <c r="K16" s="852" t="str">
        <f t="shared" si="2"/>
        <v/>
      </c>
      <c r="L16" s="853" t="str">
        <f t="shared" si="3"/>
        <v/>
      </c>
      <c r="M16" s="1840">
        <v>1</v>
      </c>
      <c r="N16" s="1841">
        <v>1</v>
      </c>
      <c r="O16" s="1842">
        <v>1</v>
      </c>
    </row>
    <row r="17" spans="1:15" ht="12.75">
      <c r="A17" s="1"/>
      <c r="B17" s="352"/>
      <c r="C17" s="351"/>
      <c r="D17" s="346"/>
      <c r="E17" s="851" t="str">
        <f>IF(B17="","",VLOOKUP(B17,D_ObstBeeren!$B$4:$G$20,3,FALSE))</f>
        <v/>
      </c>
      <c r="F17" s="852" t="str">
        <f>IF(B17="","",VLOOKUP(B17,D_ObstBeeren!$B$4:$G$20,4,FALSE))</f>
        <v/>
      </c>
      <c r="G17" s="852" t="str">
        <f>IF(B17="","",VLOOKUP(B17,D_ObstBeeren!$B$4:$G$20,5,FALSE))</f>
        <v/>
      </c>
      <c r="H17" s="852" t="str">
        <f>IF(B17="","",VLOOKUP(B17,D_ObstBeeren!$B$4:$G$20,6,FALSE))</f>
        <v/>
      </c>
      <c r="I17" s="851" t="str">
        <f t="shared" si="0"/>
        <v/>
      </c>
      <c r="J17" s="852" t="str">
        <f t="shared" si="1"/>
        <v/>
      </c>
      <c r="K17" s="852" t="str">
        <f t="shared" si="2"/>
        <v/>
      </c>
      <c r="L17" s="853" t="str">
        <f t="shared" si="3"/>
        <v/>
      </c>
      <c r="M17" s="1840">
        <v>1</v>
      </c>
      <c r="N17" s="1841">
        <v>1</v>
      </c>
      <c r="O17" s="1842">
        <v>1</v>
      </c>
    </row>
    <row r="18" spans="1:15" ht="12.75">
      <c r="A18" s="1"/>
      <c r="B18" s="352"/>
      <c r="C18" s="351"/>
      <c r="D18" s="346"/>
      <c r="E18" s="851" t="str">
        <f>IF(B18="","",VLOOKUP(B18,D_ObstBeeren!$B$4:$G$20,3,FALSE))</f>
        <v/>
      </c>
      <c r="F18" s="852" t="str">
        <f>IF(B18="","",VLOOKUP(B18,D_ObstBeeren!$B$4:$G$20,4,FALSE))</f>
        <v/>
      </c>
      <c r="G18" s="852" t="str">
        <f>IF(B18="","",VLOOKUP(B18,D_ObstBeeren!$B$4:$G$20,5,FALSE))</f>
        <v/>
      </c>
      <c r="H18" s="852" t="str">
        <f>IF(B18="","",VLOOKUP(B18,D_ObstBeeren!$B$4:$G$20,6,FALSE))</f>
        <v/>
      </c>
      <c r="I18" s="851" t="str">
        <f t="shared" si="0"/>
        <v/>
      </c>
      <c r="J18" s="852" t="str">
        <f t="shared" si="1"/>
        <v/>
      </c>
      <c r="K18" s="852" t="str">
        <f t="shared" si="2"/>
        <v/>
      </c>
      <c r="L18" s="853" t="str">
        <f t="shared" si="3"/>
        <v/>
      </c>
      <c r="M18" s="1840">
        <v>1</v>
      </c>
      <c r="N18" s="1841">
        <v>1</v>
      </c>
      <c r="O18" s="1842">
        <v>1</v>
      </c>
    </row>
    <row r="19" spans="1:15" ht="12.75">
      <c r="A19" s="1"/>
      <c r="B19" s="352"/>
      <c r="C19" s="351"/>
      <c r="D19" s="346"/>
      <c r="E19" s="851" t="str">
        <f>IF(B19="","",VLOOKUP(B19,D_ObstBeeren!$B$4:$G$20,3,FALSE))</f>
        <v/>
      </c>
      <c r="F19" s="852" t="str">
        <f>IF(B19="","",VLOOKUP(B19,D_ObstBeeren!$B$4:$G$20,4,FALSE))</f>
        <v/>
      </c>
      <c r="G19" s="852" t="str">
        <f>IF(B19="","",VLOOKUP(B19,D_ObstBeeren!$B$4:$G$20,5,FALSE))</f>
        <v/>
      </c>
      <c r="H19" s="852" t="str">
        <f>IF(B19="","",VLOOKUP(B19,D_ObstBeeren!$B$4:$G$20,6,FALSE))</f>
        <v/>
      </c>
      <c r="I19" s="851" t="str">
        <f t="shared" si="0"/>
        <v/>
      </c>
      <c r="J19" s="852" t="str">
        <f t="shared" si="1"/>
        <v/>
      </c>
      <c r="K19" s="852" t="str">
        <f t="shared" si="2"/>
        <v/>
      </c>
      <c r="L19" s="853" t="str">
        <f t="shared" si="3"/>
        <v/>
      </c>
      <c r="M19" s="1840">
        <v>1</v>
      </c>
      <c r="N19" s="1841">
        <v>1</v>
      </c>
      <c r="O19" s="1842">
        <v>1</v>
      </c>
    </row>
    <row r="20" spans="1:15" ht="12.75">
      <c r="A20" s="1"/>
      <c r="B20" s="352"/>
      <c r="C20" s="351"/>
      <c r="D20" s="346"/>
      <c r="E20" s="851" t="str">
        <f>IF(B20="","",VLOOKUP(B20,D_ObstBeeren!$B$4:$G$20,3,FALSE))</f>
        <v/>
      </c>
      <c r="F20" s="852" t="str">
        <f>IF(B20="","",VLOOKUP(B20,D_ObstBeeren!$B$4:$G$20,4,FALSE))</f>
        <v/>
      </c>
      <c r="G20" s="852" t="str">
        <f>IF(B20="","",VLOOKUP(B20,D_ObstBeeren!$B$4:$G$20,5,FALSE))</f>
        <v/>
      </c>
      <c r="H20" s="852" t="str">
        <f>IF(B20="","",VLOOKUP(B20,D_ObstBeeren!$B$4:$G$20,6,FALSE))</f>
        <v/>
      </c>
      <c r="I20" s="851" t="str">
        <f t="shared" si="0"/>
        <v/>
      </c>
      <c r="J20" s="852" t="str">
        <f t="shared" si="1"/>
        <v/>
      </c>
      <c r="K20" s="852" t="str">
        <f t="shared" si="2"/>
        <v/>
      </c>
      <c r="L20" s="853" t="str">
        <f t="shared" si="3"/>
        <v/>
      </c>
      <c r="M20" s="1840">
        <v>1</v>
      </c>
      <c r="N20" s="1841">
        <v>1</v>
      </c>
      <c r="O20" s="1842">
        <v>1</v>
      </c>
    </row>
    <row r="21" spans="1:15" ht="12.75">
      <c r="A21" s="1"/>
      <c r="B21" s="352"/>
      <c r="C21" s="351"/>
      <c r="D21" s="346"/>
      <c r="E21" s="851" t="str">
        <f>IF(B21="","",VLOOKUP(B21,D_ObstBeeren!$B$4:$G$20,3,FALSE))</f>
        <v/>
      </c>
      <c r="F21" s="852" t="str">
        <f>IF(B21="","",VLOOKUP(B21,D_ObstBeeren!$B$4:$G$20,4,FALSE))</f>
        <v/>
      </c>
      <c r="G21" s="852" t="str">
        <f>IF(B21="","",VLOOKUP(B21,D_ObstBeeren!$B$4:$G$20,5,FALSE))</f>
        <v/>
      </c>
      <c r="H21" s="852" t="str">
        <f>IF(B21="","",VLOOKUP(B21,D_ObstBeeren!$B$4:$G$20,6,FALSE))</f>
        <v/>
      </c>
      <c r="I21" s="851" t="str">
        <f t="shared" si="0"/>
        <v/>
      </c>
      <c r="J21" s="852" t="str">
        <f t="shared" si="1"/>
        <v/>
      </c>
      <c r="K21" s="852" t="str">
        <f t="shared" si="2"/>
        <v/>
      </c>
      <c r="L21" s="853" t="str">
        <f t="shared" si="3"/>
        <v/>
      </c>
      <c r="M21" s="1840">
        <v>1</v>
      </c>
      <c r="N21" s="1841">
        <v>1</v>
      </c>
      <c r="O21" s="1842">
        <v>1</v>
      </c>
    </row>
    <row r="22" spans="1:15" ht="12.75">
      <c r="A22" s="1"/>
      <c r="B22" s="352"/>
      <c r="C22" s="351"/>
      <c r="D22" s="346"/>
      <c r="E22" s="851" t="str">
        <f>IF(B22="","",VLOOKUP(B22,D_ObstBeeren!$B$4:$G$20,3,FALSE))</f>
        <v/>
      </c>
      <c r="F22" s="852" t="str">
        <f>IF(B22="","",VLOOKUP(B22,D_ObstBeeren!$B$4:$G$20,4,FALSE))</f>
        <v/>
      </c>
      <c r="G22" s="852" t="str">
        <f>IF(B22="","",VLOOKUP(B22,D_ObstBeeren!$B$4:$G$20,5,FALSE))</f>
        <v/>
      </c>
      <c r="H22" s="852" t="str">
        <f>IF(B22="","",VLOOKUP(B22,D_ObstBeeren!$B$4:$G$20,6,FALSE))</f>
        <v/>
      </c>
      <c r="I22" s="851" t="str">
        <f t="shared" si="0"/>
        <v/>
      </c>
      <c r="J22" s="852" t="str">
        <f t="shared" si="1"/>
        <v/>
      </c>
      <c r="K22" s="852" t="str">
        <f t="shared" si="2"/>
        <v/>
      </c>
      <c r="L22" s="853" t="str">
        <f t="shared" si="3"/>
        <v/>
      </c>
      <c r="M22" s="1840">
        <v>1</v>
      </c>
      <c r="N22" s="1841">
        <v>1</v>
      </c>
      <c r="O22" s="1842">
        <v>1</v>
      </c>
    </row>
    <row r="23" spans="1:15" ht="12.75">
      <c r="A23" s="1"/>
      <c r="B23" s="352"/>
      <c r="C23" s="351"/>
      <c r="D23" s="346"/>
      <c r="E23" s="851" t="str">
        <f>IF(B23="","",VLOOKUP(B23,D_ObstBeeren!$B$4:$G$20,3,FALSE))</f>
        <v/>
      </c>
      <c r="F23" s="852" t="str">
        <f>IF(B23="","",VLOOKUP(B23,D_ObstBeeren!$B$4:$G$20,4,FALSE))</f>
        <v/>
      </c>
      <c r="G23" s="852" t="str">
        <f>IF(B23="","",VLOOKUP(B23,D_ObstBeeren!$B$4:$G$20,5,FALSE))</f>
        <v/>
      </c>
      <c r="H23" s="852" t="str">
        <f>IF(B23="","",VLOOKUP(B23,D_ObstBeeren!$B$4:$G$20,6,FALSE))</f>
        <v/>
      </c>
      <c r="I23" s="851" t="str">
        <f t="shared" si="0"/>
        <v/>
      </c>
      <c r="J23" s="852" t="str">
        <f t="shared" si="1"/>
        <v/>
      </c>
      <c r="K23" s="852" t="str">
        <f t="shared" si="2"/>
        <v/>
      </c>
      <c r="L23" s="853" t="str">
        <f t="shared" si="3"/>
        <v/>
      </c>
      <c r="M23" s="1840">
        <v>1</v>
      </c>
      <c r="N23" s="1841">
        <v>1</v>
      </c>
      <c r="O23" s="1842">
        <v>1</v>
      </c>
    </row>
    <row r="24" spans="1:15" ht="12.75">
      <c r="A24" s="1"/>
      <c r="B24" s="352"/>
      <c r="C24" s="351"/>
      <c r="D24" s="346"/>
      <c r="E24" s="851" t="str">
        <f>IF(B24="","",VLOOKUP(B24,D_ObstBeeren!$B$4:$G$20,3,FALSE))</f>
        <v/>
      </c>
      <c r="F24" s="852" t="str">
        <f>IF(B24="","",VLOOKUP(B24,D_ObstBeeren!$B$4:$G$20,4,FALSE))</f>
        <v/>
      </c>
      <c r="G24" s="852" t="str">
        <f>IF(B24="","",VLOOKUP(B24,D_ObstBeeren!$B$4:$G$20,5,FALSE))</f>
        <v/>
      </c>
      <c r="H24" s="852" t="str">
        <f>IF(B24="","",VLOOKUP(B24,D_ObstBeeren!$B$4:$G$20,6,FALSE))</f>
        <v/>
      </c>
      <c r="I24" s="851" t="str">
        <f t="shared" si="0"/>
        <v/>
      </c>
      <c r="J24" s="852" t="str">
        <f t="shared" si="1"/>
        <v/>
      </c>
      <c r="K24" s="852" t="str">
        <f t="shared" si="2"/>
        <v/>
      </c>
      <c r="L24" s="853" t="str">
        <f t="shared" si="3"/>
        <v/>
      </c>
      <c r="M24" s="1840">
        <v>1</v>
      </c>
      <c r="N24" s="1841">
        <v>1</v>
      </c>
      <c r="O24" s="1842">
        <v>1</v>
      </c>
    </row>
    <row r="25" spans="1:15" ht="13.5" thickBot="1">
      <c r="A25" s="1"/>
      <c r="B25" s="932"/>
      <c r="C25" s="931"/>
      <c r="D25" s="346"/>
      <c r="E25" s="929"/>
      <c r="F25" s="930"/>
      <c r="G25" s="930"/>
      <c r="H25" s="930"/>
      <c r="I25" s="851" t="str">
        <f t="shared" si="0"/>
        <v/>
      </c>
      <c r="J25" s="852" t="str">
        <f t="shared" si="1"/>
        <v/>
      </c>
      <c r="K25" s="852" t="str">
        <f t="shared" si="2"/>
        <v/>
      </c>
      <c r="L25" s="853" t="str">
        <f t="shared" si="3"/>
        <v/>
      </c>
      <c r="M25" s="1843">
        <v>1</v>
      </c>
      <c r="N25" s="1844">
        <v>1</v>
      </c>
      <c r="O25" s="1845">
        <v>1</v>
      </c>
    </row>
    <row r="26" spans="1:15" ht="13.5" thickBot="1">
      <c r="A26" s="1"/>
      <c r="B26" s="299"/>
      <c r="C26" s="195" t="str">
        <f>Texte!A1053</f>
        <v>Anbaufläche (Hektaren):</v>
      </c>
      <c r="D26" s="879">
        <f>SUM(D12:D25)</f>
        <v>0</v>
      </c>
      <c r="E26" s="299"/>
      <c r="F26" s="299"/>
      <c r="G26" s="770"/>
      <c r="H26" s="195" t="str">
        <f>Texte!A1054</f>
        <v>Nährstoffbedarf Obst:</v>
      </c>
      <c r="I26" s="854">
        <f>SUM(I12:I25)</f>
        <v>0</v>
      </c>
      <c r="J26" s="854">
        <f>SUM(J12:J25)</f>
        <v>0</v>
      </c>
      <c r="K26" s="854">
        <f>SUM(K12:K25)</f>
        <v>0</v>
      </c>
      <c r="L26" s="855">
        <f>SUM(L12:L25)</f>
        <v>0</v>
      </c>
    </row>
    <row r="27" spans="1:15" ht="12.75">
      <c r="A27" s="1"/>
      <c r="B27" s="80"/>
      <c r="C27" s="328"/>
      <c r="D27" s="1824" t="str">
        <f>IF(AND(D26 = 0, 'SB2'!I59 = ""),"",IF(D26&lt;&gt;'SB2'!I59,Texte!A1059,""))</f>
        <v/>
      </c>
      <c r="E27" s="80"/>
      <c r="F27" s="80"/>
      <c r="G27" s="408"/>
      <c r="H27" s="80"/>
      <c r="I27" s="846"/>
      <c r="J27" s="846"/>
      <c r="K27" s="846"/>
      <c r="L27" s="846"/>
    </row>
    <row r="28" spans="1:15" ht="16.149999999999999" customHeight="1">
      <c r="A28" s="1"/>
      <c r="B28" s="45" t="str">
        <f>Texte!A1055</f>
        <v>Netto-Nährstoffbedarf Beeren gemäss "Handbuch Beeren"</v>
      </c>
      <c r="C28" s="23"/>
      <c r="D28" s="23"/>
      <c r="E28" s="23"/>
      <c r="F28" s="23"/>
      <c r="G28" s="23"/>
      <c r="H28" s="23"/>
      <c r="I28" s="23"/>
      <c r="J28" s="23"/>
      <c r="K28" s="23"/>
      <c r="L28" s="23"/>
      <c r="O28" s="1823"/>
    </row>
    <row r="29" spans="1:15" ht="7.15" customHeight="1">
      <c r="A29" s="1"/>
      <c r="B29" s="45"/>
      <c r="C29" s="23"/>
      <c r="D29" s="23"/>
      <c r="E29" s="23"/>
      <c r="F29" s="23"/>
      <c r="G29" s="23"/>
      <c r="H29" s="23"/>
      <c r="I29" s="23"/>
      <c r="J29" s="23"/>
      <c r="K29" s="23"/>
      <c r="L29" s="23"/>
    </row>
    <row r="30" spans="1:15" ht="12.75">
      <c r="A30" s="1"/>
      <c r="B30" s="298"/>
      <c r="C30" s="299"/>
      <c r="D30" s="489"/>
      <c r="E30" s="409" t="str">
        <f>Texte!A1046</f>
        <v>Netto-Nährstoffbedarf</v>
      </c>
      <c r="F30" s="465"/>
      <c r="G30" s="465"/>
      <c r="H30" s="465"/>
      <c r="I30" s="511" t="str">
        <f>Texte!A1049</f>
        <v>Netto-Nährstoffbedarf</v>
      </c>
      <c r="J30" s="465"/>
      <c r="K30" s="465"/>
      <c r="L30" s="482"/>
      <c r="M30" s="3435" t="str">
        <f>Texte!A984</f>
        <v>Korrektur-</v>
      </c>
      <c r="N30" s="3436"/>
      <c r="O30" s="3437"/>
    </row>
    <row r="31" spans="1:15" ht="12.75">
      <c r="A31" s="1"/>
      <c r="B31" s="469"/>
      <c r="C31" s="109"/>
      <c r="D31" s="467" t="str">
        <f>Texte!A1044</f>
        <v>Fläche</v>
      </c>
      <c r="E31" s="412" t="str">
        <f>Texte!A1047</f>
        <v>in</v>
      </c>
      <c r="F31" s="413"/>
      <c r="G31" s="413"/>
      <c r="H31" s="413"/>
      <c r="I31" s="512" t="str">
        <f>Texte!A1050</f>
        <v>in</v>
      </c>
      <c r="J31" s="413"/>
      <c r="K31" s="413"/>
      <c r="L31" s="486"/>
      <c r="M31" s="3438" t="str">
        <f>Texte!A985</f>
        <v>faktoren</v>
      </c>
      <c r="N31" s="3439"/>
      <c r="O31" s="3440"/>
    </row>
    <row r="32" spans="1:15" ht="12.75">
      <c r="A32" s="1"/>
      <c r="B32" s="469" t="str">
        <f>Texte!A1045</f>
        <v>Kultur</v>
      </c>
      <c r="C32" s="109"/>
      <c r="D32" s="467" t="s">
        <v>5675</v>
      </c>
      <c r="E32" s="412" t="str">
        <f>Texte!A1048</f>
        <v>kg pro ha</v>
      </c>
      <c r="F32" s="413"/>
      <c r="G32" s="413"/>
      <c r="H32" s="413"/>
      <c r="I32" s="512" t="str">
        <f>Texte!A1051</f>
        <v xml:space="preserve">kg pro Jahr </v>
      </c>
      <c r="J32" s="413"/>
      <c r="K32" s="413"/>
      <c r="L32" s="486"/>
      <c r="M32" s="772"/>
      <c r="N32" s="674"/>
      <c r="O32" s="671"/>
    </row>
    <row r="33" spans="1:15" ht="12.75">
      <c r="A33" s="1"/>
      <c r="B33" s="354"/>
      <c r="C33" s="353"/>
      <c r="D33" s="435"/>
      <c r="E33" s="435" t="s">
        <v>1511</v>
      </c>
      <c r="F33" s="430" t="s">
        <v>2415</v>
      </c>
      <c r="G33" s="430" t="s">
        <v>7030</v>
      </c>
      <c r="H33" s="430" t="s">
        <v>7031</v>
      </c>
      <c r="I33" s="435" t="s">
        <v>1511</v>
      </c>
      <c r="J33" s="430" t="s">
        <v>2415</v>
      </c>
      <c r="K33" s="430" t="s">
        <v>7030</v>
      </c>
      <c r="L33" s="470" t="s">
        <v>7031</v>
      </c>
      <c r="M33" s="430" t="s">
        <v>4701</v>
      </c>
      <c r="N33" s="430" t="s">
        <v>4702</v>
      </c>
      <c r="O33" s="470" t="s">
        <v>7031</v>
      </c>
    </row>
    <row r="34" spans="1:15" ht="12.75">
      <c r="A34" s="1"/>
      <c r="B34" s="513" t="str">
        <f>Texte!A1057</f>
        <v>Beispiel: Stachelbeeren</v>
      </c>
      <c r="C34" s="514"/>
      <c r="D34" s="847">
        <v>0.2</v>
      </c>
      <c r="E34" s="848">
        <v>60</v>
      </c>
      <c r="F34" s="849">
        <v>35</v>
      </c>
      <c r="G34" s="849">
        <v>85</v>
      </c>
      <c r="H34" s="849">
        <v>15</v>
      </c>
      <c r="I34" s="848">
        <f t="shared" si="0"/>
        <v>12</v>
      </c>
      <c r="J34" s="849">
        <f>IF(OR(ISBLANK(B34),ISBLANK(D34)),"",ROUND(D34*F34,1))</f>
        <v>7</v>
      </c>
      <c r="K34" s="849">
        <f>IF(OR(ISBLANK(B34),ISBLANK(D34)),"",ROUND(D34*G34,1))</f>
        <v>17</v>
      </c>
      <c r="L34" s="850">
        <f>IF(OR(ISBLANK(B34),ISBLANK(D34)),"",ROUND(D34*H34,1))</f>
        <v>3</v>
      </c>
      <c r="M34" s="1837">
        <v>1</v>
      </c>
      <c r="N34" s="1838">
        <v>1</v>
      </c>
      <c r="O34" s="1839">
        <v>1</v>
      </c>
    </row>
    <row r="35" spans="1:15" ht="12.75">
      <c r="A35" s="1"/>
      <c r="B35" s="352" t="s">
        <v>6100</v>
      </c>
      <c r="C35" s="351"/>
      <c r="D35" s="346">
        <v>0.23</v>
      </c>
      <c r="E35" s="851">
        <f>IF(B35="","",VLOOKUP(B35,D_ObstBeeren!$B$25:$G$40,3,FALSE))</f>
        <v>100</v>
      </c>
      <c r="F35" s="852">
        <f>IF(B35="","",VLOOKUP(B35,D_ObstBeeren!$B$25:$G$40,4,FALSE))</f>
        <v>34</v>
      </c>
      <c r="G35" s="852">
        <f>IF(B35="","",VLOOKUP(B35,D_ObstBeeren!$B$25:$G$40,5,FALSE))</f>
        <v>121</v>
      </c>
      <c r="H35" s="852">
        <f>IF(B35="","",VLOOKUP(B35,D_ObstBeeren!$B$25:$G$40,6,FALSE))</f>
        <v>20</v>
      </c>
      <c r="I35" s="851">
        <f t="shared" si="0"/>
        <v>22</v>
      </c>
      <c r="J35" s="852">
        <f>IF(OR(ISBLANK(B35),ISBLANK(D35)),"",(ROUND(D35*F35,1))*M35)</f>
        <v>7.5</v>
      </c>
      <c r="K35" s="852">
        <f>IF(OR(ISBLANK(B35),ISBLANK(D35)),"",(ROUND(D35*G35,1))*N35)</f>
        <v>26.6</v>
      </c>
      <c r="L35" s="853">
        <f>IF(OR(ISBLANK(B35),ISBLANK(D35)),"",(ROUND(D35*H35,1))*O35)</f>
        <v>4.4000000000000004</v>
      </c>
      <c r="M35" s="1840">
        <v>1</v>
      </c>
      <c r="N35" s="1841">
        <v>1</v>
      </c>
      <c r="O35" s="1842">
        <v>1</v>
      </c>
    </row>
    <row r="36" spans="1:15" ht="12.75">
      <c r="A36" s="1"/>
      <c r="B36" s="352"/>
      <c r="C36" s="351"/>
      <c r="D36" s="346"/>
      <c r="E36" s="851" t="str">
        <f>IF(B36="","",VLOOKUP(B36,D_ObstBeeren!$B$25:$G$40,3,FALSE))</f>
        <v/>
      </c>
      <c r="F36" s="852" t="str">
        <f>IF(B36="","",VLOOKUP(B36,D_ObstBeeren!$B$25:$G$40,4,FALSE))</f>
        <v/>
      </c>
      <c r="G36" s="852" t="str">
        <f>IF(B36="","",VLOOKUP(B36,D_ObstBeeren!$B$25:$G$40,5,FALSE))</f>
        <v/>
      </c>
      <c r="H36" s="852" t="str">
        <f>IF(B36="","",VLOOKUP(B36,D_ObstBeeren!$B$25:$G$40,6,FALSE))</f>
        <v/>
      </c>
      <c r="I36" s="851" t="str">
        <f t="shared" si="0"/>
        <v/>
      </c>
      <c r="J36" s="852" t="str">
        <f t="shared" ref="J36:J49" si="4">IF(OR(ISBLANK(B36),ISBLANK(D36)),"",(ROUND(D36*F36,1))*M36)</f>
        <v/>
      </c>
      <c r="K36" s="852" t="str">
        <f t="shared" ref="K36:K49" si="5">IF(OR(ISBLANK(B36),ISBLANK(D36)),"",(ROUND(D36*G36,1))*N36)</f>
        <v/>
      </c>
      <c r="L36" s="853" t="str">
        <f t="shared" ref="L36:L49" si="6">IF(OR(ISBLANK(B36),ISBLANK(D36)),"",(ROUND(D36*H36,1))*O36)</f>
        <v/>
      </c>
      <c r="M36" s="1840">
        <v>1</v>
      </c>
      <c r="N36" s="1841">
        <v>1</v>
      </c>
      <c r="O36" s="1842">
        <v>1</v>
      </c>
    </row>
    <row r="37" spans="1:15" ht="12.75">
      <c r="A37" s="1"/>
      <c r="B37" s="352"/>
      <c r="C37" s="351"/>
      <c r="D37" s="346"/>
      <c r="E37" s="851" t="str">
        <f>IF(B37="","",VLOOKUP(B37,D_ObstBeeren!$B$25:$G$40,3,FALSE))</f>
        <v/>
      </c>
      <c r="F37" s="852" t="str">
        <f>IF(B37="","",VLOOKUP(B37,D_ObstBeeren!$B$25:$G$40,4,FALSE))</f>
        <v/>
      </c>
      <c r="G37" s="852" t="str">
        <f>IF(B37="","",VLOOKUP(B37,D_ObstBeeren!$B$25:$G$40,5,FALSE))</f>
        <v/>
      </c>
      <c r="H37" s="852" t="str">
        <f>IF(B37="","",VLOOKUP(B37,D_ObstBeeren!$B$25:$G$40,6,FALSE))</f>
        <v/>
      </c>
      <c r="I37" s="851" t="str">
        <f t="shared" si="0"/>
        <v/>
      </c>
      <c r="J37" s="852" t="str">
        <f t="shared" si="4"/>
        <v/>
      </c>
      <c r="K37" s="852" t="str">
        <f t="shared" si="5"/>
        <v/>
      </c>
      <c r="L37" s="853" t="str">
        <f t="shared" si="6"/>
        <v/>
      </c>
      <c r="M37" s="1840">
        <v>1</v>
      </c>
      <c r="N37" s="1841">
        <v>1</v>
      </c>
      <c r="O37" s="1842">
        <v>1</v>
      </c>
    </row>
    <row r="38" spans="1:15" ht="12.75">
      <c r="A38" s="1"/>
      <c r="B38" s="352"/>
      <c r="C38" s="351"/>
      <c r="D38" s="346"/>
      <c r="E38" s="851" t="str">
        <f>IF(B38="","",VLOOKUP(B38,D_ObstBeeren!$B$25:$G$40,3,FALSE))</f>
        <v/>
      </c>
      <c r="F38" s="852" t="str">
        <f>IF(B38="","",VLOOKUP(B38,D_ObstBeeren!$B$25:$G$40,4,FALSE))</f>
        <v/>
      </c>
      <c r="G38" s="852" t="str">
        <f>IF(B38="","",VLOOKUP(B38,D_ObstBeeren!$B$25:$G$40,5,FALSE))</f>
        <v/>
      </c>
      <c r="H38" s="852" t="str">
        <f>IF(B38="","",VLOOKUP(B38,D_ObstBeeren!$B$25:$G$40,6,FALSE))</f>
        <v/>
      </c>
      <c r="I38" s="851" t="str">
        <f t="shared" si="0"/>
        <v/>
      </c>
      <c r="J38" s="852" t="str">
        <f t="shared" si="4"/>
        <v/>
      </c>
      <c r="K38" s="852" t="str">
        <f t="shared" si="5"/>
        <v/>
      </c>
      <c r="L38" s="853" t="str">
        <f t="shared" si="6"/>
        <v/>
      </c>
      <c r="M38" s="1840">
        <v>1</v>
      </c>
      <c r="N38" s="1841">
        <v>1</v>
      </c>
      <c r="O38" s="1842">
        <v>1</v>
      </c>
    </row>
    <row r="39" spans="1:15" ht="12.75">
      <c r="A39" s="1"/>
      <c r="B39" s="352"/>
      <c r="C39" s="351"/>
      <c r="D39" s="346"/>
      <c r="E39" s="851" t="str">
        <f>IF(B39="","",VLOOKUP(B39,D_ObstBeeren!$B$25:$G$40,3,FALSE))</f>
        <v/>
      </c>
      <c r="F39" s="852" t="str">
        <f>IF(B39="","",VLOOKUP(B39,D_ObstBeeren!$B$25:$G$40,4,FALSE))</f>
        <v/>
      </c>
      <c r="G39" s="852" t="str">
        <f>IF(B39="","",VLOOKUP(B39,D_ObstBeeren!$B$25:$G$40,5,FALSE))</f>
        <v/>
      </c>
      <c r="H39" s="852" t="str">
        <f>IF(B39="","",VLOOKUP(B39,D_ObstBeeren!$B$25:$G$40,6,FALSE))</f>
        <v/>
      </c>
      <c r="I39" s="851" t="str">
        <f t="shared" si="0"/>
        <v/>
      </c>
      <c r="J39" s="852" t="str">
        <f t="shared" si="4"/>
        <v/>
      </c>
      <c r="K39" s="852" t="str">
        <f t="shared" si="5"/>
        <v/>
      </c>
      <c r="L39" s="853" t="str">
        <f t="shared" si="6"/>
        <v/>
      </c>
      <c r="M39" s="1840">
        <v>1</v>
      </c>
      <c r="N39" s="1841">
        <v>1</v>
      </c>
      <c r="O39" s="1842">
        <v>1</v>
      </c>
    </row>
    <row r="40" spans="1:15" ht="12.75">
      <c r="A40" s="1"/>
      <c r="B40" s="352"/>
      <c r="C40" s="351"/>
      <c r="D40" s="346"/>
      <c r="E40" s="851" t="str">
        <f>IF(B40="","",VLOOKUP(B40,D_ObstBeeren!$B$25:$G$40,3,FALSE))</f>
        <v/>
      </c>
      <c r="F40" s="852" t="str">
        <f>IF(B40="","",VLOOKUP(B40,D_ObstBeeren!$B$25:$G$40,4,FALSE))</f>
        <v/>
      </c>
      <c r="G40" s="852" t="str">
        <f>IF(B40="","",VLOOKUP(B40,D_ObstBeeren!$B$25:$G$40,5,FALSE))</f>
        <v/>
      </c>
      <c r="H40" s="852" t="str">
        <f>IF(B40="","",VLOOKUP(B40,D_ObstBeeren!$B$25:$G$40,6,FALSE))</f>
        <v/>
      </c>
      <c r="I40" s="851" t="str">
        <f t="shared" si="0"/>
        <v/>
      </c>
      <c r="J40" s="852" t="str">
        <f t="shared" si="4"/>
        <v/>
      </c>
      <c r="K40" s="852" t="str">
        <f t="shared" si="5"/>
        <v/>
      </c>
      <c r="L40" s="853" t="str">
        <f t="shared" si="6"/>
        <v/>
      </c>
      <c r="M40" s="1840">
        <v>1</v>
      </c>
      <c r="N40" s="1841">
        <v>1</v>
      </c>
      <c r="O40" s="1842">
        <v>1</v>
      </c>
    </row>
    <row r="41" spans="1:15" ht="12.75">
      <c r="A41" s="1"/>
      <c r="B41" s="352"/>
      <c r="C41" s="351"/>
      <c r="D41" s="346"/>
      <c r="E41" s="851" t="str">
        <f>IF(B41="","",VLOOKUP(B41,D_ObstBeeren!$B$25:$G$40,3,FALSE))</f>
        <v/>
      </c>
      <c r="F41" s="852" t="str">
        <f>IF(B41="","",VLOOKUP(B41,D_ObstBeeren!$B$25:$G$40,4,FALSE))</f>
        <v/>
      </c>
      <c r="G41" s="852" t="str">
        <f>IF(B41="","",VLOOKUP(B41,D_ObstBeeren!$B$25:$G$40,5,FALSE))</f>
        <v/>
      </c>
      <c r="H41" s="852" t="str">
        <f>IF(B41="","",VLOOKUP(B41,D_ObstBeeren!$B$25:$G$40,6,FALSE))</f>
        <v/>
      </c>
      <c r="I41" s="851" t="str">
        <f t="shared" si="0"/>
        <v/>
      </c>
      <c r="J41" s="852" t="str">
        <f t="shared" si="4"/>
        <v/>
      </c>
      <c r="K41" s="852" t="str">
        <f t="shared" si="5"/>
        <v/>
      </c>
      <c r="L41" s="853" t="str">
        <f t="shared" si="6"/>
        <v/>
      </c>
      <c r="M41" s="1840">
        <v>1</v>
      </c>
      <c r="N41" s="1841">
        <v>1</v>
      </c>
      <c r="O41" s="1842">
        <v>1</v>
      </c>
    </row>
    <row r="42" spans="1:15" ht="12.75">
      <c r="A42" s="1"/>
      <c r="B42" s="352"/>
      <c r="C42" s="351"/>
      <c r="D42" s="346"/>
      <c r="E42" s="851" t="str">
        <f>IF(B42="","",VLOOKUP(B42,D_ObstBeeren!$B$25:$G$40,3,FALSE))</f>
        <v/>
      </c>
      <c r="F42" s="852" t="str">
        <f>IF(B42="","",VLOOKUP(B42,D_ObstBeeren!$B$25:$G$40,4,FALSE))</f>
        <v/>
      </c>
      <c r="G42" s="852" t="str">
        <f>IF(B42="","",VLOOKUP(B42,D_ObstBeeren!$B$25:$G$40,5,FALSE))</f>
        <v/>
      </c>
      <c r="H42" s="852" t="str">
        <f>IF(B42="","",VLOOKUP(B42,D_ObstBeeren!$B$25:$G$40,6,FALSE))</f>
        <v/>
      </c>
      <c r="I42" s="851" t="str">
        <f t="shared" si="0"/>
        <v/>
      </c>
      <c r="J42" s="852" t="str">
        <f t="shared" si="4"/>
        <v/>
      </c>
      <c r="K42" s="852" t="str">
        <f t="shared" si="5"/>
        <v/>
      </c>
      <c r="L42" s="853" t="str">
        <f t="shared" si="6"/>
        <v/>
      </c>
      <c r="M42" s="1840">
        <v>1</v>
      </c>
      <c r="N42" s="1841">
        <v>1</v>
      </c>
      <c r="O42" s="1842">
        <v>1</v>
      </c>
    </row>
    <row r="43" spans="1:15" ht="12.75">
      <c r="A43" s="1"/>
      <c r="B43" s="352"/>
      <c r="C43" s="351"/>
      <c r="D43" s="346"/>
      <c r="E43" s="851" t="str">
        <f>IF(B43="","",VLOOKUP(B43,D_ObstBeeren!$B$25:$G$40,3,FALSE))</f>
        <v/>
      </c>
      <c r="F43" s="852" t="str">
        <f>IF(B43="","",VLOOKUP(B43,D_ObstBeeren!$B$25:$G$40,4,FALSE))</f>
        <v/>
      </c>
      <c r="G43" s="852" t="str">
        <f>IF(B43="","",VLOOKUP(B43,D_ObstBeeren!$B$25:$G$40,5,FALSE))</f>
        <v/>
      </c>
      <c r="H43" s="852" t="str">
        <f>IF(B43="","",VLOOKUP(B43,D_ObstBeeren!$B$25:$G$40,6,FALSE))</f>
        <v/>
      </c>
      <c r="I43" s="851" t="str">
        <f t="shared" si="0"/>
        <v/>
      </c>
      <c r="J43" s="852" t="str">
        <f t="shared" si="4"/>
        <v/>
      </c>
      <c r="K43" s="852" t="str">
        <f t="shared" si="5"/>
        <v/>
      </c>
      <c r="L43" s="853" t="str">
        <f t="shared" si="6"/>
        <v/>
      </c>
      <c r="M43" s="1840">
        <v>1</v>
      </c>
      <c r="N43" s="1841">
        <v>1</v>
      </c>
      <c r="O43" s="1842">
        <v>1</v>
      </c>
    </row>
    <row r="44" spans="1:15" ht="12.75">
      <c r="A44" s="1"/>
      <c r="B44" s="352"/>
      <c r="C44" s="351"/>
      <c r="D44" s="346"/>
      <c r="E44" s="851" t="str">
        <f>IF(B44="","",VLOOKUP(B44,D_ObstBeeren!$B$25:$G$40,3,FALSE))</f>
        <v/>
      </c>
      <c r="F44" s="852" t="str">
        <f>IF(B44="","",VLOOKUP(B44,D_ObstBeeren!$B$25:$G$40,4,FALSE))</f>
        <v/>
      </c>
      <c r="G44" s="852" t="str">
        <f>IF(B44="","",VLOOKUP(B44,D_ObstBeeren!$B$25:$G$40,5,FALSE))</f>
        <v/>
      </c>
      <c r="H44" s="852" t="str">
        <f>IF(B44="","",VLOOKUP(B44,D_ObstBeeren!$B$25:$G$40,6,FALSE))</f>
        <v/>
      </c>
      <c r="I44" s="851" t="str">
        <f t="shared" si="0"/>
        <v/>
      </c>
      <c r="J44" s="852" t="str">
        <f t="shared" si="4"/>
        <v/>
      </c>
      <c r="K44" s="852" t="str">
        <f t="shared" si="5"/>
        <v/>
      </c>
      <c r="L44" s="853" t="str">
        <f t="shared" si="6"/>
        <v/>
      </c>
      <c r="M44" s="1840">
        <v>1</v>
      </c>
      <c r="N44" s="1841">
        <v>1</v>
      </c>
      <c r="O44" s="1842">
        <v>1</v>
      </c>
    </row>
    <row r="45" spans="1:15" ht="12.75">
      <c r="A45" s="1"/>
      <c r="B45" s="352"/>
      <c r="C45" s="351"/>
      <c r="D45" s="346"/>
      <c r="E45" s="851" t="str">
        <f>IF(B45="","",VLOOKUP(B45,D_ObstBeeren!$B$25:$G$40,3,FALSE))</f>
        <v/>
      </c>
      <c r="F45" s="852" t="str">
        <f>IF(B45="","",VLOOKUP(B45,D_ObstBeeren!$B$25:$G$40,4,FALSE))</f>
        <v/>
      </c>
      <c r="G45" s="852" t="str">
        <f>IF(B45="","",VLOOKUP(B45,D_ObstBeeren!$B$25:$G$40,5,FALSE))</f>
        <v/>
      </c>
      <c r="H45" s="852" t="str">
        <f>IF(B45="","",VLOOKUP(B45,D_ObstBeeren!$B$25:$G$40,6,FALSE))</f>
        <v/>
      </c>
      <c r="I45" s="851" t="str">
        <f t="shared" si="0"/>
        <v/>
      </c>
      <c r="J45" s="852" t="str">
        <f t="shared" si="4"/>
        <v/>
      </c>
      <c r="K45" s="852" t="str">
        <f t="shared" si="5"/>
        <v/>
      </c>
      <c r="L45" s="853" t="str">
        <f t="shared" si="6"/>
        <v/>
      </c>
      <c r="M45" s="1840">
        <v>1</v>
      </c>
      <c r="N45" s="1841">
        <v>1</v>
      </c>
      <c r="O45" s="1842">
        <v>1</v>
      </c>
    </row>
    <row r="46" spans="1:15" ht="12.75">
      <c r="A46" s="1"/>
      <c r="B46" s="352"/>
      <c r="C46" s="351"/>
      <c r="D46" s="346"/>
      <c r="E46" s="851" t="str">
        <f>IF(B46="","",VLOOKUP(B46,D_ObstBeeren!$B$25:$G$40,3,FALSE))</f>
        <v/>
      </c>
      <c r="F46" s="852" t="str">
        <f>IF(B46="","",VLOOKUP(B46,D_ObstBeeren!$B$25:$G$40,4,FALSE))</f>
        <v/>
      </c>
      <c r="G46" s="852" t="str">
        <f>IF(B46="","",VLOOKUP(B46,D_ObstBeeren!$B$25:$G$40,5,FALSE))</f>
        <v/>
      </c>
      <c r="H46" s="852" t="str">
        <f>IF(B46="","",VLOOKUP(B46,D_ObstBeeren!$B$25:$G$40,6,FALSE))</f>
        <v/>
      </c>
      <c r="I46" s="851" t="str">
        <f t="shared" si="0"/>
        <v/>
      </c>
      <c r="J46" s="852" t="str">
        <f t="shared" si="4"/>
        <v/>
      </c>
      <c r="K46" s="852" t="str">
        <f t="shared" si="5"/>
        <v/>
      </c>
      <c r="L46" s="853" t="str">
        <f t="shared" si="6"/>
        <v/>
      </c>
      <c r="M46" s="1840">
        <v>1</v>
      </c>
      <c r="N46" s="1841">
        <v>1</v>
      </c>
      <c r="O46" s="1842">
        <v>1</v>
      </c>
    </row>
    <row r="47" spans="1:15" ht="12.75">
      <c r="A47" s="1"/>
      <c r="B47" s="352"/>
      <c r="C47" s="351"/>
      <c r="D47" s="346"/>
      <c r="E47" s="851" t="str">
        <f>IF(B47="","",VLOOKUP(B47,D_ObstBeeren!$B$25:$G$40,3,FALSE))</f>
        <v/>
      </c>
      <c r="F47" s="852" t="str">
        <f>IF(B47="","",VLOOKUP(B47,D_ObstBeeren!$B$25:$G$40,4,FALSE))</f>
        <v/>
      </c>
      <c r="G47" s="852" t="str">
        <f>IF(B47="","",VLOOKUP(B47,D_ObstBeeren!$B$25:$G$40,5,FALSE))</f>
        <v/>
      </c>
      <c r="H47" s="852" t="str">
        <f>IF(B47="","",VLOOKUP(B47,D_ObstBeeren!$B$25:$G$40,6,FALSE))</f>
        <v/>
      </c>
      <c r="I47" s="851" t="str">
        <f t="shared" si="0"/>
        <v/>
      </c>
      <c r="J47" s="852" t="str">
        <f t="shared" si="4"/>
        <v/>
      </c>
      <c r="K47" s="852" t="str">
        <f t="shared" si="5"/>
        <v/>
      </c>
      <c r="L47" s="853" t="str">
        <f t="shared" si="6"/>
        <v/>
      </c>
      <c r="M47" s="1840">
        <v>1</v>
      </c>
      <c r="N47" s="1841">
        <v>1</v>
      </c>
      <c r="O47" s="1842">
        <v>1</v>
      </c>
    </row>
    <row r="48" spans="1:15" ht="12.75">
      <c r="A48" s="1"/>
      <c r="B48" s="352"/>
      <c r="C48" s="351"/>
      <c r="D48" s="346"/>
      <c r="E48" s="851" t="str">
        <f>IF(B48="","",VLOOKUP(B48,D_ObstBeeren!$B$25:$G$40,3,FALSE))</f>
        <v/>
      </c>
      <c r="F48" s="852" t="str">
        <f>IF(B48="","",VLOOKUP(B48,D_ObstBeeren!$B$25:$G$40,4,FALSE))</f>
        <v/>
      </c>
      <c r="G48" s="852" t="str">
        <f>IF(B48="","",VLOOKUP(B48,D_ObstBeeren!$B$25:$G$40,5,FALSE))</f>
        <v/>
      </c>
      <c r="H48" s="852" t="str">
        <f>IF(B48="","",VLOOKUP(B48,D_ObstBeeren!$B$25:$G$40,6,FALSE))</f>
        <v/>
      </c>
      <c r="I48" s="851" t="str">
        <f t="shared" si="0"/>
        <v/>
      </c>
      <c r="J48" s="852" t="str">
        <f t="shared" si="4"/>
        <v/>
      </c>
      <c r="K48" s="852" t="str">
        <f t="shared" si="5"/>
        <v/>
      </c>
      <c r="L48" s="853" t="str">
        <f t="shared" si="6"/>
        <v/>
      </c>
      <c r="M48" s="1840">
        <v>1</v>
      </c>
      <c r="N48" s="1841">
        <v>1</v>
      </c>
      <c r="O48" s="1842">
        <v>1</v>
      </c>
    </row>
    <row r="49" spans="1:15" ht="13.5" thickBot="1">
      <c r="A49" s="1"/>
      <c r="B49" s="352"/>
      <c r="C49" s="1008"/>
      <c r="D49" s="346"/>
      <c r="E49" s="851" t="str">
        <f>IF(B49="","",VLOOKUP(B49,D_ObstBeeren!$B$25:$G$40,3,FALSE))</f>
        <v/>
      </c>
      <c r="F49" s="852" t="str">
        <f>IF(B49="","",VLOOKUP(B49,D_ObstBeeren!$B$25:$G$40,4,FALSE))</f>
        <v/>
      </c>
      <c r="G49" s="852" t="str">
        <f>IF(B49="","",VLOOKUP(B49,D_ObstBeeren!$B$25:$G$40,5,FALSE))</f>
        <v/>
      </c>
      <c r="H49" s="852" t="str">
        <f>IF(B49="","",VLOOKUP(B49,D_ObstBeeren!$B$25:$G$40,6,FALSE))</f>
        <v/>
      </c>
      <c r="I49" s="851" t="str">
        <f t="shared" si="0"/>
        <v/>
      </c>
      <c r="J49" s="852" t="str">
        <f t="shared" si="4"/>
        <v/>
      </c>
      <c r="K49" s="852" t="str">
        <f t="shared" si="5"/>
        <v/>
      </c>
      <c r="L49" s="853" t="str">
        <f t="shared" si="6"/>
        <v/>
      </c>
      <c r="M49" s="1843">
        <v>1</v>
      </c>
      <c r="N49" s="1844">
        <v>1</v>
      </c>
      <c r="O49" s="1845">
        <v>1</v>
      </c>
    </row>
    <row r="50" spans="1:15" ht="13.5" thickBot="1">
      <c r="A50" s="1"/>
      <c r="B50" s="299"/>
      <c r="C50" s="408" t="str">
        <f>Texte!A1053</f>
        <v>Anbaufläche (Hektaren):</v>
      </c>
      <c r="D50" s="879">
        <f>SUM(D35:D49)</f>
        <v>0.22</v>
      </c>
      <c r="E50" s="299"/>
      <c r="F50" s="299"/>
      <c r="G50" s="195"/>
      <c r="H50" s="195" t="str">
        <f>Texte!A1058</f>
        <v>Nährstoffbedarf Beeren:</v>
      </c>
      <c r="I50" s="854">
        <f>SUM(I35:I49)</f>
        <v>22</v>
      </c>
      <c r="J50" s="854">
        <f>SUM(J35:J49)</f>
        <v>7.5</v>
      </c>
      <c r="K50" s="854">
        <f>SUM(K35:K49)</f>
        <v>26.6</v>
      </c>
      <c r="L50" s="855">
        <f>SUM(L35:L49)</f>
        <v>4.4000000000000004</v>
      </c>
    </row>
    <row r="51" spans="1:15" ht="12.75">
      <c r="D51" s="1825" t="str">
        <f>IF(AND(D50 = 0, 'SB2'!I60= ""),"",IF(ROUND(D50,2)&lt;&gt;'SB2'!I60,Texte!A1059,""))</f>
        <v>Anbaufläche stimmt nicht mit dem Blatt Fläche überein!</v>
      </c>
    </row>
    <row r="52" spans="1:15">
      <c r="D52" s="987"/>
    </row>
    <row r="53" spans="1:15">
      <c r="D53" s="987"/>
    </row>
  </sheetData>
  <sheetProtection algorithmName="SHA-512" hashValue="U/ZTut1hxvPAQ8OzJBbeWqbtOu7qGl1noixUdFSYL6fDVOU0otCcEv68ytyg5TdP8aVCd1D3x6O61xRzj+jTKA==" saltValue="/LTIDoJ8ouEHfsGfpYI9Ug==" spinCount="100000" sheet="1" objects="1" scenarios="1"/>
  <mergeCells count="4">
    <mergeCell ref="M7:O7"/>
    <mergeCell ref="M30:O30"/>
    <mergeCell ref="M8:O8"/>
    <mergeCell ref="M31:O31"/>
  </mergeCells>
  <phoneticPr fontId="65" type="noConversion"/>
  <conditionalFormatting sqref="M12:O25 M35:O49">
    <cfRule type="cellIs" dxfId="83" priority="1" stopIfTrue="1" operator="greaterThan">
      <formula>1.6</formula>
    </cfRule>
    <cfRule type="cellIs" dxfId="82" priority="2" stopIfTrue="1" operator="lessThan">
      <formula>0</formula>
    </cfRule>
  </conditionalFormatting>
  <printOptions horizontalCentered="1"/>
  <pageMargins left="0.39370078740157483" right="0.19685039370078741" top="0.31496062992125984" bottom="0.59055118110236227" header="0" footer="0.39370078740157483"/>
  <pageSetup paperSize="9" scale="96"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8433" r:id="rId4" name="Butt Obst">
              <controlPr defaultSize="0" print="0" autoFill="0" autoLine="0" autoPict="0" macro="[0]!DlgObst_Zeigen">
                <anchor moveWithCells="1" sizeWithCells="1">
                  <from>
                    <xdr:col>1</xdr:col>
                    <xdr:colOff>9525</xdr:colOff>
                    <xdr:row>6</xdr:row>
                    <xdr:rowOff>76200</xdr:rowOff>
                  </from>
                  <to>
                    <xdr:col>2</xdr:col>
                    <xdr:colOff>581025</xdr:colOff>
                    <xdr:row>7</xdr:row>
                    <xdr:rowOff>95250</xdr:rowOff>
                  </to>
                </anchor>
              </controlPr>
            </control>
          </ns1:Choice>
        </ns1:AlternateContent>
        <ns1:AlternateContent>
          <ns1:Choice Requires="x14">
            <control shapeId="18436" r:id="rId5" name="Butt Beeren">
              <controlPr defaultSize="0" print="0" autoFill="0" autoLine="0" autoPict="0" macro="[0]!DlgBeeren_Zeigen">
                <anchor moveWithCells="1" sizeWithCells="1">
                  <from>
                    <xdr:col>1</xdr:col>
                    <xdr:colOff>19050</xdr:colOff>
                    <xdr:row>29</xdr:row>
                    <xdr:rowOff>76200</xdr:rowOff>
                  </from>
                  <to>
                    <xdr:col>2</xdr:col>
                    <xdr:colOff>590550</xdr:colOff>
                    <xdr:row>30</xdr:row>
                    <xdr:rowOff>95250</xdr:rowOff>
                  </to>
                </anchor>
              </controlPr>
            </control>
          </ns1:Choice>
        </ns1:AlternateContent>
      </controls>
    </ns1:Choice>
  </ns1: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tabColor indexed="43"/>
    <pageSetUpPr fitToPage="1"/>
  </sheetPr>
  <dimension ref="A1:N69"/>
  <sheetViews>
    <sheetView showGridLines="0" showRowColHeaders="0" showZeros="0" topLeftCell="B1" workbookViewId="0">
      <selection activeCell="M5" sqref="M5"/>
      <extLst>
        <ext xmlns:xlsdti="http://schemas.microsoft.com/office/spreadsheetml/2023/showDataTypeIcons" uri="{77bfe23e-c014-4d31-8a63-9c772dbf06b6}">
          <xlsdti:showDataTypeIcons visible="0"/>
        </ext>
      </extLst>
    </sheetView>
  </sheetViews>
  <sheetFormatPr baseColWidth="10" defaultRowHeight="12"/>
  <cols>
    <col min="1" max="1" width="4.140625" hidden="1" customWidth="1"/>
    <col min="2" max="2" width="12.85546875" customWidth="1"/>
    <col min="3" max="3" width="20.7109375" customWidth="1"/>
    <col min="4" max="4" width="24.85546875" customWidth="1"/>
    <col min="5" max="5" width="6.42578125" customWidth="1"/>
    <col min="6" max="6" width="6.7109375" customWidth="1"/>
    <col min="7" max="7" width="9.28515625" customWidth="1"/>
    <col min="8" max="8" width="8.7109375" customWidth="1"/>
    <col min="9" max="10" width="6.5703125" customWidth="1"/>
    <col min="11" max="11" width="7.140625" customWidth="1"/>
    <col min="12" max="14" width="6.7109375" customWidth="1"/>
  </cols>
  <sheetData>
    <row r="1" spans="1:14" ht="42" customHeight="1">
      <c r="A1" s="582"/>
      <c r="B1" s="582" t="str">
        <f>Q!NW_Tit</f>
        <v xml:space="preserve">                                   Nachweis</v>
      </c>
      <c r="C1" s="30"/>
      <c r="D1" s="30"/>
      <c r="E1" s="30"/>
      <c r="F1" s="30"/>
      <c r="G1" s="30"/>
      <c r="H1" s="30"/>
      <c r="I1" s="30"/>
      <c r="J1" s="30"/>
      <c r="K1" s="30"/>
      <c r="L1" s="30"/>
      <c r="M1" s="30"/>
      <c r="N1" s="1899" t="str">
        <f>Q!F29</f>
        <v>Hofdüngeranfall</v>
      </c>
    </row>
    <row r="2" spans="1:14" ht="11.1" customHeight="1" thickBot="1">
      <c r="B2" s="1010"/>
      <c r="C2" s="1010"/>
      <c r="D2" s="1010"/>
      <c r="E2" s="1010"/>
      <c r="F2" s="1010"/>
      <c r="G2" s="1010"/>
      <c r="H2" s="1010"/>
      <c r="I2" s="1010"/>
      <c r="J2" s="1010"/>
      <c r="K2" s="1010"/>
      <c r="L2" s="1010"/>
      <c r="M2" s="1010"/>
      <c r="N2" s="1898"/>
    </row>
    <row r="3" spans="1:14" ht="21.95" customHeight="1">
      <c r="B3" s="1874" t="str">
        <f>Texte!A13</f>
        <v>Betrieb:</v>
      </c>
      <c r="C3" s="1873" t="str">
        <f>Allg!$C$9&amp;""</f>
        <v>Imhof &amp; Zaehner Betriebsgemeinschaft</v>
      </c>
      <c r="D3" s="1873"/>
      <c r="E3" s="1900"/>
      <c r="F3" s="1873"/>
      <c r="G3" s="1873"/>
      <c r="H3" s="1873"/>
      <c r="I3" s="1897" t="str">
        <f>Texte!A14</f>
        <v>Variante:</v>
      </c>
      <c r="J3" s="1892" t="str">
        <f>Allg!$G$7&amp;""</f>
        <v/>
      </c>
      <c r="K3" s="2265"/>
      <c r="L3" s="2265"/>
      <c r="M3" s="2686" t="str">
        <f>Texte!A15</f>
        <v>Jahr:</v>
      </c>
      <c r="N3" s="1891" t="str">
        <f>Allg!$G$6&amp;""</f>
        <v>2026</v>
      </c>
    </row>
    <row r="4" spans="1:14" ht="20.100000000000001" customHeight="1">
      <c r="B4" s="1417"/>
      <c r="C4" s="1417"/>
      <c r="D4" s="1417"/>
      <c r="E4" s="2687"/>
      <c r="F4" s="1417"/>
      <c r="G4" s="2687"/>
      <c r="H4" s="2687"/>
      <c r="I4" s="2687"/>
      <c r="J4" s="2688"/>
      <c r="K4" s="2688"/>
      <c r="L4" s="2688"/>
      <c r="M4" s="2687"/>
      <c r="N4" s="182"/>
    </row>
    <row r="5" spans="1:14" ht="15" customHeight="1">
      <c r="B5" s="2273"/>
      <c r="C5" s="2273"/>
      <c r="D5" s="2273"/>
      <c r="E5" s="2684"/>
      <c r="F5" s="2684"/>
      <c r="G5" s="2273"/>
      <c r="H5" s="2273"/>
      <c r="I5" s="2273"/>
      <c r="J5" s="2273"/>
      <c r="K5" s="2273"/>
      <c r="L5" s="2274" t="str">
        <f>Texte!A1287</f>
        <v>Dauer der Winterfütterungsperiode bzw. notwendige Güllenlagerungsdauer in Monaten:</v>
      </c>
      <c r="M5" s="2711"/>
      <c r="N5" s="2712">
        <f>IF(ISBLANK(M5),ROUND(Allg!G14/30,1),)</f>
        <v>0</v>
      </c>
    </row>
    <row r="6" spans="1:14" ht="8.1" customHeight="1">
      <c r="B6" s="1417"/>
      <c r="C6" s="1417"/>
      <c r="D6" s="1417"/>
      <c r="E6" s="297"/>
      <c r="F6" s="297"/>
      <c r="G6" s="297"/>
      <c r="H6" s="297"/>
      <c r="I6" s="297"/>
      <c r="J6" s="297"/>
      <c r="K6" s="297"/>
      <c r="L6" s="297"/>
      <c r="M6" s="297"/>
      <c r="N6" s="297"/>
    </row>
    <row r="7" spans="1:14" ht="12.95" customHeight="1">
      <c r="B7" s="2310" t="str">
        <f>Texte!A1288</f>
        <v>Hofdünger-Anfallsmengen im Winter und jährlicher Strohbedarf</v>
      </c>
      <c r="C7" s="499"/>
      <c r="D7" s="499"/>
      <c r="E7" s="297"/>
      <c r="F7" s="297"/>
      <c r="G7" s="297"/>
      <c r="H7" s="297"/>
      <c r="I7" s="297"/>
      <c r="J7" s="297"/>
      <c r="K7" s="297"/>
      <c r="L7" s="30"/>
      <c r="M7" s="30"/>
      <c r="N7" s="297"/>
    </row>
    <row r="8" spans="1:14" ht="12.95" customHeight="1">
      <c r="B8" s="2742"/>
      <c r="C8" s="2743"/>
      <c r="D8" s="2742"/>
      <c r="E8" s="2744"/>
      <c r="F8" s="2744" t="str">
        <f>Texte!A1294</f>
        <v>Anzahl</v>
      </c>
      <c r="G8" s="2744" t="str">
        <f>Texte!A1299</f>
        <v>Faktor</v>
      </c>
      <c r="H8" s="2744" t="str">
        <f>Texte!A1304</f>
        <v>Anzahl</v>
      </c>
      <c r="I8" s="2745" t="str">
        <f>Texte!A1309</f>
        <v>Bedarf bzw. Anfall</v>
      </c>
      <c r="J8" s="2746"/>
      <c r="K8" s="2746"/>
      <c r="L8" s="2744" t="str">
        <f>Texte!A1318</f>
        <v>Stroh-</v>
      </c>
      <c r="M8" s="2745" t="str">
        <f>Texte!A1323</f>
        <v>Anfallsmenge</v>
      </c>
      <c r="N8" s="2747"/>
    </row>
    <row r="9" spans="1:14" ht="12.95" customHeight="1">
      <c r="B9" s="2748" t="str">
        <f>Texte!A1290</f>
        <v>Tierart /</v>
      </c>
      <c r="C9" s="2749"/>
      <c r="D9" s="2750"/>
      <c r="E9" s="2751"/>
      <c r="F9" s="2751" t="str">
        <f>Texte!A1295</f>
        <v>Einh.</v>
      </c>
      <c r="G9" s="2751" t="str">
        <f>Texte!A1300</f>
        <v>DGVE1) /</v>
      </c>
      <c r="H9" s="2751" t="str">
        <f>Texte!A1305</f>
        <v>DGVE1) /</v>
      </c>
      <c r="I9" s="2748" t="str">
        <f>Texte!A1310</f>
        <v>pro Tierart</v>
      </c>
      <c r="J9" s="2749"/>
      <c r="K9" s="2749"/>
      <c r="L9" s="2751" t="str">
        <f>Texte!A1319</f>
        <v>bedarf</v>
      </c>
      <c r="M9" s="2748" t="str">
        <f>Texte!A1324</f>
        <v>im Winter</v>
      </c>
      <c r="N9" s="2752"/>
    </row>
    <row r="10" spans="1:14" ht="12.95" customHeight="1">
      <c r="B10" s="2748" t="str">
        <f>Texte!A1291</f>
        <v>Tierkategorie</v>
      </c>
      <c r="C10" s="2749"/>
      <c r="D10" s="2751" t="str">
        <f>Texte!A1292</f>
        <v>Aufstallungssystem</v>
      </c>
      <c r="E10" s="2751" t="str">
        <f>Texte!A1293</f>
        <v>Einheit</v>
      </c>
      <c r="F10" s="2751" t="str">
        <f>Texte!A1296</f>
        <v>im</v>
      </c>
      <c r="G10" s="2751" t="str">
        <f>Texte!A1301</f>
        <v>MSP /</v>
      </c>
      <c r="H10" s="2751" t="str">
        <f>Texte!A1306</f>
        <v>MSP /</v>
      </c>
      <c r="I10" s="2753" t="str">
        <f>Texte!A1311</f>
        <v>und Jahr</v>
      </c>
      <c r="J10" s="2754"/>
      <c r="K10" s="2749"/>
      <c r="L10" s="2751" t="str">
        <f>Texte!A1320</f>
        <v>dt</v>
      </c>
      <c r="M10" s="2748"/>
      <c r="N10" s="2752"/>
    </row>
    <row r="11" spans="1:14" ht="12.95" customHeight="1">
      <c r="B11" s="2748"/>
      <c r="C11" s="2749"/>
      <c r="D11" s="2748"/>
      <c r="E11" s="2751"/>
      <c r="F11" s="2751" t="str">
        <f>Texte!A1297</f>
        <v>Winter</v>
      </c>
      <c r="G11" s="2751" t="str">
        <f>Texte!A1302</f>
        <v>100 LHP /</v>
      </c>
      <c r="H11" s="2751" t="str">
        <f>Texte!A1307</f>
        <v>100 LHP /</v>
      </c>
      <c r="I11" s="2748" t="str">
        <f>Texte!A1312</f>
        <v>Bedarf</v>
      </c>
      <c r="J11" s="2748" t="str">
        <f>Texte!A1314</f>
        <v>Anfall</v>
      </c>
      <c r="K11" s="2748" t="str">
        <f>Texte!A1316</f>
        <v>Anfall</v>
      </c>
      <c r="L11" s="2751" t="str">
        <f>Texte!A1321</f>
        <v>pro</v>
      </c>
      <c r="M11" s="2751" t="str">
        <f>Texte!A1325</f>
        <v>Mist</v>
      </c>
      <c r="N11" s="2755" t="str">
        <f>Texte!A1326</f>
        <v>Gülle</v>
      </c>
    </row>
    <row r="12" spans="1:14" ht="12.95" customHeight="1">
      <c r="B12" s="2756"/>
      <c r="C12" s="2757"/>
      <c r="D12" s="2748"/>
      <c r="E12" s="2756"/>
      <c r="F12" s="2758"/>
      <c r="G12" s="2759" t="str">
        <f>Texte!A1303</f>
        <v>100 MPP</v>
      </c>
      <c r="H12" s="2759" t="str">
        <f>Texte!A1308</f>
        <v>100 MPP</v>
      </c>
      <c r="I12" s="2758" t="str">
        <f>Texte!A1313</f>
        <v>dt Stroh</v>
      </c>
      <c r="J12" s="2758" t="str">
        <f>Texte!A1315</f>
        <v>t Mist</v>
      </c>
      <c r="K12" s="2758" t="str">
        <f>Texte!A1317</f>
        <v>m³ Gülle</v>
      </c>
      <c r="L12" s="2759" t="str">
        <f>Texte!A1322</f>
        <v>Jahr</v>
      </c>
      <c r="M12" s="2759" t="s">
        <v>4111</v>
      </c>
      <c r="N12" s="2760" t="s">
        <v>7009</v>
      </c>
    </row>
    <row r="13" spans="1:14" ht="17.100000000000001" customHeight="1">
      <c r="A13">
        <v>220</v>
      </c>
      <c r="B13" s="2704" t="s">
        <v>7313</v>
      </c>
      <c r="C13" s="2705"/>
      <c r="D13" s="2701"/>
      <c r="E13" s="2695" t="s">
        <v>5735</v>
      </c>
      <c r="F13" s="2695">
        <v>5</v>
      </c>
      <c r="G13" s="2699">
        <v>0.7</v>
      </c>
      <c r="H13" s="2698">
        <f>IF(ISBLANK(F13),,F13*G13)</f>
        <v>3.5</v>
      </c>
      <c r="I13" s="2697"/>
      <c r="J13" s="2697"/>
      <c r="K13" s="2697"/>
      <c r="L13" s="2694">
        <f t="shared" ref="L13:L28" si="0">IF(ISBLANK(F13),,F13*I13)</f>
        <v>0</v>
      </c>
      <c r="M13" s="2695">
        <f>IF(ISBLANK(F13),,F13*J13*($M$5+$N$5)/12)</f>
        <v>0</v>
      </c>
      <c r="N13" s="2696">
        <f>IF(ISBLANK(F13),,F13*K13*($M$5+$N$5)/12)</f>
        <v>0</v>
      </c>
    </row>
    <row r="14" spans="1:14" ht="17.100000000000001" customHeight="1">
      <c r="B14" s="2704" t="s">
        <v>7720</v>
      </c>
      <c r="C14" s="2705"/>
      <c r="D14" s="2702"/>
      <c r="E14" s="2695" t="s">
        <v>5735</v>
      </c>
      <c r="F14" s="2695">
        <v>4</v>
      </c>
      <c r="G14" s="2699">
        <v>0.35</v>
      </c>
      <c r="H14" s="2698">
        <f t="shared" ref="H14:H28" si="1">IF(ISBLANK(F14),,F14*G14)</f>
        <v>1.4</v>
      </c>
      <c r="I14" s="2697"/>
      <c r="J14" s="2697"/>
      <c r="K14" s="2697"/>
      <c r="L14" s="2694">
        <f t="shared" si="0"/>
        <v>0</v>
      </c>
      <c r="M14" s="2695">
        <f t="shared" ref="M14:M28" si="2">IF(ISBLANK(F14),,F14*J14*($M$5+$N$5)/12)</f>
        <v>0</v>
      </c>
      <c r="N14" s="2696">
        <f t="shared" ref="N14:N28" si="3">IF(ISBLANK(F14),,F14*K14*($M$5+$N$5)/12)</f>
        <v>0</v>
      </c>
    </row>
    <row r="15" spans="1:14" ht="17.100000000000001" customHeight="1">
      <c r="A15">
        <v>300</v>
      </c>
      <c r="B15" s="2704" t="s">
        <v>12237</v>
      </c>
      <c r="C15" s="2705"/>
      <c r="D15" s="2702"/>
      <c r="E15" s="2695" t="s">
        <v>5735</v>
      </c>
      <c r="F15" s="2695">
        <v>219</v>
      </c>
      <c r="G15" s="2699">
        <v>0.25</v>
      </c>
      <c r="H15" s="2698">
        <f t="shared" si="1"/>
        <v>54.75</v>
      </c>
      <c r="I15" s="2697"/>
      <c r="J15" s="2697"/>
      <c r="K15" s="2697"/>
      <c r="L15" s="2694">
        <f t="shared" si="0"/>
        <v>0</v>
      </c>
      <c r="M15" s="2695">
        <f t="shared" si="2"/>
        <v>0</v>
      </c>
      <c r="N15" s="2696">
        <f t="shared" si="3"/>
        <v>0</v>
      </c>
    </row>
    <row r="16" spans="1:14" ht="17.100000000000001" customHeight="1">
      <c r="A16">
        <v>310</v>
      </c>
      <c r="B16" s="2704" t="s">
        <v>12144</v>
      </c>
      <c r="C16" s="2705"/>
      <c r="D16" s="2702"/>
      <c r="E16" s="2695" t="s">
        <v>5735</v>
      </c>
      <c r="F16" s="2695">
        <v>45</v>
      </c>
      <c r="G16" s="2699">
        <v>0.17</v>
      </c>
      <c r="H16" s="2698">
        <f t="shared" si="1"/>
        <v>7.65</v>
      </c>
      <c r="I16" s="2697"/>
      <c r="J16" s="2697"/>
      <c r="K16" s="2697"/>
      <c r="L16" s="2694">
        <f t="shared" si="0"/>
        <v>0</v>
      </c>
      <c r="M16" s="2695">
        <f t="shared" si="2"/>
        <v>0</v>
      </c>
      <c r="N16" s="2696">
        <f t="shared" si="3"/>
        <v>0</v>
      </c>
    </row>
    <row r="17" spans="1:14" ht="17.100000000000001" customHeight="1">
      <c r="A17">
        <v>320</v>
      </c>
      <c r="B17" s="2704" t="s">
        <v>12182</v>
      </c>
      <c r="C17" s="2705"/>
      <c r="D17" s="2702"/>
      <c r="E17" s="2695" t="s">
        <v>5735</v>
      </c>
      <c r="F17" s="2695">
        <v>106</v>
      </c>
      <c r="G17" s="2699">
        <v>0.06</v>
      </c>
      <c r="H17" s="2698">
        <f t="shared" si="1"/>
        <v>6.3599999999999994</v>
      </c>
      <c r="I17" s="2697"/>
      <c r="J17" s="2697"/>
      <c r="K17" s="2697"/>
      <c r="L17" s="2694">
        <f t="shared" si="0"/>
        <v>0</v>
      </c>
      <c r="M17" s="2695">
        <f t="shared" si="2"/>
        <v>0</v>
      </c>
      <c r="N17" s="2696">
        <f t="shared" si="3"/>
        <v>0</v>
      </c>
    </row>
    <row r="18" spans="1:14" ht="17.100000000000001" customHeight="1">
      <c r="A18">
        <v>330</v>
      </c>
      <c r="B18" s="2704" t="s">
        <v>12145</v>
      </c>
      <c r="C18" s="2705"/>
      <c r="D18" s="2702"/>
      <c r="E18" s="2695" t="s">
        <v>5735</v>
      </c>
      <c r="F18" s="2695">
        <v>129</v>
      </c>
      <c r="G18" s="2699">
        <v>0.03</v>
      </c>
      <c r="H18" s="2698">
        <f t="shared" si="1"/>
        <v>3.8699999999999997</v>
      </c>
      <c r="I18" s="2697"/>
      <c r="J18" s="2697"/>
      <c r="K18" s="2697"/>
      <c r="L18" s="2694">
        <f t="shared" si="0"/>
        <v>0</v>
      </c>
      <c r="M18" s="2695">
        <f t="shared" si="2"/>
        <v>0</v>
      </c>
      <c r="N18" s="2696">
        <f t="shared" si="3"/>
        <v>0</v>
      </c>
    </row>
    <row r="19" spans="1:14" ht="17.100000000000001" customHeight="1">
      <c r="A19">
        <v>400</v>
      </c>
      <c r="B19" s="2704" t="s">
        <v>12238</v>
      </c>
      <c r="C19" s="2705"/>
      <c r="D19" s="2702"/>
      <c r="E19" s="2695" t="s">
        <v>5735</v>
      </c>
      <c r="F19" s="2695">
        <v>3</v>
      </c>
      <c r="G19" s="2699">
        <v>0.2</v>
      </c>
      <c r="H19" s="2698">
        <f t="shared" si="1"/>
        <v>0.60000000000000009</v>
      </c>
      <c r="I19" s="2697"/>
      <c r="J19" s="2697"/>
      <c r="K19" s="2697"/>
      <c r="L19" s="2694">
        <f t="shared" si="0"/>
        <v>0</v>
      </c>
      <c r="M19" s="2695">
        <f t="shared" si="2"/>
        <v>0</v>
      </c>
      <c r="N19" s="2696">
        <f t="shared" si="3"/>
        <v>0</v>
      </c>
    </row>
    <row r="20" spans="1:14" ht="17.100000000000001" customHeight="1">
      <c r="A20">
        <v>410</v>
      </c>
      <c r="B20" s="2704" t="s">
        <v>12146</v>
      </c>
      <c r="C20" s="2705"/>
      <c r="D20" s="2702"/>
      <c r="E20" s="2695" t="s">
        <v>5735</v>
      </c>
      <c r="F20" s="2695">
        <v>1.55</v>
      </c>
      <c r="G20" s="2699">
        <v>0.17</v>
      </c>
      <c r="H20" s="2698">
        <f t="shared" si="1"/>
        <v>0.26350000000000001</v>
      </c>
      <c r="I20" s="2697"/>
      <c r="J20" s="2697"/>
      <c r="K20" s="2697"/>
      <c r="L20" s="2694">
        <f t="shared" si="0"/>
        <v>0</v>
      </c>
      <c r="M20" s="2695">
        <f t="shared" si="2"/>
        <v>0</v>
      </c>
      <c r="N20" s="2696">
        <f t="shared" si="3"/>
        <v>0</v>
      </c>
    </row>
    <row r="21" spans="1:14" ht="17.100000000000001" customHeight="1">
      <c r="A21">
        <v>420</v>
      </c>
      <c r="B21" s="2704" t="s">
        <v>12183</v>
      </c>
      <c r="C21" s="2705"/>
      <c r="D21" s="2702"/>
      <c r="E21" s="2695" t="s">
        <v>5735</v>
      </c>
      <c r="F21" s="2695">
        <v>2.79</v>
      </c>
      <c r="G21" s="2699">
        <v>0.06</v>
      </c>
      <c r="H21" s="2698">
        <f t="shared" si="1"/>
        <v>0.16739999999999999</v>
      </c>
      <c r="I21" s="2697"/>
      <c r="J21" s="2697"/>
      <c r="K21" s="2697"/>
      <c r="L21" s="2694">
        <f t="shared" si="0"/>
        <v>0</v>
      </c>
      <c r="M21" s="2695">
        <f t="shared" si="2"/>
        <v>0</v>
      </c>
      <c r="N21" s="2696">
        <f t="shared" si="3"/>
        <v>0</v>
      </c>
    </row>
    <row r="22" spans="1:14" ht="17.100000000000001" customHeight="1">
      <c r="A22">
        <v>430</v>
      </c>
      <c r="B22" s="2704" t="s">
        <v>12150</v>
      </c>
      <c r="C22" s="2705"/>
      <c r="D22" s="2702"/>
      <c r="E22" s="2695" t="s">
        <v>5735</v>
      </c>
      <c r="F22" s="2695">
        <v>1.99</v>
      </c>
      <c r="G22" s="2699">
        <v>0.03</v>
      </c>
      <c r="H22" s="2698">
        <f t="shared" si="1"/>
        <v>5.9699999999999996E-2</v>
      </c>
      <c r="I22" s="2697"/>
      <c r="J22" s="2697"/>
      <c r="K22" s="2697"/>
      <c r="L22" s="2694">
        <f t="shared" si="0"/>
        <v>0</v>
      </c>
      <c r="M22" s="2695">
        <f t="shared" si="2"/>
        <v>0</v>
      </c>
      <c r="N22" s="2696">
        <f t="shared" si="3"/>
        <v>0</v>
      </c>
    </row>
    <row r="23" spans="1:14" ht="17.100000000000001" customHeight="1">
      <c r="A23">
        <v>600</v>
      </c>
      <c r="B23" s="2704" t="s">
        <v>2536</v>
      </c>
      <c r="C23" s="2705"/>
      <c r="D23" s="2702"/>
      <c r="E23" s="2695" t="s">
        <v>5735</v>
      </c>
      <c r="F23" s="2695">
        <v>2</v>
      </c>
      <c r="G23" s="2699">
        <v>2.7</v>
      </c>
      <c r="H23" s="2698">
        <f t="shared" si="1"/>
        <v>5.4</v>
      </c>
      <c r="I23" s="2697"/>
      <c r="J23" s="2697"/>
      <c r="K23" s="2697"/>
      <c r="L23" s="2694">
        <f t="shared" si="0"/>
        <v>0</v>
      </c>
      <c r="M23" s="2695">
        <f t="shared" si="2"/>
        <v>0</v>
      </c>
      <c r="N23" s="2696">
        <f t="shared" si="3"/>
        <v>0</v>
      </c>
    </row>
    <row r="24" spans="1:14" ht="17.100000000000001" customHeight="1">
      <c r="B24" s="2704"/>
      <c r="C24" s="2705"/>
      <c r="D24" s="2702"/>
      <c r="E24" s="2695"/>
      <c r="F24" s="2695"/>
      <c r="G24" s="2699"/>
      <c r="H24" s="2698">
        <f t="shared" si="1"/>
        <v>0</v>
      </c>
      <c r="I24" s="2697"/>
      <c r="J24" s="2697"/>
      <c r="K24" s="2697"/>
      <c r="L24" s="2694">
        <f t="shared" si="0"/>
        <v>0</v>
      </c>
      <c r="M24" s="2695">
        <f t="shared" si="2"/>
        <v>0</v>
      </c>
      <c r="N24" s="2696">
        <f t="shared" si="3"/>
        <v>0</v>
      </c>
    </row>
    <row r="25" spans="1:14" ht="17.100000000000001" customHeight="1">
      <c r="B25" s="2704"/>
      <c r="C25" s="2705"/>
      <c r="D25" s="2702"/>
      <c r="E25" s="2695"/>
      <c r="F25" s="2695"/>
      <c r="G25" s="2699"/>
      <c r="H25" s="2698">
        <f t="shared" si="1"/>
        <v>0</v>
      </c>
      <c r="I25" s="2697"/>
      <c r="J25" s="2697"/>
      <c r="K25" s="2697"/>
      <c r="L25" s="2694">
        <f t="shared" si="0"/>
        <v>0</v>
      </c>
      <c r="M25" s="2695">
        <f t="shared" si="2"/>
        <v>0</v>
      </c>
      <c r="N25" s="2696">
        <f t="shared" si="3"/>
        <v>0</v>
      </c>
    </row>
    <row r="26" spans="1:14" ht="17.100000000000001" customHeight="1">
      <c r="B26" s="2704"/>
      <c r="C26" s="2705"/>
      <c r="D26" s="2702"/>
      <c r="E26" s="2695"/>
      <c r="F26" s="2695"/>
      <c r="G26" s="2699"/>
      <c r="H26" s="2698">
        <f t="shared" si="1"/>
        <v>0</v>
      </c>
      <c r="I26" s="2697"/>
      <c r="J26" s="2697"/>
      <c r="K26" s="2697"/>
      <c r="L26" s="2694">
        <f t="shared" si="0"/>
        <v>0</v>
      </c>
      <c r="M26" s="2695">
        <f t="shared" si="2"/>
        <v>0</v>
      </c>
      <c r="N26" s="2696">
        <f t="shared" si="3"/>
        <v>0</v>
      </c>
    </row>
    <row r="27" spans="1:14" ht="17.100000000000001" customHeight="1">
      <c r="B27" s="2704"/>
      <c r="C27" s="2705"/>
      <c r="D27" s="2702"/>
      <c r="E27" s="2695"/>
      <c r="F27" s="2695"/>
      <c r="G27" s="2699"/>
      <c r="H27" s="2698">
        <f t="shared" si="1"/>
        <v>0</v>
      </c>
      <c r="I27" s="2697"/>
      <c r="J27" s="2697"/>
      <c r="K27" s="2697"/>
      <c r="L27" s="2694">
        <f t="shared" si="0"/>
        <v>0</v>
      </c>
      <c r="M27" s="2695">
        <f t="shared" si="2"/>
        <v>0</v>
      </c>
      <c r="N27" s="2696">
        <f t="shared" si="3"/>
        <v>0</v>
      </c>
    </row>
    <row r="28" spans="1:14" ht="17.100000000000001" customHeight="1">
      <c r="B28" s="2706"/>
      <c r="C28" s="2707"/>
      <c r="D28" s="2703"/>
      <c r="E28" s="2700"/>
      <c r="F28" s="2700"/>
      <c r="G28" s="2697"/>
      <c r="H28" s="2698">
        <f t="shared" si="1"/>
        <v>0</v>
      </c>
      <c r="I28" s="2697"/>
      <c r="J28" s="2697"/>
      <c r="K28" s="2697"/>
      <c r="L28" s="2694">
        <f t="shared" si="0"/>
        <v>0</v>
      </c>
      <c r="M28" s="2695">
        <f t="shared" si="2"/>
        <v>0</v>
      </c>
      <c r="N28" s="2696">
        <f t="shared" si="3"/>
        <v>0</v>
      </c>
    </row>
    <row r="29" spans="1:14" ht="17.100000000000001" customHeight="1">
      <c r="B29" s="2733" t="str">
        <f>Texte!A1327</f>
        <v>Strohbilanz (dt / Jahr)</v>
      </c>
      <c r="C29" s="2273"/>
      <c r="D29" s="2273"/>
      <c r="E29" s="2266" t="str">
        <f>Texte!A1328</f>
        <v>Strohbedarf des Betriebes</v>
      </c>
      <c r="F29" s="2266"/>
      <c r="G29" s="2273"/>
      <c r="H29" s="2266"/>
      <c r="I29" s="2270"/>
      <c r="J29" s="2270"/>
      <c r="K29" s="2270"/>
      <c r="L29" s="2708">
        <f>SUM(L13:L28)</f>
        <v>0</v>
      </c>
      <c r="M29" s="2689"/>
      <c r="N29" s="30"/>
    </row>
    <row r="30" spans="1:14" ht="17.100000000000001" customHeight="1">
      <c r="B30" s="2726"/>
      <c r="C30" s="2273"/>
      <c r="D30" s="2273"/>
      <c r="E30" s="2266" t="str">
        <f>Texte!A1329</f>
        <v>Strohangebot aus Getreidebau (vgl. Blatt "Fläche")</v>
      </c>
      <c r="F30" s="2266"/>
      <c r="G30" s="2273"/>
      <c r="H30" s="2266"/>
      <c r="I30" s="2270"/>
      <c r="J30" s="2270"/>
      <c r="K30" s="2270"/>
      <c r="L30" s="2708">
        <f>SUM(Fläche!I10:I22)</f>
        <v>0</v>
      </c>
      <c r="M30" s="2689"/>
      <c r="N30" s="30"/>
    </row>
    <row r="31" spans="1:14" ht="17.100000000000001" customHeight="1">
      <c r="B31" s="2726"/>
      <c r="C31" s="2273"/>
      <c r="D31" s="2273"/>
      <c r="E31" s="2273"/>
      <c r="F31" s="2266" t="str">
        <f>Texte!A1330</f>
        <v>Möglicher Strohverkauf</v>
      </c>
      <c r="G31" s="2266"/>
      <c r="H31" s="2273"/>
      <c r="I31" s="2270"/>
      <c r="J31" s="2270"/>
      <c r="K31" s="2270"/>
      <c r="L31" s="2708">
        <f>MAX(L30-L29,0)</f>
        <v>0</v>
      </c>
      <c r="M31" s="2689"/>
      <c r="N31" s="30"/>
    </row>
    <row r="32" spans="1:14" ht="17.100000000000001" customHeight="1">
      <c r="B32" s="2727"/>
      <c r="C32" s="2289"/>
      <c r="D32" s="2289"/>
      <c r="E32" s="2289"/>
      <c r="F32" s="2289" t="str">
        <f>Texte!A1331</f>
        <v>Notwendiger Strohzukauf</v>
      </c>
      <c r="G32" s="2289"/>
      <c r="H32" s="2267"/>
      <c r="I32" s="2267"/>
      <c r="J32" s="2267"/>
      <c r="K32" s="2267"/>
      <c r="L32" s="2708">
        <f>MAX(L29-L30,0)</f>
        <v>0</v>
      </c>
      <c r="M32" s="2689"/>
      <c r="N32" s="30"/>
    </row>
    <row r="33" spans="2:14" ht="9.9499999999999993" customHeight="1">
      <c r="B33" s="2268"/>
      <c r="C33" s="2273"/>
      <c r="D33" s="2273"/>
      <c r="E33" s="2273"/>
      <c r="F33" s="2266"/>
      <c r="G33" s="2266"/>
      <c r="H33" s="2270"/>
      <c r="I33" s="2270"/>
      <c r="J33" s="2270"/>
      <c r="K33" s="2270"/>
      <c r="L33" s="923"/>
      <c r="M33" s="2689"/>
      <c r="N33" s="30"/>
    </row>
    <row r="34" spans="2:14" ht="17.100000000000001" customHeight="1">
      <c r="B34" s="2734" t="str">
        <f>Texte!A1332</f>
        <v>Mistanfall (t)</v>
      </c>
      <c r="C34" s="2290"/>
      <c r="D34" s="2290"/>
      <c r="E34" s="2735" t="str">
        <f>Texte!A1333</f>
        <v>plus Krippenreste (geschätzt)</v>
      </c>
      <c r="F34" s="2290"/>
      <c r="G34" s="2290"/>
      <c r="H34" s="2275"/>
      <c r="I34" s="2290"/>
      <c r="J34" s="2275"/>
      <c r="K34" s="2736"/>
      <c r="L34" s="191"/>
      <c r="M34" s="2709"/>
      <c r="N34" s="209"/>
    </row>
    <row r="35" spans="2:14" ht="17.100000000000001" customHeight="1">
      <c r="B35" s="2375"/>
      <c r="C35" s="2289"/>
      <c r="D35" s="2289"/>
      <c r="E35" s="2737" t="str">
        <f>Texte!A1334</f>
        <v>Gesamtanfall im Winter (Mist verrottet)</v>
      </c>
      <c r="F35" s="2289"/>
      <c r="G35" s="2289"/>
      <c r="H35" s="2276"/>
      <c r="I35" s="2267"/>
      <c r="J35" s="2267"/>
      <c r="K35" s="2267"/>
      <c r="L35" s="546"/>
      <c r="M35" s="2710">
        <f>SUM(M13:M28)+M34</f>
        <v>0</v>
      </c>
      <c r="N35" s="197"/>
    </row>
    <row r="36" spans="2:14" ht="9.9499999999999993" customHeight="1">
      <c r="B36" s="2266"/>
      <c r="C36" s="2266"/>
      <c r="D36" s="2266"/>
      <c r="E36" s="2355"/>
      <c r="F36" s="2266"/>
      <c r="G36" s="2266"/>
      <c r="H36" s="2273"/>
      <c r="I36" s="2270"/>
      <c r="J36" s="2270"/>
      <c r="K36" s="2270"/>
      <c r="L36" s="199"/>
      <c r="M36" s="923"/>
      <c r="N36" s="197"/>
    </row>
    <row r="37" spans="2:14" ht="15" customHeight="1">
      <c r="B37" s="2738" t="str">
        <f>Texte!A1335</f>
        <v>Güllenanfall (m³)</v>
      </c>
      <c r="C37" s="2739"/>
      <c r="D37" s="2739"/>
      <c r="E37" s="2740" t="str">
        <f>Texte!A1336</f>
        <v>Gesamtanfall im Winter unverdünnt</v>
      </c>
      <c r="F37" s="2739"/>
      <c r="G37" s="2739"/>
      <c r="H37" s="2739"/>
      <c r="I37" s="2272"/>
      <c r="J37" s="2741"/>
      <c r="K37" s="2272"/>
      <c r="L37" s="996"/>
      <c r="M37" s="2690"/>
      <c r="N37" s="2723">
        <f>SUM(N13:N28)</f>
        <v>0</v>
      </c>
    </row>
    <row r="38" spans="2:14" ht="12.95" customHeight="1">
      <c r="B38" s="2761"/>
      <c r="C38" s="2762"/>
      <c r="D38" s="2762"/>
      <c r="E38" s="2762"/>
      <c r="F38" s="2762"/>
      <c r="G38" s="2762"/>
      <c r="H38" s="2763"/>
      <c r="I38" s="2764"/>
      <c r="J38" s="2763" t="str">
        <f>Texte!A1339</f>
        <v>Anzahl</v>
      </c>
      <c r="K38" s="2761" t="str">
        <f>Texte!A1341</f>
        <v>Anfall pro Einheit</v>
      </c>
      <c r="L38" s="2762"/>
      <c r="M38" s="2765"/>
      <c r="N38" s="30"/>
    </row>
    <row r="39" spans="2:14" ht="12.95" customHeight="1">
      <c r="B39" s="2713" t="str">
        <f>Texte!A1337</f>
        <v>Art des Abwassers</v>
      </c>
      <c r="C39" s="2714"/>
      <c r="D39" s="2714"/>
      <c r="E39" s="2714"/>
      <c r="F39" s="2714"/>
      <c r="G39" s="2714"/>
      <c r="H39" s="2713" t="str">
        <f>Texte!A1338</f>
        <v>Einheiten</v>
      </c>
      <c r="I39" s="2714"/>
      <c r="J39" s="2694" t="str">
        <f>Texte!A1340</f>
        <v>Einh.</v>
      </c>
      <c r="K39" s="2713" t="str">
        <f>Texte!A1342</f>
        <v>m³ / Monat</v>
      </c>
      <c r="L39" s="2714"/>
      <c r="M39" s="2715"/>
      <c r="N39" s="30"/>
    </row>
    <row r="40" spans="2:14" ht="17.100000000000001" customHeight="1">
      <c r="B40" s="2375" t="str">
        <f>Texte!A1343</f>
        <v>Stallreinigung und Tierpflege Rindvieh</v>
      </c>
      <c r="C40" s="2289"/>
      <c r="D40" s="2289"/>
      <c r="E40" s="2289"/>
      <c r="F40" s="2289"/>
      <c r="G40" s="2289"/>
      <c r="H40" s="214" t="str">
        <f>Texte!A1370</f>
        <v>GVE</v>
      </c>
      <c r="I40" s="221"/>
      <c r="J40" s="2700">
        <f>SUM(Tierb!Wasser_RiGVE)</f>
        <v>0</v>
      </c>
      <c r="K40" s="2713">
        <v>0.2</v>
      </c>
      <c r="L40" s="2714"/>
      <c r="M40" s="2715">
        <f t="shared" ref="M40:M47" si="4">J40*K40*($M$5+$N$5)</f>
        <v>0</v>
      </c>
      <c r="N40" s="30"/>
    </row>
    <row r="41" spans="2:14" ht="17.100000000000001" customHeight="1">
      <c r="B41" s="2375" t="str">
        <f>Texte!A1344</f>
        <v>Betreiben Schwemmentmistung Rindvieh</v>
      </c>
      <c r="C41" s="2289"/>
      <c r="D41" s="2289"/>
      <c r="E41" s="2289"/>
      <c r="F41" s="2289"/>
      <c r="G41" s="2289"/>
      <c r="H41" s="214" t="str">
        <f>Texte!A1370</f>
        <v>GVE</v>
      </c>
      <c r="I41" s="221"/>
      <c r="J41" s="2700"/>
      <c r="K41" s="2713">
        <v>0.5</v>
      </c>
      <c r="L41" s="2714"/>
      <c r="M41" s="2715">
        <f t="shared" si="4"/>
        <v>0</v>
      </c>
      <c r="N41" s="30"/>
    </row>
    <row r="42" spans="2:14" ht="17.100000000000001" customHeight="1">
      <c r="B42" s="2375" t="str">
        <f>Texte!A1345</f>
        <v>Stallreinigung und Tierpflege Schweine</v>
      </c>
      <c r="C42" s="2289"/>
      <c r="D42" s="2289"/>
      <c r="E42" s="2289"/>
      <c r="F42" s="2289"/>
      <c r="G42" s="2289"/>
      <c r="H42" s="214" t="str">
        <f>Texte!A1371</f>
        <v>MSP</v>
      </c>
      <c r="I42" s="221"/>
      <c r="J42" s="2700">
        <f>SUM(Tierb!Wasser_MSP)</f>
        <v>0</v>
      </c>
      <c r="K42" s="2717">
        <v>0.04</v>
      </c>
      <c r="L42" s="2718"/>
      <c r="M42" s="2715">
        <f t="shared" si="4"/>
        <v>0</v>
      </c>
      <c r="N42" s="30"/>
    </row>
    <row r="43" spans="2:14" ht="17.100000000000001" customHeight="1">
      <c r="B43" s="2375" t="str">
        <f>Texte!A1346</f>
        <v>Stallreinigung Legehennen</v>
      </c>
      <c r="C43" s="2289"/>
      <c r="D43" s="2289"/>
      <c r="E43" s="2289"/>
      <c r="F43" s="2289"/>
      <c r="G43" s="2289"/>
      <c r="H43" s="214" t="str">
        <f>Texte!A1372</f>
        <v>100 LHP</v>
      </c>
      <c r="I43" s="221"/>
      <c r="J43" s="2700">
        <f>SUM(Tierb!Wasser_LHP)/100</f>
        <v>0</v>
      </c>
      <c r="K43" s="2717">
        <v>0.02</v>
      </c>
      <c r="L43" s="2718"/>
      <c r="M43" s="2715">
        <f t="shared" si="4"/>
        <v>0</v>
      </c>
      <c r="N43" s="30"/>
    </row>
    <row r="44" spans="2:14" ht="17.100000000000001" customHeight="1">
      <c r="B44" s="2375" t="str">
        <f>Texte!A1347</f>
        <v>Stallreinigung Mastgeflügel</v>
      </c>
      <c r="C44" s="2289"/>
      <c r="D44" s="2289"/>
      <c r="E44" s="2289"/>
      <c r="F44" s="2289"/>
      <c r="G44" s="2289"/>
      <c r="H44" s="214" t="str">
        <f>Texte!A1373</f>
        <v>100 MPP</v>
      </c>
      <c r="I44" s="221"/>
      <c r="J44" s="2700">
        <f>SUM(Tierb!Wasser_MPP)/100</f>
        <v>0</v>
      </c>
      <c r="K44" s="2717">
        <v>0.04</v>
      </c>
      <c r="L44" s="2718"/>
      <c r="M44" s="2715">
        <f t="shared" si="4"/>
        <v>0</v>
      </c>
      <c r="N44" s="30"/>
    </row>
    <row r="45" spans="2:14" ht="17.100000000000001" customHeight="1">
      <c r="B45" s="2375" t="str">
        <f>Texte!A1348</f>
        <v>Mistplatz; befestigte, nicht überdachte Laufplätze</v>
      </c>
      <c r="C45" s="2289"/>
      <c r="D45" s="2289"/>
      <c r="E45" s="2289"/>
      <c r="F45" s="2289"/>
      <c r="G45" s="2289"/>
      <c r="H45" s="214" t="s">
        <v>3337</v>
      </c>
      <c r="I45" s="221"/>
      <c r="J45" s="2700"/>
      <c r="K45" s="2713">
        <v>0.1</v>
      </c>
      <c r="L45" s="2714"/>
      <c r="M45" s="2715">
        <f t="shared" si="4"/>
        <v>0</v>
      </c>
      <c r="N45" s="30"/>
    </row>
    <row r="46" spans="2:14" ht="17.100000000000001" customHeight="1">
      <c r="B46" s="2683" t="str">
        <f>Texte!A1349</f>
        <v>Flachsiloplatte:</v>
      </c>
      <c r="C46" s="2290" t="str">
        <f>Texte!A1350</f>
        <v>Nicht überdacht, mit vollständiger Entwässerung in die Güllengrube</v>
      </c>
      <c r="D46" s="2290"/>
      <c r="E46" s="2290"/>
      <c r="F46" s="2290"/>
      <c r="G46" s="2290"/>
      <c r="H46" s="214" t="s">
        <v>3337</v>
      </c>
      <c r="I46" s="221"/>
      <c r="J46" s="2700"/>
      <c r="K46" s="2713">
        <v>0.1</v>
      </c>
      <c r="L46" s="2714"/>
      <c r="M46" s="2715">
        <f t="shared" si="4"/>
        <v>0</v>
      </c>
      <c r="N46" s="30"/>
    </row>
    <row r="47" spans="2:14" ht="17.100000000000001" customHeight="1">
      <c r="B47" s="2375"/>
      <c r="C47" s="2289" t="str">
        <f>Texte!A1351</f>
        <v>Nicht überdacht, mit Entwässerung über Silosaftrinne in die Güllengrube</v>
      </c>
      <c r="D47" s="2289"/>
      <c r="E47" s="2289"/>
      <c r="F47" s="2289"/>
      <c r="G47" s="2289"/>
      <c r="H47" s="214" t="s">
        <v>3337</v>
      </c>
      <c r="I47" s="221"/>
      <c r="J47" s="2700"/>
      <c r="K47" s="2719">
        <v>2.5000000000000001E-2</v>
      </c>
      <c r="L47" s="2720"/>
      <c r="M47" s="2715">
        <f t="shared" si="4"/>
        <v>0</v>
      </c>
      <c r="N47" s="30"/>
    </row>
    <row r="48" spans="2:14" ht="17.100000000000001" customHeight="1">
      <c r="B48" s="2375" t="str">
        <f>Texte!A1352</f>
        <v>Vorplatz, Waschplatz (betriebsspezifisch zu erheben)</v>
      </c>
      <c r="C48" s="2289"/>
      <c r="D48" s="2289"/>
      <c r="E48" s="2289"/>
      <c r="F48" s="2289"/>
      <c r="G48" s="2289"/>
      <c r="H48" s="221"/>
      <c r="I48" s="221"/>
      <c r="J48" s="96"/>
      <c r="K48" s="221"/>
      <c r="L48" s="221"/>
      <c r="M48" s="2716"/>
      <c r="N48" s="30"/>
    </row>
    <row r="49" spans="2:14" ht="17.100000000000001" customHeight="1">
      <c r="B49" s="2685" t="str">
        <f>Texte!A1353</f>
        <v>Reinigung:</v>
      </c>
      <c r="C49" s="2266" t="str">
        <f>Texte!A1354</f>
        <v>Milchkammer</v>
      </c>
      <c r="D49" s="2266"/>
      <c r="E49" s="2266"/>
      <c r="F49" s="2266"/>
      <c r="G49" s="2266"/>
      <c r="H49" s="214" t="str">
        <f>Texte!A1374</f>
        <v>Anzahl ME</v>
      </c>
      <c r="I49" s="221"/>
      <c r="J49" s="2721"/>
      <c r="K49" s="175">
        <v>0.05</v>
      </c>
      <c r="L49" s="96">
        <v>0.5</v>
      </c>
      <c r="M49" s="2715">
        <f>IF(ISBLANK(J49),0,(J49*K49+L49)*($M$5+$N$5))</f>
        <v>0</v>
      </c>
      <c r="N49" s="30"/>
    </row>
    <row r="50" spans="2:14" ht="17.100000000000001" customHeight="1">
      <c r="B50" s="2685" t="s">
        <v>4637</v>
      </c>
      <c r="C50" s="2266" t="str">
        <f>Texte!A1355</f>
        <v>Kühltank</v>
      </c>
      <c r="D50" s="2266"/>
      <c r="E50" s="2266"/>
      <c r="F50" s="2266"/>
      <c r="G50" s="2266"/>
      <c r="H50" s="214" t="str">
        <f>Texte!A1375</f>
        <v>Volumen in lt.</v>
      </c>
      <c r="I50" s="221"/>
      <c r="J50" s="2721"/>
      <c r="K50" s="214">
        <v>1.5E-3</v>
      </c>
      <c r="L50" s="221"/>
      <c r="M50" s="2715">
        <f t="shared" ref="M50:M61" si="5">J50*K50*($M$5+$N$5)</f>
        <v>0</v>
      </c>
      <c r="N50" s="30"/>
    </row>
    <row r="51" spans="2:14" ht="17.100000000000001" customHeight="1">
      <c r="B51" s="2685" t="s">
        <v>4637</v>
      </c>
      <c r="C51" s="2266" t="str">
        <f>Texte!A1356</f>
        <v>Eimermelkanlage</v>
      </c>
      <c r="D51" s="2266"/>
      <c r="E51" s="2266"/>
      <c r="F51" s="2266"/>
      <c r="G51" s="2266"/>
      <c r="H51" s="214" t="str">
        <f>Texte!A1374</f>
        <v>Anzahl ME</v>
      </c>
      <c r="I51" s="221"/>
      <c r="J51" s="2721"/>
      <c r="K51" s="175">
        <v>0.5</v>
      </c>
      <c r="L51" s="96">
        <v>3</v>
      </c>
      <c r="M51" s="2715">
        <f>IF(ISBLANK(J51),0,(J51*K51+L51)*($M$5+$N$5))</f>
        <v>0</v>
      </c>
      <c r="N51" s="30"/>
    </row>
    <row r="52" spans="2:14" ht="17.100000000000001" customHeight="1">
      <c r="B52" s="2685"/>
      <c r="C52" s="2266" t="str">
        <f>Texte!A1357</f>
        <v>Rohrmelkanlage (Anbindestall oder Melkstand)</v>
      </c>
      <c r="D52" s="2266"/>
      <c r="E52" s="2266"/>
      <c r="F52" s="2266"/>
      <c r="G52" s="2266"/>
      <c r="H52" s="214" t="str">
        <f>Texte!A1374</f>
        <v>Anzahl ME</v>
      </c>
      <c r="I52" s="221"/>
      <c r="J52" s="2721"/>
      <c r="K52" s="175">
        <v>0.5</v>
      </c>
      <c r="L52" s="96">
        <v>4</v>
      </c>
      <c r="M52" s="2715">
        <f>IF(ISBLANK(J52),0,(J52*K52+L52)*($M$5+$N$5))</f>
        <v>0</v>
      </c>
      <c r="N52" s="30"/>
    </row>
    <row r="53" spans="2:14" ht="17.100000000000001" customHeight="1">
      <c r="B53" s="2685" t="s">
        <v>4639</v>
      </c>
      <c r="C53" s="2266" t="str">
        <f>Texte!A1358</f>
        <v>Standplätze im Melkstand</v>
      </c>
      <c r="D53" s="2266"/>
      <c r="E53" s="2266"/>
      <c r="F53" s="2266"/>
      <c r="G53" s="2266"/>
      <c r="H53" s="214" t="str">
        <f>Texte!A1376</f>
        <v>Anzahl Plätze</v>
      </c>
      <c r="I53" s="221"/>
      <c r="J53" s="2721"/>
      <c r="K53" s="214">
        <v>0.5</v>
      </c>
      <c r="L53" s="221"/>
      <c r="M53" s="2715">
        <f t="shared" si="5"/>
        <v>0</v>
      </c>
      <c r="N53" s="30"/>
    </row>
    <row r="54" spans="2:14" ht="17.100000000000001" customHeight="1">
      <c r="B54" s="2375"/>
      <c r="C54" s="2289" t="str">
        <f>Texte!A1359</f>
        <v>Automatisches Melksystem (AMS)</v>
      </c>
      <c r="D54" s="2289"/>
      <c r="E54" s="2289"/>
      <c r="F54" s="2289"/>
      <c r="G54" s="2353"/>
      <c r="H54" s="214" t="str">
        <f>Texte!A1377</f>
        <v>Anzahl Einheiten</v>
      </c>
      <c r="I54" s="221"/>
      <c r="J54" s="2721"/>
      <c r="K54" s="214">
        <v>25</v>
      </c>
      <c r="L54" s="221"/>
      <c r="M54" s="2715">
        <f t="shared" si="5"/>
        <v>0</v>
      </c>
      <c r="N54" s="30"/>
    </row>
    <row r="55" spans="2:14" ht="17.100000000000001" customHeight="1">
      <c r="B55" s="2685" t="str">
        <f>Texte!A1360</f>
        <v xml:space="preserve">Haushalt:  </v>
      </c>
      <c r="C55" s="2266" t="str">
        <f>Texte!A1361</f>
        <v>normale Verhältnisse: Waschmasch., Dusche&amp;Bad, WC</v>
      </c>
      <c r="D55" s="2266"/>
      <c r="E55" s="2266"/>
      <c r="F55" s="2266"/>
      <c r="G55" s="2266"/>
      <c r="H55" s="2691" t="str">
        <f>Texte!A1378</f>
        <v>Einwohner</v>
      </c>
      <c r="I55" s="2692"/>
      <c r="J55" s="2721"/>
      <c r="K55" s="214">
        <v>5</v>
      </c>
      <c r="L55" s="221"/>
      <c r="M55" s="2715">
        <f t="shared" si="5"/>
        <v>0</v>
      </c>
      <c r="N55" s="30"/>
    </row>
    <row r="56" spans="2:14" ht="17.100000000000001" customHeight="1">
      <c r="B56" s="2685" t="s">
        <v>7183</v>
      </c>
      <c r="C56" s="2266" t="str">
        <f>Texte!A1362</f>
        <v>einfache sanitäre Einrichtungen</v>
      </c>
      <c r="D56" s="2266"/>
      <c r="E56" s="2266"/>
      <c r="F56" s="2266"/>
      <c r="G56" s="2266"/>
      <c r="H56" s="2691" t="str">
        <f>Texte!A1378</f>
        <v>Einwohner</v>
      </c>
      <c r="I56" s="2692"/>
      <c r="J56" s="2721"/>
      <c r="K56" s="214">
        <v>3.5</v>
      </c>
      <c r="L56" s="221"/>
      <c r="M56" s="2715">
        <f t="shared" si="5"/>
        <v>0</v>
      </c>
      <c r="N56" s="30"/>
    </row>
    <row r="57" spans="2:14" ht="17.100000000000001" customHeight="1">
      <c r="B57" s="2375" t="s">
        <v>7183</v>
      </c>
      <c r="C57" s="2289" t="str">
        <f>Texte!A1363</f>
        <v>Sonderfälle: dauernd deutlich geringerer Anfall</v>
      </c>
      <c r="D57" s="2289"/>
      <c r="E57" s="2289"/>
      <c r="F57" s="2289"/>
      <c r="G57" s="2289"/>
      <c r="H57" s="2691" t="str">
        <f>Texte!A1378</f>
        <v>Einwohner</v>
      </c>
      <c r="I57" s="2692"/>
      <c r="J57" s="2721"/>
      <c r="K57" s="214">
        <v>2</v>
      </c>
      <c r="L57" s="221"/>
      <c r="M57" s="2715">
        <f t="shared" si="5"/>
        <v>0</v>
      </c>
      <c r="N57" s="30"/>
    </row>
    <row r="58" spans="2:14" ht="17.100000000000001" customHeight="1">
      <c r="B58" s="2685" t="str">
        <f>Texte!A1364</f>
        <v>Restauration:</v>
      </c>
      <c r="C58" s="2266" t="str">
        <f>Texte!A1365</f>
        <v xml:space="preserve"> - nur wenn Aktivitäten auch im Winter erfolgen</v>
      </c>
      <c r="D58" s="2266"/>
      <c r="E58" s="2266"/>
      <c r="F58" s="2266"/>
      <c r="G58" s="2270" t="str">
        <f>Texte!A1366</f>
        <v>Auslastung</v>
      </c>
      <c r="H58" s="2693"/>
      <c r="I58" s="2693"/>
      <c r="J58" s="2722"/>
      <c r="K58" s="2693"/>
      <c r="L58" s="2693"/>
      <c r="M58" s="2725"/>
      <c r="N58" s="30"/>
    </row>
    <row r="59" spans="2:14" ht="17.100000000000001" customHeight="1">
      <c r="B59" s="2685"/>
      <c r="C59" s="2266" t="str">
        <f>Texte!A1367</f>
        <v>Gastronomie, Partyraum 3)</v>
      </c>
      <c r="D59" s="2266"/>
      <c r="E59" s="2266"/>
      <c r="F59" s="2266"/>
      <c r="G59" s="2728"/>
      <c r="H59" s="214" t="str">
        <f>Texte!A1379</f>
        <v>Sitzplatz</v>
      </c>
      <c r="I59" s="221"/>
      <c r="J59" s="2721"/>
      <c r="K59" s="214">
        <v>1.6</v>
      </c>
      <c r="L59" s="221"/>
      <c r="M59" s="2715">
        <f>G59*J59*K59*($M$5+$N$5)/100</f>
        <v>0</v>
      </c>
      <c r="N59" s="30"/>
    </row>
    <row r="60" spans="2:14" ht="17.100000000000001" customHeight="1">
      <c r="B60" s="2375"/>
      <c r="C60" s="2289" t="str">
        <f>Texte!A1368</f>
        <v>Ferien auf dem Bauernhof 4)</v>
      </c>
      <c r="D60" s="2289"/>
      <c r="E60" s="2289"/>
      <c r="F60" s="2289"/>
      <c r="G60" s="2728"/>
      <c r="H60" s="214" t="str">
        <f>Texte!A1380</f>
        <v>Bett</v>
      </c>
      <c r="I60" s="221"/>
      <c r="J60" s="2721"/>
      <c r="K60" s="214">
        <v>5</v>
      </c>
      <c r="L60" s="221"/>
      <c r="M60" s="2715">
        <f>G60*J60*K60*($M$5+$N$5)/100</f>
        <v>0</v>
      </c>
      <c r="N60" s="30"/>
    </row>
    <row r="61" spans="2:14" ht="17.100000000000001" customHeight="1">
      <c r="B61" s="2729" t="str">
        <f>Texte!A1369</f>
        <v>Weiteres:</v>
      </c>
      <c r="C61" s="2730"/>
      <c r="D61" s="2731"/>
      <c r="E61" s="2731"/>
      <c r="F61" s="2731"/>
      <c r="G61" s="2732"/>
      <c r="H61" s="2691"/>
      <c r="I61" s="2692"/>
      <c r="J61" s="2721"/>
      <c r="K61" s="2691"/>
      <c r="L61" s="2692"/>
      <c r="M61" s="2715">
        <f t="shared" si="5"/>
        <v>0</v>
      </c>
      <c r="N61" s="30"/>
    </row>
    <row r="62" spans="2:14" ht="17.100000000000001" customHeight="1">
      <c r="B62" s="2726" t="str">
        <f>Texte!A1381</f>
        <v>Abwasser, Verdünnungswasser in der Wintergülle</v>
      </c>
      <c r="C62" s="2266"/>
      <c r="D62" s="2266"/>
      <c r="E62" s="2273"/>
      <c r="F62" s="2266"/>
      <c r="G62" s="2266"/>
      <c r="H62" s="2266" t="str">
        <f>Texte!A1382</f>
        <v>total</v>
      </c>
      <c r="I62" s="2266"/>
      <c r="J62" s="2273"/>
      <c r="K62" s="2270"/>
      <c r="L62" s="2270"/>
      <c r="M62" s="2273"/>
      <c r="N62" s="2723">
        <f>SUM(M40:M61)</f>
        <v>0</v>
      </c>
    </row>
    <row r="63" spans="2:14" ht="17.100000000000001" customHeight="1">
      <c r="B63" s="2726" t="str">
        <f>Texte!A1383</f>
        <v>Güllenanfall verdünnt</v>
      </c>
      <c r="C63" s="2266"/>
      <c r="D63" s="2266"/>
      <c r="E63" s="2273"/>
      <c r="F63" s="2266"/>
      <c r="G63" s="2266"/>
      <c r="H63" s="2355" t="str">
        <f>Texte!A1384</f>
        <v>Gesamtanfall im Winter verdünnt</v>
      </c>
      <c r="I63" s="2266"/>
      <c r="J63" s="2273"/>
      <c r="K63" s="2270"/>
      <c r="L63" s="2270"/>
      <c r="M63" s="2273"/>
      <c r="N63" s="2708">
        <f>ROUND(N62,0)+ROUND(N37,0)</f>
        <v>0</v>
      </c>
    </row>
    <row r="64" spans="2:14" ht="17.100000000000001" customHeight="1">
      <c r="B64" s="2727" t="str">
        <f>Texte!A1385</f>
        <v xml:space="preserve">Güllelagerraum bestehend </v>
      </c>
      <c r="C64" s="2289"/>
      <c r="D64" s="2289"/>
      <c r="E64" s="2289"/>
      <c r="F64" s="2289"/>
      <c r="G64" s="2289"/>
      <c r="H64" s="2289"/>
      <c r="I64" s="2276"/>
      <c r="J64" s="2276"/>
      <c r="K64" s="2289"/>
      <c r="L64" s="2289"/>
      <c r="M64" s="2289"/>
      <c r="N64" s="2724"/>
    </row>
    <row r="65" spans="2:14" ht="12.75" customHeight="1">
      <c r="B65" s="2354" t="str">
        <f>Texte!A1386</f>
        <v>1) Bezieht sich auf eine mittlere Jahresmilchleistung von 7500 kg.</v>
      </c>
      <c r="C65" s="2266"/>
      <c r="D65" s="2266"/>
      <c r="E65" s="2266"/>
      <c r="F65" s="2266"/>
      <c r="G65" s="2266"/>
      <c r="H65" s="2266"/>
      <c r="I65" s="2273"/>
      <c r="J65" s="2273"/>
      <c r="K65" s="2266"/>
      <c r="L65" s="2266"/>
      <c r="M65" s="2266"/>
      <c r="N65" s="2266"/>
    </row>
    <row r="66" spans="2:14" ht="12.75" customHeight="1">
      <c r="B66" s="2354" t="str">
        <f>Texte!A1387</f>
        <v xml:space="preserve">    Je 1000 kg Mehr- oder Minderleistung wird mit 5 % höheren oder tieferen Werten gerechnet.</v>
      </c>
      <c r="C66" s="2269"/>
      <c r="D66" s="2269"/>
      <c r="E66" s="2269"/>
      <c r="F66" s="2269"/>
      <c r="G66" s="2269"/>
      <c r="H66" s="2269"/>
      <c r="I66" s="2269"/>
      <c r="J66" s="2269"/>
      <c r="K66" s="2269"/>
      <c r="L66" s="2269"/>
      <c r="M66" s="2269"/>
      <c r="N66" s="2269"/>
    </row>
    <row r="67" spans="2:14" ht="12.75" customHeight="1">
      <c r="B67" s="2354" t="str">
        <f>Texte!A1388</f>
        <v>2) Melkeinheiten</v>
      </c>
      <c r="C67" s="2269"/>
      <c r="D67" s="2269"/>
      <c r="E67" s="2269"/>
      <c r="F67" s="2269"/>
      <c r="G67" s="2269"/>
      <c r="H67" s="2269"/>
      <c r="I67" s="2269"/>
      <c r="J67" s="2269"/>
      <c r="K67" s="2269"/>
      <c r="L67" s="2269"/>
      <c r="M67" s="2269"/>
      <c r="N67" s="2269"/>
    </row>
    <row r="68" spans="2:14" ht="12.75" customHeight="1">
      <c r="B68" s="2354" t="str">
        <f>Texte!A1389</f>
        <v>3) Die hinterlegte Norm gilt für ganzjährigen Betrieb. Saisonalem Betrieb kann durch Wahl der Auslastung Rechnung getragen werden.</v>
      </c>
      <c r="C68" s="2269"/>
      <c r="D68" s="2269"/>
      <c r="E68" s="2269"/>
      <c r="F68" s="2269"/>
      <c r="G68" s="2269"/>
      <c r="H68" s="2269"/>
      <c r="I68" s="2269"/>
      <c r="J68" s="2269"/>
      <c r="K68" s="2269"/>
      <c r="L68" s="2269"/>
      <c r="M68" s="2269"/>
      <c r="N68" s="2269"/>
    </row>
    <row r="69" spans="2:14" ht="12.75" customHeight="1">
      <c r="B69" s="2354" t="str">
        <f>Texte!A1390</f>
        <v>4) Die hinterlegte Norm gilt bei 100 % Belegung. Geringeren Belegungen kann durch Wahl der Auslastung Rechnung getragen werden.</v>
      </c>
      <c r="C69" s="2269"/>
      <c r="D69" s="2269"/>
      <c r="E69" s="2269"/>
      <c r="F69" s="2269"/>
      <c r="G69" s="2269"/>
      <c r="H69" s="2269"/>
      <c r="I69" s="2269"/>
      <c r="J69" s="2269"/>
      <c r="K69" s="2269"/>
      <c r="L69" s="2269"/>
      <c r="M69" s="2269"/>
      <c r="N69" s="2269"/>
    </row>
  </sheetData>
  <sheetProtection algorithmName="SHA-512" hashValue="P9POUF9ZfupxB88xjrSNxYlGswe46CEjAS441oGxm0gn27C9H7O2tcaLOShxtccAbuRjP0CbYeSAZkFVBW2G7w==" saltValue="yVTz2bAalYZVcoK17fLyEA==" spinCount="100000" sheet="1" objects="1" scenarios="1"/>
  <phoneticPr fontId="65" type="noConversion"/>
  <pageMargins left="0.62" right="0.19685039370078741" top="0.37" bottom="0.36" header="0" footer="0.18"/>
  <pageSetup paperSize="9" scale="75"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 Hd">
              <controlPr defaultSize="0" print="0" autoFill="0" autoLine="0" autoPict="0" macro="[0]!Tierb_nach_Hd">
                <anchor moveWithCells="1" sizeWithCells="1">
                  <from>
                    <xdr:col>10</xdr:col>
                    <xdr:colOff>180975</xdr:colOff>
                    <xdr:row>5</xdr:row>
                    <xdr:rowOff>38100</xdr:rowOff>
                  </from>
                  <to>
                    <xdr:col>13</xdr:col>
                    <xdr:colOff>438150</xdr:colOff>
                    <xdr:row>6</xdr:row>
                    <xdr:rowOff>142875</xdr:rowOff>
                  </to>
                </anchor>
              </controlPr>
            </control>
          </mc:Choice>
        </mc:AlternateContent>
        <mc:AlternateContent xmlns:mc="http://schemas.openxmlformats.org/markup-compatibility/2006">
          <mc:Choice Requires="x14">
            <control shapeId="22567" r:id="rId5" name="Butt Gehalte">
              <controlPr defaultSize="0" print="0" autoFill="0" autoLine="0" autoPict="0" macro="[0]!HDA_B_C_Einblenden">
                <anchor moveWithCells="1" sizeWithCells="1">
                  <from>
                    <xdr:col>1</xdr:col>
                    <xdr:colOff>838200</xdr:colOff>
                    <xdr:row>3</xdr:row>
                    <xdr:rowOff>57150</xdr:rowOff>
                  </from>
                  <to>
                    <xdr:col>8</xdr:col>
                    <xdr:colOff>266700</xdr:colOff>
                    <xdr:row>3</xdr:row>
                    <xdr:rowOff>238125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7">
    <tabColor indexed="43"/>
    <pageSetUpPr fitToPage="1"/>
  </sheetPr>
  <dimension ref="A1:AZ82"/>
  <sheetViews>
    <sheetView showGridLines="0" showRowColHeaders="0" showZeros="0" workbookViewId="0">
      <selection activeCell="C4" sqref="C4"/>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1.42578125" style="1191" customWidth="1"/>
    <col min="2" max="2" width="17.7109375" style="872" customWidth="1"/>
    <col min="3" max="3" width="11.42578125" style="872"/>
    <col min="4" max="4" width="5.28515625" style="872" customWidth="1"/>
    <col min="5" max="5" width="6.5703125" style="872" customWidth="1"/>
    <col min="6" max="6" width="4.7109375" style="872" hidden="1" customWidth="1"/>
    <col min="7" max="7" width="6.28515625" style="872" customWidth="1"/>
    <col min="8" max="8" width="30.7109375" style="872" customWidth="1"/>
    <col min="9" max="9" width="3.42578125" style="872" customWidth="1"/>
    <col min="10" max="12" width="4.28515625" style="1195" customWidth="1"/>
    <col min="13" max="13" width="5.140625" style="1195" hidden="1" customWidth="1"/>
    <col min="14" max="14" width="5.42578125" style="1195" hidden="1" customWidth="1"/>
    <col min="15" max="16" width="3.42578125" style="1195" hidden="1" customWidth="1"/>
    <col min="17" max="18" width="5.140625" style="872" customWidth="1"/>
    <col min="19" max="19" width="8.85546875" style="872" hidden="1" customWidth="1"/>
    <col min="20" max="21" width="5.140625" style="872" customWidth="1"/>
    <col min="22" max="22" width="8.85546875" style="872" hidden="1" customWidth="1"/>
    <col min="23" max="25" width="5.140625" style="872" customWidth="1"/>
    <col min="26" max="26" width="8.85546875" style="872" hidden="1" customWidth="1"/>
    <col min="27" max="27" width="5.85546875" style="872" hidden="1" customWidth="1"/>
    <col min="28" max="29" width="4" style="872" customWidth="1"/>
    <col min="30" max="30" width="6.28515625" style="872" customWidth="1"/>
    <col min="31" max="31" width="30.7109375" style="872" customWidth="1"/>
    <col min="32" max="32" width="3.42578125" style="872" customWidth="1"/>
    <col min="33" max="35" width="4.28515625" style="1195" customWidth="1"/>
    <col min="36" max="36" width="5.140625" style="1195" hidden="1" customWidth="1"/>
    <col min="37" max="37" width="5.42578125" style="1195" hidden="1" customWidth="1"/>
    <col min="38" max="39" width="3.42578125" style="1195" hidden="1" customWidth="1"/>
    <col min="40" max="41" width="5.140625" style="872" customWidth="1"/>
    <col min="42" max="42" width="8.85546875" style="872" hidden="1" customWidth="1"/>
    <col min="43" max="44" width="5.140625" style="872" customWidth="1"/>
    <col min="45" max="45" width="8.85546875" style="872" hidden="1" customWidth="1"/>
    <col min="46" max="48" width="5.140625" style="872" customWidth="1"/>
    <col min="49" max="49" width="8.85546875" style="872" hidden="1" customWidth="1"/>
    <col min="50" max="50" width="5.85546875" style="872" hidden="1" customWidth="1"/>
    <col min="51" max="52" width="4" style="872" customWidth="1"/>
    <col min="53" max="16384" width="11.42578125" style="872"/>
  </cols>
  <sheetData>
    <row r="1" spans="1:52" ht="42" customHeight="1">
      <c r="B1" s="19" t="str">
        <f>Q!NW_Tit</f>
        <v xml:space="preserve">                                   Nachweis</v>
      </c>
      <c r="C1" s="43"/>
      <c r="D1" s="43"/>
      <c r="E1" s="43"/>
      <c r="F1" s="43"/>
      <c r="G1" s="1"/>
      <c r="H1" s="2"/>
      <c r="I1" s="2"/>
      <c r="J1" s="2"/>
      <c r="K1" s="2"/>
      <c r="L1" s="2"/>
      <c r="M1" s="2"/>
      <c r="N1" s="2"/>
      <c r="O1" s="2"/>
      <c r="P1" s="2"/>
      <c r="Q1" s="1"/>
      <c r="R1" s="1"/>
      <c r="S1" s="1"/>
      <c r="T1" s="1"/>
      <c r="U1" s="1"/>
      <c r="V1" s="1"/>
      <c r="W1" s="1"/>
      <c r="X1" s="1"/>
      <c r="Y1" s="1"/>
      <c r="Z1" s="1"/>
      <c r="AA1" s="394"/>
      <c r="AB1" s="394"/>
      <c r="AC1" s="1"/>
      <c r="AD1" s="1"/>
      <c r="AE1" s="1"/>
      <c r="AF1" s="1"/>
      <c r="AG1" s="2"/>
      <c r="AH1" s="2"/>
      <c r="AI1" s="2"/>
      <c r="AJ1" s="2"/>
      <c r="AK1" s="2"/>
      <c r="AL1" s="2"/>
      <c r="AM1" s="2"/>
      <c r="AN1" s="1"/>
      <c r="AO1" s="1"/>
      <c r="AP1" s="1"/>
      <c r="AQ1" s="1"/>
      <c r="AR1" s="1"/>
      <c r="AS1" s="1"/>
      <c r="AT1" s="1"/>
      <c r="AU1" s="1"/>
      <c r="AV1" s="1"/>
      <c r="AW1" s="1"/>
      <c r="AX1" s="394"/>
      <c r="AY1" s="1"/>
      <c r="AZ1" s="20" t="str">
        <f>Q!F30</f>
        <v>A. Angaben zum Hofdüngeranfall</v>
      </c>
    </row>
    <row r="2" spans="1:52" ht="10.5" customHeight="1" thickBot="1">
      <c r="B2" s="21"/>
      <c r="C2" s="21"/>
      <c r="D2" s="21"/>
      <c r="E2" s="21"/>
      <c r="F2" s="21"/>
      <c r="G2" s="21"/>
      <c r="H2" s="580"/>
      <c r="I2" s="580"/>
      <c r="J2" s="580"/>
      <c r="K2" s="580"/>
      <c r="L2" s="580"/>
      <c r="M2" s="580"/>
      <c r="N2" s="580"/>
      <c r="O2" s="580"/>
      <c r="P2" s="580"/>
      <c r="Q2" s="21"/>
      <c r="R2" s="21"/>
      <c r="S2" s="21"/>
      <c r="T2" s="21"/>
      <c r="U2" s="21"/>
      <c r="V2" s="21"/>
      <c r="W2" s="21"/>
      <c r="X2" s="1022"/>
      <c r="Y2" s="21"/>
      <c r="Z2" s="21"/>
      <c r="AA2" s="610"/>
      <c r="AB2" s="610"/>
      <c r="AC2" s="610"/>
      <c r="AD2" s="21"/>
      <c r="AE2" s="21"/>
      <c r="AF2" s="21"/>
      <c r="AG2" s="580"/>
      <c r="AH2" s="580"/>
      <c r="AI2" s="580"/>
      <c r="AJ2" s="580"/>
      <c r="AK2" s="580"/>
      <c r="AL2" s="580"/>
      <c r="AM2" s="580"/>
      <c r="AN2" s="21"/>
      <c r="AO2" s="21"/>
      <c r="AP2" s="21"/>
      <c r="AQ2" s="21"/>
      <c r="AR2" s="21"/>
      <c r="AS2" s="21"/>
      <c r="AT2" s="21"/>
      <c r="AU2" s="21"/>
      <c r="AV2" s="21"/>
      <c r="AW2" s="21"/>
      <c r="AX2" s="610"/>
      <c r="AY2" s="21"/>
      <c r="AZ2" s="21"/>
    </row>
    <row r="3" spans="1:52" customFormat="1" ht="4.7" customHeight="1">
      <c r="A3" s="804"/>
      <c r="J3" s="648"/>
      <c r="K3" s="648"/>
      <c r="L3" s="648"/>
      <c r="M3" s="648"/>
      <c r="N3" s="648"/>
      <c r="O3" s="648"/>
      <c r="P3" s="648"/>
      <c r="AG3" s="648"/>
      <c r="AH3" s="648"/>
      <c r="AI3" s="648"/>
      <c r="AJ3" s="648"/>
      <c r="AK3" s="648"/>
      <c r="AL3" s="648"/>
      <c r="AM3" s="648"/>
    </row>
    <row r="4" spans="1:52" ht="12.75" customHeight="1">
      <c r="B4" s="1028" t="str">
        <f>Texte!A1393</f>
        <v>Sommermonate:</v>
      </c>
      <c r="C4" s="1023"/>
      <c r="D4" s="1024">
        <f>IF(AND(ISBLANK($C$4),ISBLANK($C$5)),5,SUM(C4))</f>
        <v>5</v>
      </c>
      <c r="E4" s="1"/>
      <c r="F4" s="1024"/>
      <c r="G4" s="80"/>
      <c r="H4" s="1"/>
      <c r="I4" s="1"/>
      <c r="J4" s="1"/>
      <c r="K4" s="1"/>
      <c r="L4" s="1"/>
      <c r="M4" s="1"/>
      <c r="N4" s="1"/>
      <c r="O4" s="1"/>
      <c r="P4" s="1"/>
      <c r="Q4" s="1"/>
      <c r="R4" s="1"/>
      <c r="S4" s="80"/>
      <c r="T4" s="1"/>
      <c r="U4" s="1"/>
      <c r="V4" s="80"/>
      <c r="W4" s="80"/>
      <c r="X4" s="48"/>
      <c r="Y4" s="80"/>
      <c r="Z4" s="80"/>
      <c r="AA4" s="1"/>
      <c r="AB4" s="1"/>
      <c r="AC4" s="326"/>
      <c r="AD4" s="80"/>
      <c r="AE4" s="80"/>
      <c r="AF4" s="80"/>
      <c r="AG4" s="1"/>
      <c r="AH4" s="1"/>
      <c r="AI4" s="1"/>
      <c r="AJ4" s="1"/>
      <c r="AK4" s="1"/>
      <c r="AL4" s="1"/>
      <c r="AM4" s="1"/>
      <c r="AN4" s="80"/>
      <c r="AO4" s="1"/>
      <c r="AP4" s="80"/>
      <c r="AQ4" s="80"/>
      <c r="AR4" s="1"/>
      <c r="AS4" s="80"/>
      <c r="AT4" s="80"/>
      <c r="AU4" s="80"/>
      <c r="AV4" s="80"/>
      <c r="AW4" s="80"/>
      <c r="AX4" s="1"/>
      <c r="AY4" s="80"/>
      <c r="AZ4" s="80"/>
    </row>
    <row r="5" spans="1:52" ht="13.5" thickBot="1">
      <c r="B5" s="1028" t="str">
        <f>Texte!A1394</f>
        <v>Wintermonate:</v>
      </c>
      <c r="C5" s="1025"/>
      <c r="D5" s="1024">
        <f>IF(AND(ISBLANK($C$4),ISBLANK($C$5)),7,SUM(C5))</f>
        <v>7</v>
      </c>
      <c r="E5" s="80"/>
      <c r="F5" s="1024"/>
      <c r="Q5" s="1"/>
      <c r="R5" s="328"/>
      <c r="S5" s="80"/>
      <c r="T5" s="1"/>
      <c r="U5" s="328"/>
      <c r="V5" s="80"/>
      <c r="W5" s="48"/>
      <c r="X5" s="80"/>
      <c r="Y5" s="80"/>
      <c r="Z5" s="80"/>
      <c r="AA5" s="1"/>
      <c r="AB5" s="1"/>
      <c r="AC5" s="1026"/>
      <c r="AD5" s="80"/>
      <c r="AE5" s="80"/>
      <c r="AF5" s="80"/>
      <c r="AN5" s="80"/>
      <c r="AO5" s="1"/>
      <c r="AP5" s="80"/>
      <c r="AQ5" s="80"/>
      <c r="AR5" s="1"/>
      <c r="AS5" s="80"/>
      <c r="AT5" s="1027"/>
      <c r="AU5" s="1"/>
      <c r="AV5" s="80"/>
      <c r="AW5" s="80"/>
      <c r="AX5" s="1"/>
      <c r="AY5" s="80"/>
      <c r="AZ5" s="80"/>
    </row>
    <row r="6" spans="1:52" ht="14.25" customHeight="1" thickTop="1">
      <c r="B6" s="1028" t="str">
        <f>Texte!A1395</f>
        <v>Berechnungsperiode:</v>
      </c>
      <c r="C6" s="207">
        <f>D4+D5</f>
        <v>12</v>
      </c>
    </row>
    <row r="7" spans="1:52" ht="4.7" customHeight="1">
      <c r="B7" s="80"/>
      <c r="C7" s="80"/>
      <c r="D7" s="80"/>
      <c r="E7" s="80"/>
      <c r="F7" s="80"/>
      <c r="G7" s="80"/>
      <c r="H7" s="1029"/>
      <c r="I7" s="1029"/>
      <c r="J7" s="1029"/>
      <c r="K7" s="1029"/>
      <c r="L7" s="1029"/>
      <c r="M7" s="1029"/>
      <c r="N7" s="1029"/>
      <c r="O7" s="1029"/>
      <c r="P7" s="1029"/>
      <c r="Q7" s="1"/>
      <c r="R7" s="1"/>
      <c r="S7" s="80"/>
      <c r="T7" s="1"/>
      <c r="U7" s="1"/>
      <c r="V7" s="80"/>
      <c r="W7" s="1030"/>
      <c r="X7" s="80"/>
      <c r="Y7" s="80"/>
      <c r="Z7" s="80"/>
      <c r="AA7" s="326"/>
      <c r="AB7" s="326"/>
      <c r="AC7" s="326"/>
      <c r="AD7" s="80"/>
      <c r="AE7" s="80"/>
      <c r="AF7" s="80"/>
      <c r="AG7" s="1029"/>
      <c r="AH7" s="1029"/>
      <c r="AI7" s="1029"/>
      <c r="AJ7" s="1029"/>
      <c r="AK7" s="1029"/>
      <c r="AL7" s="1029"/>
      <c r="AM7" s="1029"/>
      <c r="AN7" s="80"/>
      <c r="AO7" s="80"/>
      <c r="AP7" s="80"/>
      <c r="AQ7" s="80"/>
      <c r="AR7" s="80"/>
      <c r="AS7" s="80"/>
      <c r="AT7" s="80"/>
      <c r="AU7" s="80"/>
      <c r="AV7" s="80"/>
      <c r="AW7" s="80"/>
      <c r="AX7" s="326"/>
      <c r="AY7" s="80"/>
      <c r="AZ7" s="80"/>
    </row>
    <row r="8" spans="1:52" ht="13.5">
      <c r="B8" s="298"/>
      <c r="C8" s="299"/>
      <c r="D8" s="298"/>
      <c r="E8" s="298"/>
      <c r="F8" s="1031"/>
      <c r="G8" s="1189" t="str">
        <f>Texte!A1424</f>
        <v>Aufstallungssystem 1</v>
      </c>
      <c r="H8" s="508"/>
      <c r="I8" s="508"/>
      <c r="J8" s="508"/>
      <c r="K8" s="508"/>
      <c r="L8" s="508"/>
      <c r="M8" s="508"/>
      <c r="N8" s="508"/>
      <c r="O8" s="508"/>
      <c r="P8" s="508"/>
      <c r="Q8" s="508"/>
      <c r="R8" s="508"/>
      <c r="S8" s="508"/>
      <c r="T8" s="508"/>
      <c r="U8" s="508"/>
      <c r="V8" s="508"/>
      <c r="W8" s="508"/>
      <c r="X8" s="508"/>
      <c r="Y8" s="508"/>
      <c r="Z8" s="508"/>
      <c r="AA8" s="508"/>
      <c r="AB8" s="1032"/>
      <c r="AC8" s="1033"/>
      <c r="AD8" s="1034" t="str">
        <f>Texte!A1449</f>
        <v>Aufstallungssystem 2</v>
      </c>
      <c r="AE8" s="508"/>
      <c r="AF8" s="508"/>
      <c r="AG8" s="508"/>
      <c r="AH8" s="508"/>
      <c r="AI8" s="508"/>
      <c r="AJ8" s="508"/>
      <c r="AK8" s="508"/>
      <c r="AL8" s="508"/>
      <c r="AM8" s="508"/>
      <c r="AN8" s="508"/>
      <c r="AO8" s="508"/>
      <c r="AP8" s="508"/>
      <c r="AQ8" s="508"/>
      <c r="AR8" s="508"/>
      <c r="AS8" s="508"/>
      <c r="AT8" s="508"/>
      <c r="AU8" s="508"/>
      <c r="AV8" s="508"/>
      <c r="AW8" s="508"/>
      <c r="AX8" s="508"/>
      <c r="AY8" s="1032"/>
      <c r="AZ8" s="1033"/>
    </row>
    <row r="9" spans="1:52" ht="12.75">
      <c r="B9" s="539" t="str">
        <f>Texte!A1396</f>
        <v>Tierart, Tierplatzkategorie</v>
      </c>
      <c r="C9" s="80"/>
      <c r="D9" s="139" t="str">
        <f>Texte!A1399</f>
        <v>Ein-</v>
      </c>
      <c r="E9" s="139" t="str">
        <f>Texte!A1402</f>
        <v>Faktor</v>
      </c>
      <c r="F9" s="1035" t="str">
        <f>Texte!A1407</f>
        <v>Tier-</v>
      </c>
      <c r="G9" s="1038" t="str">
        <f>Texte!A1414</f>
        <v>Anzahl</v>
      </c>
      <c r="H9" s="412"/>
      <c r="I9" s="413"/>
      <c r="J9" s="413"/>
      <c r="K9" s="413"/>
      <c r="L9" s="413"/>
      <c r="M9" s="413"/>
      <c r="N9" s="413"/>
      <c r="O9" s="413"/>
      <c r="P9" s="413"/>
      <c r="Q9" s="412" t="str">
        <f>Texte!A1425</f>
        <v>Anzahl Tage während</v>
      </c>
      <c r="R9" s="413"/>
      <c r="S9" s="413"/>
      <c r="T9" s="412"/>
      <c r="U9" s="413"/>
      <c r="V9" s="413"/>
      <c r="W9" s="413"/>
      <c r="X9" s="413"/>
      <c r="Y9" s="413"/>
      <c r="Z9" s="413"/>
      <c r="AA9" s="791" t="str">
        <f>Texte!A1440</f>
        <v>Sch-</v>
      </c>
      <c r="AB9" s="1036" t="str">
        <f>Texte!A1443</f>
        <v>Gülle-</v>
      </c>
      <c r="AC9" s="1037" t="str">
        <f>Texte!A1446</f>
        <v>Mist-</v>
      </c>
      <c r="AD9" s="1038" t="str">
        <f>Texte!A1414</f>
        <v>Anzahl</v>
      </c>
      <c r="AE9" s="412"/>
      <c r="AF9" s="413"/>
      <c r="AG9" s="413"/>
      <c r="AH9" s="413"/>
      <c r="AI9" s="413"/>
      <c r="AJ9" s="413"/>
      <c r="AK9" s="413"/>
      <c r="AL9" s="413"/>
      <c r="AM9" s="413"/>
      <c r="AN9" s="412" t="str">
        <f>Texte!A1425</f>
        <v>Anzahl Tage während</v>
      </c>
      <c r="AO9" s="413"/>
      <c r="AP9" s="413"/>
      <c r="AQ9" s="412"/>
      <c r="AR9" s="413"/>
      <c r="AS9" s="413"/>
      <c r="AT9" s="413"/>
      <c r="AU9" s="413"/>
      <c r="AV9" s="413"/>
      <c r="AW9" s="413"/>
      <c r="AX9" s="791" t="str">
        <f>Texte!A1440</f>
        <v>Sch-</v>
      </c>
      <c r="AY9" s="1036" t="str">
        <f>Texte!A1443</f>
        <v>Gülle-</v>
      </c>
      <c r="AZ9" s="1037" t="str">
        <f>Texte!A1446</f>
        <v>Mist-</v>
      </c>
    </row>
    <row r="10" spans="1:52" ht="12.75">
      <c r="B10" s="302"/>
      <c r="C10" s="110"/>
      <c r="D10" s="139" t="str">
        <f>Texte!A1400</f>
        <v>heit</v>
      </c>
      <c r="E10" s="139"/>
      <c r="F10" s="1035" t="str">
        <f>Texte!A1408</f>
        <v>art-</v>
      </c>
      <c r="G10" s="1038" t="str">
        <f>Texte!A1415</f>
        <v>Ein-</v>
      </c>
      <c r="H10" s="469"/>
      <c r="J10" s="1039"/>
      <c r="K10" s="1039"/>
      <c r="L10" s="1039"/>
      <c r="M10" s="1039"/>
      <c r="N10" s="1039"/>
      <c r="O10" s="1039"/>
      <c r="P10" s="1039"/>
      <c r="Q10" s="412" t="str">
        <f>Texte!A1426</f>
        <v>Berechnungsperiode</v>
      </c>
      <c r="R10" s="413"/>
      <c r="S10" s="413"/>
      <c r="T10" s="412"/>
      <c r="U10" s="413"/>
      <c r="V10" s="413"/>
      <c r="W10" s="413"/>
      <c r="X10" s="413"/>
      <c r="Y10" s="413"/>
      <c r="Z10" s="413"/>
      <c r="AA10" s="791" t="str">
        <f>Texte!A1441</f>
        <v>weine</v>
      </c>
      <c r="AB10" s="1036" t="str">
        <f>Texte!A1444</f>
        <v>grube</v>
      </c>
      <c r="AC10" s="1037" t="str">
        <f>Texte!A1447</f>
        <v>platz</v>
      </c>
      <c r="AD10" s="1038" t="str">
        <f>Texte!A1415</f>
        <v>Ein-</v>
      </c>
      <c r="AE10" s="469"/>
      <c r="AG10" s="1039"/>
      <c r="AH10" s="1039"/>
      <c r="AI10" s="1039"/>
      <c r="AJ10" s="1039"/>
      <c r="AK10" s="1039"/>
      <c r="AL10" s="1039"/>
      <c r="AM10" s="1039"/>
      <c r="AN10" s="412" t="str">
        <f>Texte!A1426</f>
        <v>Berechnungsperiode</v>
      </c>
      <c r="AO10" s="413"/>
      <c r="AP10" s="413"/>
      <c r="AQ10" s="412"/>
      <c r="AR10" s="413"/>
      <c r="AS10" s="413"/>
      <c r="AT10" s="413"/>
      <c r="AU10" s="413"/>
      <c r="AV10" s="413"/>
      <c r="AW10" s="413"/>
      <c r="AX10" s="791" t="str">
        <f>Texte!A1441</f>
        <v>weine</v>
      </c>
      <c r="AY10" s="1036" t="str">
        <f>Texte!A1444</f>
        <v>grube</v>
      </c>
      <c r="AZ10" s="1037" t="str">
        <f>Texte!A1447</f>
        <v>platz</v>
      </c>
    </row>
    <row r="11" spans="1:52" ht="12.75">
      <c r="B11" s="301"/>
      <c r="C11" s="459" t="str">
        <f>Texte!A1397</f>
        <v>Ø Milch-</v>
      </c>
      <c r="D11" s="684"/>
      <c r="E11" s="684"/>
      <c r="F11" s="1040" t="str">
        <f>Texte!A1409</f>
        <v>Index</v>
      </c>
      <c r="G11" s="1038" t="str">
        <f>Texte!A1416</f>
        <v>heiten</v>
      </c>
      <c r="H11" s="469"/>
      <c r="I11" s="1039" t="str">
        <f>Texte!A1417</f>
        <v>Schwemmentmistung</v>
      </c>
      <c r="J11" s="1199" t="str">
        <f>Texte!A1418</f>
        <v>Anfall / Mt.</v>
      </c>
      <c r="K11" s="1199"/>
      <c r="L11" s="1199"/>
      <c r="M11" s="1199"/>
      <c r="N11" s="1199"/>
      <c r="O11" s="1198" t="str">
        <f>Texte!A1419</f>
        <v>Typ No</v>
      </c>
      <c r="P11" s="1198"/>
      <c r="Q11" s="1042" t="str">
        <f>Texte!A1427</f>
        <v>Zuschlag, Abzug</v>
      </c>
      <c r="R11" s="1043"/>
      <c r="S11" s="413"/>
      <c r="T11" s="1042" t="str">
        <f>Texte!A1431</f>
        <v>Laufhofabzug</v>
      </c>
      <c r="U11" s="1043"/>
      <c r="V11" s="413"/>
      <c r="W11" s="412" t="str">
        <f>Texte!A1435</f>
        <v>Weideabzug</v>
      </c>
      <c r="X11" s="413"/>
      <c r="Y11" s="413"/>
      <c r="Z11" s="413"/>
      <c r="AA11" s="791" t="str">
        <f>Texte!A1442</f>
        <v>Gülle</v>
      </c>
      <c r="AB11" s="1036" t="str">
        <f>Texte!A1445</f>
        <v>Nr.</v>
      </c>
      <c r="AC11" s="1037" t="str">
        <f>Texte!A1448</f>
        <v>Nr.</v>
      </c>
      <c r="AD11" s="1038" t="str">
        <f>Texte!A1416</f>
        <v>heiten</v>
      </c>
      <c r="AE11" s="469"/>
      <c r="AF11" s="1039" t="str">
        <f>Texte!A1417</f>
        <v>Schwemmentmistung</v>
      </c>
      <c r="AG11" s="1199" t="str">
        <f>Texte!A1418</f>
        <v>Anfall / Mt.</v>
      </c>
      <c r="AH11" s="1199"/>
      <c r="AI11" s="1199"/>
      <c r="AJ11" s="1199"/>
      <c r="AK11" s="1199"/>
      <c r="AL11" s="1198" t="str">
        <f>Texte!A1419</f>
        <v>Typ No</v>
      </c>
      <c r="AM11" s="1198"/>
      <c r="AN11" s="1042" t="str">
        <f>Texte!A1427</f>
        <v>Zuschlag, Abzug</v>
      </c>
      <c r="AO11" s="1043"/>
      <c r="AP11" s="413"/>
      <c r="AQ11" s="1042" t="str">
        <f>Texte!A1431</f>
        <v>Laufhofabzug</v>
      </c>
      <c r="AR11" s="1043"/>
      <c r="AS11" s="413"/>
      <c r="AT11" s="412" t="str">
        <f>Texte!A1435</f>
        <v>Weideabzug</v>
      </c>
      <c r="AU11" s="413"/>
      <c r="AV11" s="413"/>
      <c r="AW11" s="413"/>
      <c r="AX11" s="791" t="str">
        <f>Texte!A1442</f>
        <v>Gülle</v>
      </c>
      <c r="AY11" s="1036" t="str">
        <f>Texte!A1445</f>
        <v>Nr.</v>
      </c>
      <c r="AZ11" s="1037" t="str">
        <f>Texte!A1448</f>
        <v>Nr.</v>
      </c>
    </row>
    <row r="12" spans="1:52" ht="12.75">
      <c r="B12" s="1985" t="str">
        <f>D_Klick!D221</f>
        <v>Rindvieh</v>
      </c>
      <c r="C12" s="1986" t="str">
        <f>Texte!A1398</f>
        <v>leistung</v>
      </c>
      <c r="D12" s="1987"/>
      <c r="E12" s="1987"/>
      <c r="F12" s="1044"/>
      <c r="G12" s="1049"/>
      <c r="H12" s="1041" t="str">
        <f>Texte!A1423</f>
        <v>Art der Aufstallung</v>
      </c>
      <c r="I12" s="1045" t="s">
        <v>1295</v>
      </c>
      <c r="J12" s="1194" t="str">
        <f>Texte!A1420</f>
        <v>Stroh</v>
      </c>
      <c r="K12" s="1194" t="str">
        <f>Texte!A1421</f>
        <v>Mist</v>
      </c>
      <c r="L12" s="1194" t="str">
        <f>Texte!A1422</f>
        <v>Gülle</v>
      </c>
      <c r="M12" s="1275" t="s">
        <v>4892</v>
      </c>
      <c r="N12" s="1275" t="s">
        <v>4893</v>
      </c>
      <c r="O12" s="1194" t="str">
        <f>Texte!A1421</f>
        <v>Mist</v>
      </c>
      <c r="P12" s="1194" t="str">
        <f>Texte!A1422</f>
        <v>Gülle</v>
      </c>
      <c r="Q12" s="435" t="str">
        <f>Texte!A1428</f>
        <v>± Einh.</v>
      </c>
      <c r="R12" s="430" t="str">
        <f>Texte!A1429</f>
        <v>Tage</v>
      </c>
      <c r="S12" s="1046" t="str">
        <f>Texte!A1430</f>
        <v>Tiere/Periode</v>
      </c>
      <c r="T12" s="435" t="str">
        <f>Texte!A1432</f>
        <v>Einh.</v>
      </c>
      <c r="U12" s="430" t="str">
        <f>Texte!A1433</f>
        <v>Tage</v>
      </c>
      <c r="V12" s="1046" t="str">
        <f>Texte!A1434</f>
        <v>Tiere/Periode</v>
      </c>
      <c r="W12" s="437" t="str">
        <f>Texte!A1436</f>
        <v>Einh.</v>
      </c>
      <c r="X12" s="430" t="str">
        <f>Texte!A1437</f>
        <v>Tage</v>
      </c>
      <c r="Y12" s="430" t="str">
        <f>Texte!A1438</f>
        <v>Std</v>
      </c>
      <c r="Z12" s="1046" t="str">
        <f>Texte!A1439</f>
        <v>Tiere/Periode</v>
      </c>
      <c r="AA12" s="805"/>
      <c r="AB12" s="1047" t="s">
        <v>143</v>
      </c>
      <c r="AC12" s="1048" t="s">
        <v>3041</v>
      </c>
      <c r="AD12" s="1049"/>
      <c r="AE12" s="1041" t="str">
        <f>Texte!A1423</f>
        <v>Art der Aufstallung</v>
      </c>
      <c r="AF12" s="1045" t="s">
        <v>1295</v>
      </c>
      <c r="AG12" s="1194" t="str">
        <f>Texte!A1420</f>
        <v>Stroh</v>
      </c>
      <c r="AH12" s="1194" t="str">
        <f>Texte!A1421</f>
        <v>Mist</v>
      </c>
      <c r="AI12" s="1194" t="str">
        <f>Texte!A1422</f>
        <v>Gülle</v>
      </c>
      <c r="AJ12" s="1194" t="s">
        <v>4892</v>
      </c>
      <c r="AK12" s="1194" t="s">
        <v>4893</v>
      </c>
      <c r="AL12" s="1194" t="str">
        <f>Texte!A1421</f>
        <v>Mist</v>
      </c>
      <c r="AM12" s="1194" t="str">
        <f>Texte!A1422</f>
        <v>Gülle</v>
      </c>
      <c r="AN12" s="435" t="str">
        <f>Texte!A1428</f>
        <v>± Einh.</v>
      </c>
      <c r="AO12" s="430" t="str">
        <f>Texte!A1429</f>
        <v>Tage</v>
      </c>
      <c r="AP12" s="1046" t="str">
        <f>Texte!A1430</f>
        <v>Tiere/Periode</v>
      </c>
      <c r="AQ12" s="435" t="str">
        <f>Texte!A1432</f>
        <v>Einh.</v>
      </c>
      <c r="AR12" s="430" t="str">
        <f>Texte!A1433</f>
        <v>Tage</v>
      </c>
      <c r="AS12" s="1046" t="str">
        <f>Texte!A1434</f>
        <v>Tiere/Periode</v>
      </c>
      <c r="AT12" s="437" t="str">
        <f>Texte!A1436</f>
        <v>Einh.</v>
      </c>
      <c r="AU12" s="430" t="str">
        <f>Texte!A1437</f>
        <v>Tage</v>
      </c>
      <c r="AV12" s="430" t="str">
        <f>Texte!A1438</f>
        <v>Std</v>
      </c>
      <c r="AW12" s="1046" t="s">
        <v>141</v>
      </c>
      <c r="AX12" s="805"/>
      <c r="AY12" s="1047" t="s">
        <v>143</v>
      </c>
      <c r="AZ12" s="1048" t="s">
        <v>3041</v>
      </c>
    </row>
    <row r="13" spans="1:52" ht="20.100000000000001" customHeight="1">
      <c r="B13" s="1988" t="str">
        <f>D_Klick!D222</f>
        <v>Milchkühe</v>
      </c>
      <c r="C13" s="3366">
        <f>D_Tierb!D9</f>
        <v>7500</v>
      </c>
      <c r="D13" s="1984" t="str">
        <f>Texte!A1450</f>
        <v>Stück</v>
      </c>
      <c r="E13" s="1984">
        <f>D_Klick!N44</f>
        <v>1</v>
      </c>
      <c r="F13" s="350">
        <f>Tierb!A9</f>
        <v>100</v>
      </c>
      <c r="G13" s="1246">
        <f>IF(Tierb!G9="",0,Tierb!G9-AD13)</f>
        <v>0</v>
      </c>
      <c r="H13" s="1254"/>
      <c r="I13" s="1050"/>
      <c r="J13" s="1259"/>
      <c r="K13" s="1259"/>
      <c r="L13" s="1259"/>
      <c r="M13" s="1259"/>
      <c r="N13" s="1259"/>
      <c r="O13" s="1193"/>
      <c r="P13" s="1193"/>
      <c r="Q13" s="929">
        <f>Tierb!J9-AN13</f>
        <v>0</v>
      </c>
      <c r="R13" s="930">
        <f>Tierb!K9</f>
        <v>0</v>
      </c>
      <c r="S13" s="520">
        <f>(Q13*R13) / ($C$6*30.417)</f>
        <v>0</v>
      </c>
      <c r="T13" s="929">
        <f>Tierb!N9-AQ13</f>
        <v>0</v>
      </c>
      <c r="U13" s="930">
        <f>Tierb!O9</f>
        <v>0</v>
      </c>
      <c r="V13" s="520">
        <f>(T13*U13) / ($C$6*30.417)</f>
        <v>0</v>
      </c>
      <c r="W13" s="929">
        <f>Tierb!P9-AT13</f>
        <v>0</v>
      </c>
      <c r="X13" s="930">
        <f>Tierb!R9</f>
        <v>0</v>
      </c>
      <c r="Y13" s="930">
        <f>Tierb!Q9</f>
        <v>0</v>
      </c>
      <c r="Z13" s="520">
        <f>(W13*X13*Y13) / ($C$6*24*30.417)</f>
        <v>0</v>
      </c>
      <c r="AA13" s="1052" t="b">
        <v>0</v>
      </c>
      <c r="AB13" s="1053">
        <v>1</v>
      </c>
      <c r="AC13" s="1054">
        <v>1</v>
      </c>
      <c r="AD13" s="1055"/>
      <c r="AE13" s="1254"/>
      <c r="AF13" s="1050"/>
      <c r="AG13" s="1259"/>
      <c r="AH13" s="1259"/>
      <c r="AI13" s="1259"/>
      <c r="AJ13" s="1259"/>
      <c r="AK13" s="1259"/>
      <c r="AL13" s="1193"/>
      <c r="AM13" s="1193"/>
      <c r="AN13" s="929"/>
      <c r="AO13" s="930">
        <f>IF(AN13&lt;&gt;0,Tierb!K9,0)</f>
        <v>0</v>
      </c>
      <c r="AP13" s="520">
        <f>(AN13*AO13) / ($C$6*30.417)</f>
        <v>0</v>
      </c>
      <c r="AQ13" s="929"/>
      <c r="AR13" s="930">
        <f>IF(AQ13&lt;&gt;0,Tierb!O9,0)</f>
        <v>0</v>
      </c>
      <c r="AS13" s="520">
        <f>(AQ13*AR13) / ($C$6*30.417)</f>
        <v>0</v>
      </c>
      <c r="AT13" s="929"/>
      <c r="AU13" s="930">
        <f>IF(AT13&gt;0,Tierb!R9,0)</f>
        <v>0</v>
      </c>
      <c r="AV13" s="930">
        <f>IF(AT13&gt;0,Tierb!Q9,0)</f>
        <v>0</v>
      </c>
      <c r="AW13" s="520">
        <f>(AT13*AU13*AV13) / ($C$6*24*30.417)</f>
        <v>0</v>
      </c>
      <c r="AX13" s="1052" t="b">
        <v>0</v>
      </c>
      <c r="AY13" s="1053">
        <v>1</v>
      </c>
      <c r="AZ13" s="1054">
        <v>1</v>
      </c>
    </row>
    <row r="14" spans="1:52" ht="20.100000000000001" customHeight="1">
      <c r="B14" s="1988" t="str">
        <f>D_Klick!D223</f>
        <v>Galt- oder Ausmastkühe</v>
      </c>
      <c r="C14" s="1989"/>
      <c r="D14" s="1984" t="str">
        <f>Texte!A1451</f>
        <v>Platz</v>
      </c>
      <c r="E14" s="1984">
        <f>D_Klick!N45</f>
        <v>1</v>
      </c>
      <c r="F14" s="350">
        <f>Tierb!A10</f>
        <v>104</v>
      </c>
      <c r="G14" s="1246">
        <f>IF(Tierb!G10="",0,Tierb!G10-AD14)</f>
        <v>0</v>
      </c>
      <c r="H14" s="1255"/>
      <c r="I14" s="1050"/>
      <c r="J14" s="1260"/>
      <c r="K14" s="1260"/>
      <c r="L14" s="1260"/>
      <c r="M14" s="1260"/>
      <c r="N14" s="1260"/>
      <c r="O14" s="1193"/>
      <c r="P14" s="1193"/>
      <c r="Q14" s="929">
        <f>Tierb!J10-AN14</f>
        <v>0</v>
      </c>
      <c r="R14" s="930">
        <f>Tierb!K10</f>
        <v>0</v>
      </c>
      <c r="S14" s="520">
        <f t="shared" ref="S14:S35" si="0">(Q14*R14) / ($C$6*30.417)</f>
        <v>0</v>
      </c>
      <c r="T14" s="929">
        <f>Tierb!N10-AQ14</f>
        <v>0</v>
      </c>
      <c r="U14" s="930">
        <f>Tierb!O10</f>
        <v>0</v>
      </c>
      <c r="V14" s="520">
        <f t="shared" ref="V14:V35" si="1">(T14*U14) / ($C$6*30.417)</f>
        <v>0</v>
      </c>
      <c r="W14" s="929">
        <f>Tierb!P10-AT14</f>
        <v>0</v>
      </c>
      <c r="X14" s="930">
        <f>Tierb!R10</f>
        <v>0</v>
      </c>
      <c r="Y14" s="930">
        <f>Tierb!Q10</f>
        <v>0</v>
      </c>
      <c r="Z14" s="520">
        <f t="shared" ref="Z14:Z35" si="2">(W14*X14*Y14) / ($C$6*24*30.417)</f>
        <v>0</v>
      </c>
      <c r="AA14" s="1052" t="b">
        <v>0</v>
      </c>
      <c r="AB14" s="1053">
        <v>1</v>
      </c>
      <c r="AC14" s="1054">
        <v>1</v>
      </c>
      <c r="AD14" s="1055"/>
      <c r="AE14" s="1255"/>
      <c r="AF14" s="1050"/>
      <c r="AG14" s="1260"/>
      <c r="AH14" s="1260"/>
      <c r="AI14" s="1260"/>
      <c r="AJ14" s="1260"/>
      <c r="AK14" s="1260"/>
      <c r="AL14" s="1193"/>
      <c r="AM14" s="1193"/>
      <c r="AN14" s="929"/>
      <c r="AO14" s="930">
        <f>IF(AN14&lt;&gt;0,Tierb!K10,0)</f>
        <v>0</v>
      </c>
      <c r="AP14" s="520">
        <f t="shared" ref="AP14:AP35" si="3">(AN14*AO14) / ($C$6*30.417)</f>
        <v>0</v>
      </c>
      <c r="AQ14" s="929"/>
      <c r="AR14" s="930">
        <f>IF(AQ14&lt;&gt;0,Tierb!O10,0)</f>
        <v>0</v>
      </c>
      <c r="AS14" s="520">
        <f t="shared" ref="AS14:AS35" si="4">(AQ14*AR14) / ($C$6*30.417)</f>
        <v>0</v>
      </c>
      <c r="AT14" s="929"/>
      <c r="AU14" s="930">
        <f>IF(AT14&gt;0,Tierb!R10,0)</f>
        <v>0</v>
      </c>
      <c r="AV14" s="930">
        <f>IF(AT14&gt;0,Tierb!Q10,0)</f>
        <v>0</v>
      </c>
      <c r="AW14" s="520">
        <f t="shared" ref="AW14:AW35" si="5">(AT14*AU14*AV14) / ($C$6*24*30.417)</f>
        <v>0</v>
      </c>
      <c r="AX14" s="1052" t="b">
        <v>0</v>
      </c>
      <c r="AY14" s="1053">
        <v>1</v>
      </c>
      <c r="AZ14" s="1054">
        <v>1</v>
      </c>
    </row>
    <row r="15" spans="1:52" ht="20.100000000000001" customHeight="1">
      <c r="B15" s="1988" t="str">
        <f>D_Klick!D224</f>
        <v>Jungvieh, bis 160-tägig</v>
      </c>
      <c r="C15" s="1990"/>
      <c r="D15" s="1984" t="str">
        <f>Texte!A1451</f>
        <v>Platz</v>
      </c>
      <c r="E15" s="1984">
        <f>D_Klick!N46</f>
        <v>0.13</v>
      </c>
      <c r="F15" s="350">
        <f>Tierb!A11</f>
        <v>108</v>
      </c>
      <c r="G15" s="1246">
        <f>IF(Tierb!G11="",0,Tierb!G11-AD15)</f>
        <v>0</v>
      </c>
      <c r="H15" s="1255"/>
      <c r="I15" s="1050"/>
      <c r="J15" s="1260"/>
      <c r="K15" s="1260"/>
      <c r="L15" s="1260"/>
      <c r="M15" s="1260"/>
      <c r="N15" s="1260"/>
      <c r="O15" s="1193"/>
      <c r="P15" s="1193"/>
      <c r="Q15" s="929">
        <f>Tierb!J11-AN15</f>
        <v>0</v>
      </c>
      <c r="R15" s="930">
        <f>Tierb!K11</f>
        <v>0</v>
      </c>
      <c r="S15" s="520">
        <f t="shared" si="0"/>
        <v>0</v>
      </c>
      <c r="T15" s="929">
        <f>Tierb!N11-AQ15</f>
        <v>0</v>
      </c>
      <c r="U15" s="930">
        <f>Tierb!O11</f>
        <v>0</v>
      </c>
      <c r="V15" s="520">
        <f t="shared" si="1"/>
        <v>0</v>
      </c>
      <c r="W15" s="929">
        <f>Tierb!P11-AT15</f>
        <v>0</v>
      </c>
      <c r="X15" s="930">
        <f>Tierb!R11</f>
        <v>0</v>
      </c>
      <c r="Y15" s="930">
        <f>Tierb!Q11</f>
        <v>0</v>
      </c>
      <c r="Z15" s="520">
        <f t="shared" si="2"/>
        <v>0</v>
      </c>
      <c r="AA15" s="1052" t="b">
        <v>0</v>
      </c>
      <c r="AB15" s="1053">
        <v>1</v>
      </c>
      <c r="AC15" s="1054">
        <v>1</v>
      </c>
      <c r="AD15" s="1055"/>
      <c r="AE15" s="1255"/>
      <c r="AF15" s="1050"/>
      <c r="AG15" s="1260"/>
      <c r="AH15" s="1260"/>
      <c r="AI15" s="1260"/>
      <c r="AJ15" s="1260"/>
      <c r="AK15" s="1260"/>
      <c r="AL15" s="1193"/>
      <c r="AM15" s="1193"/>
      <c r="AN15" s="929"/>
      <c r="AO15" s="930">
        <f>IF(AN15&lt;&gt;0,Tierb!K11,0)</f>
        <v>0</v>
      </c>
      <c r="AP15" s="520">
        <f t="shared" si="3"/>
        <v>0</v>
      </c>
      <c r="AQ15" s="929"/>
      <c r="AR15" s="930">
        <f>IF(AQ15&lt;&gt;0,Tierb!O11,0)</f>
        <v>0</v>
      </c>
      <c r="AS15" s="520">
        <f t="shared" si="4"/>
        <v>0</v>
      </c>
      <c r="AT15" s="929"/>
      <c r="AU15" s="930">
        <f>IF(AT15&gt;0,Tierb!R11,0)</f>
        <v>0</v>
      </c>
      <c r="AV15" s="930">
        <f>IF(AT15&gt;0,Tierb!Q11,0)</f>
        <v>0</v>
      </c>
      <c r="AW15" s="520">
        <f t="shared" si="5"/>
        <v>0</v>
      </c>
      <c r="AX15" s="1052" t="b">
        <v>0</v>
      </c>
      <c r="AY15" s="1053">
        <v>1</v>
      </c>
      <c r="AZ15" s="1054">
        <v>1</v>
      </c>
    </row>
    <row r="16" spans="1:52" ht="20.100000000000001" customHeight="1">
      <c r="B16" s="1988" t="str">
        <f>D_Klick!D225</f>
        <v>Jungvieh, 160 bis 365-tägig</v>
      </c>
      <c r="C16" s="1990"/>
      <c r="D16" s="1984" t="str">
        <f>Texte!A1451</f>
        <v>Platz</v>
      </c>
      <c r="E16" s="1984">
        <f>D_Klick!N47</f>
        <v>0.33</v>
      </c>
      <c r="F16" s="350">
        <f>Tierb!A12</f>
        <v>112</v>
      </c>
      <c r="G16" s="1246">
        <f>IF(Tierb!G12="",0,Tierb!G12-AD16)</f>
        <v>0</v>
      </c>
      <c r="H16" s="1255"/>
      <c r="I16" s="1050"/>
      <c r="J16" s="1260"/>
      <c r="K16" s="1260"/>
      <c r="L16" s="1260"/>
      <c r="M16" s="1260"/>
      <c r="N16" s="1260"/>
      <c r="O16" s="1193"/>
      <c r="P16" s="1193"/>
      <c r="Q16" s="929">
        <f>Tierb!J12-AN16</f>
        <v>0</v>
      </c>
      <c r="R16" s="930">
        <f>Tierb!K12</f>
        <v>0</v>
      </c>
      <c r="S16" s="520">
        <f t="shared" si="0"/>
        <v>0</v>
      </c>
      <c r="T16" s="929">
        <f>Tierb!N12-AQ16</f>
        <v>0</v>
      </c>
      <c r="U16" s="930">
        <f>Tierb!O12</f>
        <v>0</v>
      </c>
      <c r="V16" s="520">
        <f t="shared" si="1"/>
        <v>0</v>
      </c>
      <c r="W16" s="929">
        <f>Tierb!P12-AT16</f>
        <v>0</v>
      </c>
      <c r="X16" s="930">
        <f>Tierb!R12</f>
        <v>0</v>
      </c>
      <c r="Y16" s="930">
        <f>Tierb!Q12</f>
        <v>0</v>
      </c>
      <c r="Z16" s="520">
        <f t="shared" si="2"/>
        <v>0</v>
      </c>
      <c r="AA16" s="1052" t="b">
        <v>0</v>
      </c>
      <c r="AB16" s="1053">
        <v>1</v>
      </c>
      <c r="AC16" s="1054">
        <v>1</v>
      </c>
      <c r="AD16" s="1055"/>
      <c r="AE16" s="1255"/>
      <c r="AF16" s="1050"/>
      <c r="AG16" s="1260"/>
      <c r="AH16" s="1260"/>
      <c r="AI16" s="1260"/>
      <c r="AJ16" s="1260"/>
      <c r="AK16" s="1260"/>
      <c r="AL16" s="1193"/>
      <c r="AM16" s="1193"/>
      <c r="AN16" s="929"/>
      <c r="AO16" s="930">
        <f>IF(AN16&lt;&gt;0,Tierb!K12,0)</f>
        <v>0</v>
      </c>
      <c r="AP16" s="520">
        <f t="shared" si="3"/>
        <v>0</v>
      </c>
      <c r="AQ16" s="929"/>
      <c r="AR16" s="930">
        <f>IF(AQ16&lt;&gt;0,Tierb!O12,0)</f>
        <v>0</v>
      </c>
      <c r="AS16" s="520">
        <f t="shared" si="4"/>
        <v>0</v>
      </c>
      <c r="AT16" s="929"/>
      <c r="AU16" s="930">
        <f>IF(AT16&gt;0,Tierb!R12,0)</f>
        <v>0</v>
      </c>
      <c r="AV16" s="930">
        <f>IF(AT16&gt;0,Tierb!Q12,0)</f>
        <v>0</v>
      </c>
      <c r="AW16" s="520">
        <f t="shared" si="5"/>
        <v>0</v>
      </c>
      <c r="AX16" s="1052" t="b">
        <v>0</v>
      </c>
      <c r="AY16" s="1053">
        <v>1</v>
      </c>
      <c r="AZ16" s="1054">
        <v>1</v>
      </c>
    </row>
    <row r="17" spans="2:52" ht="20.100000000000001" customHeight="1">
      <c r="B17" s="1988" t="str">
        <f>D_Klick!D226</f>
        <v>Jungvieh, 1 bis 2-jährig</v>
      </c>
      <c r="C17" s="1990"/>
      <c r="D17" s="1984" t="str">
        <f>Texte!A1451</f>
        <v>Platz</v>
      </c>
      <c r="E17" s="1984">
        <f>D_Klick!N48</f>
        <v>0.4</v>
      </c>
      <c r="F17" s="350">
        <f>Tierb!A13</f>
        <v>116</v>
      </c>
      <c r="G17" s="1246">
        <f>IF(Tierb!G13="",0,Tierb!G13-AD17)</f>
        <v>0</v>
      </c>
      <c r="H17" s="1255"/>
      <c r="I17" s="1050"/>
      <c r="J17" s="1260"/>
      <c r="K17" s="1260"/>
      <c r="L17" s="1260"/>
      <c r="M17" s="1260"/>
      <c r="N17" s="1260"/>
      <c r="O17" s="1193"/>
      <c r="P17" s="1193"/>
      <c r="Q17" s="929">
        <f>Tierb!J13-AN17</f>
        <v>0</v>
      </c>
      <c r="R17" s="930">
        <f>Tierb!K13</f>
        <v>0</v>
      </c>
      <c r="S17" s="520">
        <f t="shared" si="0"/>
        <v>0</v>
      </c>
      <c r="T17" s="929">
        <f>Tierb!N13-AQ17</f>
        <v>0</v>
      </c>
      <c r="U17" s="930">
        <f>Tierb!O13</f>
        <v>0</v>
      </c>
      <c r="V17" s="520">
        <f t="shared" si="1"/>
        <v>0</v>
      </c>
      <c r="W17" s="929">
        <f>Tierb!P13-AT17</f>
        <v>0</v>
      </c>
      <c r="X17" s="930">
        <f>Tierb!R13</f>
        <v>0</v>
      </c>
      <c r="Y17" s="930">
        <f>Tierb!Q13</f>
        <v>0</v>
      </c>
      <c r="Z17" s="520">
        <f t="shared" si="2"/>
        <v>0</v>
      </c>
      <c r="AA17" s="1052" t="b">
        <v>0</v>
      </c>
      <c r="AB17" s="1053">
        <v>1</v>
      </c>
      <c r="AC17" s="1054">
        <v>1</v>
      </c>
      <c r="AD17" s="1055"/>
      <c r="AE17" s="1255"/>
      <c r="AF17" s="1050"/>
      <c r="AG17" s="1260"/>
      <c r="AH17" s="1260"/>
      <c r="AI17" s="1260"/>
      <c r="AJ17" s="1260"/>
      <c r="AK17" s="1260"/>
      <c r="AL17" s="1193"/>
      <c r="AM17" s="1193"/>
      <c r="AN17" s="929"/>
      <c r="AO17" s="930">
        <f>IF(AN17&lt;&gt;0,Tierb!K13,0)</f>
        <v>0</v>
      </c>
      <c r="AP17" s="520">
        <f t="shared" si="3"/>
        <v>0</v>
      </c>
      <c r="AQ17" s="929"/>
      <c r="AR17" s="930">
        <f>IF(AQ17&lt;&gt;0,Tierb!O13,0)</f>
        <v>0</v>
      </c>
      <c r="AS17" s="520">
        <f t="shared" si="4"/>
        <v>0</v>
      </c>
      <c r="AT17" s="929"/>
      <c r="AU17" s="930">
        <f>IF(AT17&gt;0,Tierb!R13,0)</f>
        <v>0</v>
      </c>
      <c r="AV17" s="930">
        <f>IF(AT17&gt;0,Tierb!Q13,0)</f>
        <v>0</v>
      </c>
      <c r="AW17" s="520">
        <f t="shared" si="5"/>
        <v>0</v>
      </c>
      <c r="AX17" s="1052" t="b">
        <v>0</v>
      </c>
      <c r="AY17" s="1053">
        <v>1</v>
      </c>
      <c r="AZ17" s="1054">
        <v>1</v>
      </c>
    </row>
    <row r="18" spans="2:52" ht="20.100000000000001" customHeight="1">
      <c r="B18" s="1988" t="str">
        <f>D_Klick!D227</f>
        <v>Jungvieh, über 2-jährig</v>
      </c>
      <c r="C18" s="1990"/>
      <c r="D18" s="1984" t="str">
        <f>Texte!A1451</f>
        <v>Platz</v>
      </c>
      <c r="E18" s="1984">
        <f>D_Klick!N49</f>
        <v>0.6</v>
      </c>
      <c r="F18" s="350">
        <f>Tierb!A14</f>
        <v>120</v>
      </c>
      <c r="G18" s="1246">
        <f>IF(Tierb!G14="",0,Tierb!G14-AD18)</f>
        <v>0</v>
      </c>
      <c r="H18" s="1255"/>
      <c r="I18" s="1050"/>
      <c r="J18" s="1260"/>
      <c r="K18" s="1260"/>
      <c r="L18" s="1260"/>
      <c r="M18" s="1260"/>
      <c r="N18" s="1260"/>
      <c r="O18" s="1193"/>
      <c r="P18" s="1193"/>
      <c r="Q18" s="929">
        <f>Tierb!J14-AN18</f>
        <v>0</v>
      </c>
      <c r="R18" s="930">
        <f>Tierb!K14</f>
        <v>0</v>
      </c>
      <c r="S18" s="520">
        <f t="shared" si="0"/>
        <v>0</v>
      </c>
      <c r="T18" s="929">
        <f>Tierb!N14-AQ18</f>
        <v>0</v>
      </c>
      <c r="U18" s="930">
        <f>Tierb!O14</f>
        <v>0</v>
      </c>
      <c r="V18" s="520">
        <f t="shared" si="1"/>
        <v>0</v>
      </c>
      <c r="W18" s="929">
        <f>Tierb!P14-AT18</f>
        <v>0</v>
      </c>
      <c r="X18" s="930">
        <f>Tierb!R14</f>
        <v>0</v>
      </c>
      <c r="Y18" s="930">
        <f>Tierb!Q14</f>
        <v>0</v>
      </c>
      <c r="Z18" s="520">
        <f t="shared" si="2"/>
        <v>0</v>
      </c>
      <c r="AA18" s="1052" t="b">
        <v>0</v>
      </c>
      <c r="AB18" s="1053">
        <v>1</v>
      </c>
      <c r="AC18" s="1054">
        <v>1</v>
      </c>
      <c r="AD18" s="1055"/>
      <c r="AE18" s="1255"/>
      <c r="AF18" s="1050"/>
      <c r="AG18" s="1260"/>
      <c r="AH18" s="1260"/>
      <c r="AI18" s="1260"/>
      <c r="AJ18" s="1260"/>
      <c r="AK18" s="1260"/>
      <c r="AL18" s="1193"/>
      <c r="AM18" s="1193"/>
      <c r="AN18" s="929"/>
      <c r="AO18" s="930">
        <f>IF(AN18&lt;&gt;0,Tierb!K14,0)</f>
        <v>0</v>
      </c>
      <c r="AP18" s="520">
        <f t="shared" si="3"/>
        <v>0</v>
      </c>
      <c r="AQ18" s="929"/>
      <c r="AR18" s="930">
        <f>IF(AQ18&lt;&gt;0,Tierb!O14,0)</f>
        <v>0</v>
      </c>
      <c r="AS18" s="520">
        <f t="shared" si="4"/>
        <v>0</v>
      </c>
      <c r="AT18" s="929"/>
      <c r="AU18" s="930">
        <f>IF(AT18&gt;0,Tierb!R14,0)</f>
        <v>0</v>
      </c>
      <c r="AV18" s="930">
        <f>IF(AT18&gt;0,Tierb!Q14,0)</f>
        <v>0</v>
      </c>
      <c r="AW18" s="520">
        <f t="shared" si="5"/>
        <v>0</v>
      </c>
      <c r="AX18" s="1052" t="b">
        <v>0</v>
      </c>
      <c r="AY18" s="1053">
        <v>1</v>
      </c>
      <c r="AZ18" s="1054">
        <v>1</v>
      </c>
    </row>
    <row r="19" spans="2:52" ht="20.100000000000001" customHeight="1">
      <c r="B19" s="1988" t="str">
        <f>D_Klick!D228</f>
        <v>Stiere, 1 bis 2-jährig</v>
      </c>
      <c r="C19" s="1990"/>
      <c r="D19" s="1984" t="str">
        <f>Texte!A1451</f>
        <v>Platz</v>
      </c>
      <c r="E19" s="1984">
        <f>D_Klick!N50</f>
        <v>0.4</v>
      </c>
      <c r="F19" s="350">
        <f>Tierb!A15</f>
        <v>124</v>
      </c>
      <c r="G19" s="1246">
        <f>IF(Tierb!G15="",0,Tierb!G15-AD19)</f>
        <v>0</v>
      </c>
      <c r="H19" s="1255"/>
      <c r="I19" s="1050"/>
      <c r="J19" s="1260"/>
      <c r="K19" s="1260"/>
      <c r="L19" s="1260"/>
      <c r="M19" s="1260"/>
      <c r="N19" s="1260"/>
      <c r="O19" s="1193"/>
      <c r="P19" s="1193"/>
      <c r="Q19" s="929">
        <f>Tierb!J15-AN19</f>
        <v>0</v>
      </c>
      <c r="R19" s="930">
        <f>Tierb!K15</f>
        <v>0</v>
      </c>
      <c r="S19" s="520">
        <f t="shared" si="0"/>
        <v>0</v>
      </c>
      <c r="T19" s="929">
        <f>Tierb!N15-AQ19</f>
        <v>0</v>
      </c>
      <c r="U19" s="930">
        <f>Tierb!O15</f>
        <v>0</v>
      </c>
      <c r="V19" s="520">
        <f t="shared" si="1"/>
        <v>0</v>
      </c>
      <c r="W19" s="929">
        <f>Tierb!P15-AT19</f>
        <v>0</v>
      </c>
      <c r="X19" s="930">
        <f>Tierb!R15</f>
        <v>0</v>
      </c>
      <c r="Y19" s="930">
        <f>Tierb!Q15</f>
        <v>0</v>
      </c>
      <c r="Z19" s="520">
        <f t="shared" si="2"/>
        <v>0</v>
      </c>
      <c r="AA19" s="1052" t="b">
        <v>0</v>
      </c>
      <c r="AB19" s="1053">
        <v>1</v>
      </c>
      <c r="AC19" s="1054">
        <v>1</v>
      </c>
      <c r="AD19" s="1055"/>
      <c r="AE19" s="1255"/>
      <c r="AF19" s="1050"/>
      <c r="AG19" s="1260"/>
      <c r="AH19" s="1260"/>
      <c r="AI19" s="1260"/>
      <c r="AJ19" s="1260"/>
      <c r="AK19" s="1260"/>
      <c r="AL19" s="1193"/>
      <c r="AM19" s="1193"/>
      <c r="AN19" s="929"/>
      <c r="AO19" s="930">
        <f>IF(AN19&lt;&gt;0,Tierb!K15,0)</f>
        <v>0</v>
      </c>
      <c r="AP19" s="520">
        <f t="shared" si="3"/>
        <v>0</v>
      </c>
      <c r="AQ19" s="929"/>
      <c r="AR19" s="930">
        <f>IF(AQ19&lt;&gt;0,Tierb!O15,0)</f>
        <v>0</v>
      </c>
      <c r="AS19" s="520">
        <f t="shared" si="4"/>
        <v>0</v>
      </c>
      <c r="AT19" s="929"/>
      <c r="AU19" s="930">
        <f>IF(AT19&gt;0,Tierb!R15,0)</f>
        <v>0</v>
      </c>
      <c r="AV19" s="930">
        <f>IF(AT19&gt;0,Tierb!Q15,0)</f>
        <v>0</v>
      </c>
      <c r="AW19" s="520">
        <f t="shared" si="5"/>
        <v>0</v>
      </c>
      <c r="AX19" s="1052" t="b">
        <v>0</v>
      </c>
      <c r="AY19" s="1053">
        <v>1</v>
      </c>
      <c r="AZ19" s="1054">
        <v>1</v>
      </c>
    </row>
    <row r="20" spans="2:52" ht="20.100000000000001" customHeight="1">
      <c r="B20" s="1988" t="str">
        <f>D_Klick!D229</f>
        <v>Stiere, über 2-jährig</v>
      </c>
      <c r="C20" s="1990"/>
      <c r="D20" s="1984" t="str">
        <f>Texte!A1450</f>
        <v>Stück</v>
      </c>
      <c r="E20" s="1984">
        <f>D_Klick!N51</f>
        <v>0.6</v>
      </c>
      <c r="F20" s="350">
        <f>Tierb!A16</f>
        <v>128</v>
      </c>
      <c r="G20" s="1246">
        <f>IF(Tierb!G16="",0,Tierb!G16-AD20)</f>
        <v>0</v>
      </c>
      <c r="H20" s="1255"/>
      <c r="I20" s="1050"/>
      <c r="J20" s="1260"/>
      <c r="K20" s="1260"/>
      <c r="L20" s="1260"/>
      <c r="M20" s="1260"/>
      <c r="N20" s="1260"/>
      <c r="O20" s="1193"/>
      <c r="P20" s="1193"/>
      <c r="Q20" s="929">
        <f>Tierb!J16-AN20</f>
        <v>0</v>
      </c>
      <c r="R20" s="930">
        <f>Tierb!K16</f>
        <v>0</v>
      </c>
      <c r="S20" s="520">
        <f t="shared" si="0"/>
        <v>0</v>
      </c>
      <c r="T20" s="929">
        <f>Tierb!N16-AQ20</f>
        <v>0</v>
      </c>
      <c r="U20" s="930">
        <f>Tierb!O16</f>
        <v>0</v>
      </c>
      <c r="V20" s="520">
        <f t="shared" si="1"/>
        <v>0</v>
      </c>
      <c r="W20" s="929">
        <f>Tierb!P16-AT20</f>
        <v>0</v>
      </c>
      <c r="X20" s="930">
        <f>Tierb!R16</f>
        <v>0</v>
      </c>
      <c r="Y20" s="930">
        <f>Tierb!Q16</f>
        <v>0</v>
      </c>
      <c r="Z20" s="520">
        <f t="shared" si="2"/>
        <v>0</v>
      </c>
      <c r="AA20" s="1052" t="b">
        <v>0</v>
      </c>
      <c r="AB20" s="1053">
        <v>1</v>
      </c>
      <c r="AC20" s="1054">
        <v>1</v>
      </c>
      <c r="AD20" s="1055"/>
      <c r="AE20" s="1255"/>
      <c r="AF20" s="1050"/>
      <c r="AG20" s="1260"/>
      <c r="AH20" s="1260"/>
      <c r="AI20" s="1260"/>
      <c r="AJ20" s="1260"/>
      <c r="AK20" s="1260"/>
      <c r="AL20" s="1193"/>
      <c r="AM20" s="1193"/>
      <c r="AN20" s="929"/>
      <c r="AO20" s="930">
        <f>IF(AN20&lt;&gt;0,Tierb!K16,0)</f>
        <v>0</v>
      </c>
      <c r="AP20" s="520">
        <f t="shared" si="3"/>
        <v>0</v>
      </c>
      <c r="AQ20" s="929"/>
      <c r="AR20" s="930">
        <f>IF(AQ20&lt;&gt;0,Tierb!O16,0)</f>
        <v>0</v>
      </c>
      <c r="AS20" s="520">
        <f t="shared" si="4"/>
        <v>0</v>
      </c>
      <c r="AT20" s="929"/>
      <c r="AU20" s="930">
        <f>IF(AT20&gt;0,Tierb!R16,0)</f>
        <v>0</v>
      </c>
      <c r="AV20" s="930">
        <f>IF(AT20&gt;0,Tierb!Q16,0)</f>
        <v>0</v>
      </c>
      <c r="AW20" s="520">
        <f t="shared" si="5"/>
        <v>0</v>
      </c>
      <c r="AX20" s="1052" t="b">
        <v>0</v>
      </c>
      <c r="AY20" s="1053">
        <v>1</v>
      </c>
      <c r="AZ20" s="1054">
        <v>1</v>
      </c>
    </row>
    <row r="21" spans="2:52" ht="20.100000000000001" customHeight="1">
      <c r="B21" s="1988" t="str">
        <f>D_Klick!D230</f>
        <v>Mutterkühe schwer</v>
      </c>
      <c r="C21" s="1990"/>
      <c r="D21" s="1984" t="str">
        <f>Texte!A1450</f>
        <v>Stück</v>
      </c>
      <c r="E21" s="1984">
        <f>D_Klick!N52</f>
        <v>1</v>
      </c>
      <c r="F21" s="350">
        <f>Tierb!A17</f>
        <v>132</v>
      </c>
      <c r="G21" s="1246">
        <f>IF(Tierb!G17="",0,Tierb!G17-AD21)</f>
        <v>0</v>
      </c>
      <c r="H21" s="1255"/>
      <c r="I21" s="1050"/>
      <c r="J21" s="1260">
        <v>0</v>
      </c>
      <c r="K21" s="1260">
        <v>0</v>
      </c>
      <c r="L21" s="1260">
        <v>0</v>
      </c>
      <c r="M21" s="1260"/>
      <c r="N21" s="1260"/>
      <c r="O21" s="1193"/>
      <c r="P21" s="1193"/>
      <c r="Q21" s="929">
        <f>Tierb!J17-AN21</f>
        <v>0</v>
      </c>
      <c r="R21" s="930">
        <f>Tierb!K17</f>
        <v>0</v>
      </c>
      <c r="S21" s="520">
        <f t="shared" si="0"/>
        <v>0</v>
      </c>
      <c r="T21" s="929">
        <f>Tierb!N17-AQ21</f>
        <v>0</v>
      </c>
      <c r="U21" s="930">
        <f>Tierb!O17</f>
        <v>0</v>
      </c>
      <c r="V21" s="520">
        <f t="shared" si="1"/>
        <v>0</v>
      </c>
      <c r="W21" s="929">
        <f>Tierb!P17-AT21</f>
        <v>0</v>
      </c>
      <c r="X21" s="930">
        <f>Tierb!R17</f>
        <v>0</v>
      </c>
      <c r="Y21" s="930">
        <f>Tierb!Q17</f>
        <v>0</v>
      </c>
      <c r="Z21" s="520">
        <f t="shared" si="2"/>
        <v>0</v>
      </c>
      <c r="AA21" s="1052" t="b">
        <v>0</v>
      </c>
      <c r="AB21" s="1053">
        <v>1</v>
      </c>
      <c r="AC21" s="1054">
        <v>1</v>
      </c>
      <c r="AD21" s="1055"/>
      <c r="AE21" s="1255"/>
      <c r="AF21" s="1050"/>
      <c r="AG21" s="1260"/>
      <c r="AH21" s="1260"/>
      <c r="AI21" s="1260"/>
      <c r="AJ21" s="1260"/>
      <c r="AK21" s="1260"/>
      <c r="AL21" s="1193"/>
      <c r="AM21" s="1193"/>
      <c r="AN21" s="929"/>
      <c r="AO21" s="930">
        <f>IF(AN21&lt;&gt;0,Tierb!K17,0)</f>
        <v>0</v>
      </c>
      <c r="AP21" s="520">
        <f t="shared" si="3"/>
        <v>0</v>
      </c>
      <c r="AQ21" s="929"/>
      <c r="AR21" s="930">
        <f>IF(AQ21&lt;&gt;0,Tierb!O17,0)</f>
        <v>0</v>
      </c>
      <c r="AS21" s="520">
        <f t="shared" si="4"/>
        <v>0</v>
      </c>
      <c r="AT21" s="929"/>
      <c r="AU21" s="930">
        <f>IF(AT21&gt;0,Tierb!R17,0)</f>
        <v>0</v>
      </c>
      <c r="AV21" s="930">
        <f>IF(AT21&gt;0,Tierb!Q17,0)</f>
        <v>0</v>
      </c>
      <c r="AW21" s="520">
        <f t="shared" si="5"/>
        <v>0</v>
      </c>
      <c r="AX21" s="1052" t="b">
        <v>0</v>
      </c>
      <c r="AY21" s="1053">
        <v>1</v>
      </c>
      <c r="AZ21" s="1054">
        <v>1</v>
      </c>
    </row>
    <row r="22" spans="2:52" ht="20.100000000000001" customHeight="1">
      <c r="B22" s="1988" t="str">
        <f>D_Klick!D231</f>
        <v>Mutterkuhkälber zur Mast, bis 160-tägig</v>
      </c>
      <c r="C22" s="1990"/>
      <c r="D22" s="1984" t="str">
        <f>Texte!A1451</f>
        <v>Platz</v>
      </c>
      <c r="E22" s="1984">
        <f>D_Klick!N53</f>
        <v>0.13</v>
      </c>
      <c r="F22" s="350">
        <f>Tierb!A18</f>
        <v>134</v>
      </c>
      <c r="G22" s="1246">
        <f>IF(Tierb!G18="",0,D_Tierb!G18-AD22)</f>
        <v>0</v>
      </c>
      <c r="H22" s="1255"/>
      <c r="I22" s="1050"/>
      <c r="J22" s="1260"/>
      <c r="K22" s="1260"/>
      <c r="L22" s="1260"/>
      <c r="M22" s="1260"/>
      <c r="N22" s="1260"/>
      <c r="O22" s="1193"/>
      <c r="P22" s="1193"/>
      <c r="Q22" s="929">
        <f>Tierb!J18-AN22</f>
        <v>0</v>
      </c>
      <c r="R22" s="930">
        <f>Tierb!K18</f>
        <v>0</v>
      </c>
      <c r="S22" s="520">
        <f t="shared" si="0"/>
        <v>0</v>
      </c>
      <c r="T22" s="929">
        <f>Tierb!N18-AQ22</f>
        <v>0</v>
      </c>
      <c r="U22" s="930">
        <f>Tierb!O18</f>
        <v>0</v>
      </c>
      <c r="V22" s="520">
        <f t="shared" si="1"/>
        <v>0</v>
      </c>
      <c r="W22" s="929">
        <f>Tierb!P18-AT22</f>
        <v>0</v>
      </c>
      <c r="X22" s="930">
        <f>Tierb!R18</f>
        <v>0</v>
      </c>
      <c r="Y22" s="930">
        <f>Tierb!Q18</f>
        <v>0</v>
      </c>
      <c r="Z22" s="520">
        <f t="shared" si="2"/>
        <v>0</v>
      </c>
      <c r="AA22" s="1052" t="b">
        <v>0</v>
      </c>
      <c r="AB22" s="1053">
        <v>1</v>
      </c>
      <c r="AC22" s="1054">
        <v>1</v>
      </c>
      <c r="AD22" s="1055"/>
      <c r="AE22" s="1255"/>
      <c r="AF22" s="1050"/>
      <c r="AG22" s="1260"/>
      <c r="AH22" s="1260"/>
      <c r="AI22" s="1260"/>
      <c r="AJ22" s="1260"/>
      <c r="AK22" s="1260"/>
      <c r="AL22" s="1193"/>
      <c r="AM22" s="1193"/>
      <c r="AN22" s="929"/>
      <c r="AO22" s="930">
        <f>IF(AN22&lt;&gt;0,Tierb!K18,0)</f>
        <v>0</v>
      </c>
      <c r="AP22" s="520">
        <f t="shared" si="3"/>
        <v>0</v>
      </c>
      <c r="AQ22" s="929"/>
      <c r="AR22" s="930">
        <f>IF(AQ22&lt;&gt;0,Tierb!O18,0)</f>
        <v>0</v>
      </c>
      <c r="AS22" s="520">
        <f t="shared" si="4"/>
        <v>0</v>
      </c>
      <c r="AT22" s="929"/>
      <c r="AU22" s="930">
        <f>IF(AT22&gt;0,Tierb!R18,0)</f>
        <v>0</v>
      </c>
      <c r="AV22" s="930">
        <f>IF(AT22&gt;0,Tierb!Q18,0)</f>
        <v>0</v>
      </c>
      <c r="AW22" s="520">
        <f t="shared" si="5"/>
        <v>0</v>
      </c>
      <c r="AX22" s="1052" t="b">
        <v>0</v>
      </c>
      <c r="AY22" s="1053">
        <v>1</v>
      </c>
      <c r="AZ22" s="1054">
        <v>1</v>
      </c>
    </row>
    <row r="23" spans="2:52" ht="20.100000000000001" customHeight="1">
      <c r="B23" s="1988" t="str">
        <f>D_Klick!D232</f>
        <v>Mutterkuhkälber, über 160 tägig, leicht</v>
      </c>
      <c r="C23" s="1990"/>
      <c r="D23" s="1984" t="str">
        <f>Texte!A1451</f>
        <v>Platz</v>
      </c>
      <c r="E23" s="1984">
        <f>D_Klick!N56</f>
        <v>0.33</v>
      </c>
      <c r="F23" s="350">
        <f>Tierb!A19</f>
        <v>136</v>
      </c>
      <c r="G23" s="1246">
        <f>IF(Tierb!G19="",0,D_Tierb!G19-AD23)</f>
        <v>0</v>
      </c>
      <c r="H23" s="1255"/>
      <c r="I23" s="1050"/>
      <c r="J23" s="1260"/>
      <c r="K23" s="1260"/>
      <c r="L23" s="1260"/>
      <c r="M23" s="1260"/>
      <c r="N23" s="1260"/>
      <c r="O23" s="1193"/>
      <c r="P23" s="1193"/>
      <c r="Q23" s="929">
        <f>Tierb!J19-AN23</f>
        <v>0</v>
      </c>
      <c r="R23" s="930">
        <f>Tierb!K19</f>
        <v>0</v>
      </c>
      <c r="S23" s="520">
        <f>(Q23*R23) / ($C$6*30.417)</f>
        <v>0</v>
      </c>
      <c r="T23" s="929">
        <f>Tierb!N19-AQ23</f>
        <v>0</v>
      </c>
      <c r="U23" s="930">
        <f>Tierb!O19</f>
        <v>0</v>
      </c>
      <c r="V23" s="520">
        <f>(T23*U23) / ($C$6*30.417)</f>
        <v>0</v>
      </c>
      <c r="W23" s="929">
        <f>Tierb!P19-AT23</f>
        <v>0</v>
      </c>
      <c r="X23" s="930">
        <f>Tierb!R19</f>
        <v>0</v>
      </c>
      <c r="Y23" s="930">
        <f>Tierb!Q19</f>
        <v>0</v>
      </c>
      <c r="Z23" s="520">
        <f>(W23*X23*Y23) / ($C$6*24*30.417)</f>
        <v>0</v>
      </c>
      <c r="AA23" s="1052" t="b">
        <v>0</v>
      </c>
      <c r="AB23" s="1053">
        <v>1</v>
      </c>
      <c r="AC23" s="1054">
        <v>1</v>
      </c>
      <c r="AD23" s="1055"/>
      <c r="AE23" s="1255"/>
      <c r="AF23" s="1050"/>
      <c r="AG23" s="1260"/>
      <c r="AH23" s="1260"/>
      <c r="AI23" s="1260"/>
      <c r="AJ23" s="1260"/>
      <c r="AK23" s="1260"/>
      <c r="AL23" s="1193"/>
      <c r="AM23" s="1193"/>
      <c r="AN23" s="929"/>
      <c r="AO23" s="930">
        <f>IF(AN23&lt;&gt;0,Tierb!K19,0)</f>
        <v>0</v>
      </c>
      <c r="AP23" s="520">
        <f>(AN23*AO23) / ($C$6*30.417)</f>
        <v>0</v>
      </c>
      <c r="AQ23" s="929"/>
      <c r="AR23" s="930">
        <f>IF(AQ23&lt;&gt;0,Tierb!O19,0)</f>
        <v>0</v>
      </c>
      <c r="AS23" s="520">
        <f>(AQ23*AR23) / ($C$6*30.417)</f>
        <v>0</v>
      </c>
      <c r="AT23" s="929"/>
      <c r="AU23" s="930">
        <f>IF(AT23&gt;0,Tierb!R19,0)</f>
        <v>0</v>
      </c>
      <c r="AV23" s="930">
        <f>IF(AT23&gt;0,Tierb!Q19,0)</f>
        <v>0</v>
      </c>
      <c r="AW23" s="520">
        <f>(AT23*AU23*AV23) / ($C$6*24*30.417)</f>
        <v>0</v>
      </c>
      <c r="AX23" s="1052" t="b">
        <v>0</v>
      </c>
      <c r="AY23" s="1053">
        <v>1</v>
      </c>
      <c r="AZ23" s="1054">
        <v>1</v>
      </c>
    </row>
    <row r="24" spans="2:52" ht="20.100000000000001" customHeight="1">
      <c r="B24" s="1988" t="str">
        <f>D_Klick!D233</f>
        <v>Mutterkuhkälber, über 160-tägig, mittel</v>
      </c>
      <c r="C24" s="1990"/>
      <c r="D24" s="1984" t="str">
        <f>Texte!A1451</f>
        <v>Platz</v>
      </c>
      <c r="E24" s="1984">
        <f>D_Klick!N56</f>
        <v>0.33</v>
      </c>
      <c r="F24" s="350">
        <f>Tierb!A20</f>
        <v>137</v>
      </c>
      <c r="G24" s="1246">
        <f>IF(Tierb!G20="",0,D_Tierb!G20-AD24)</f>
        <v>0</v>
      </c>
      <c r="H24" s="1255"/>
      <c r="I24" s="1050"/>
      <c r="J24" s="1260"/>
      <c r="K24" s="1260"/>
      <c r="L24" s="1260"/>
      <c r="M24" s="1260"/>
      <c r="N24" s="1260"/>
      <c r="O24" s="1193"/>
      <c r="P24" s="1193"/>
      <c r="Q24" s="929">
        <f>Tierb!J20-AN24</f>
        <v>0</v>
      </c>
      <c r="R24" s="930">
        <f>Tierb!K20</f>
        <v>0</v>
      </c>
      <c r="S24" s="520">
        <f>(Q24*R24) / ($C$6*30.417)</f>
        <v>0</v>
      </c>
      <c r="T24" s="929">
        <f>Tierb!N20-AQ24</f>
        <v>0</v>
      </c>
      <c r="U24" s="930">
        <f>Tierb!O20</f>
        <v>0</v>
      </c>
      <c r="V24" s="520">
        <f>(T24*U24) / ($C$6*30.417)</f>
        <v>0</v>
      </c>
      <c r="W24" s="929">
        <f>Tierb!P20-AT24</f>
        <v>0</v>
      </c>
      <c r="X24" s="930">
        <f>Tierb!R20</f>
        <v>0</v>
      </c>
      <c r="Y24" s="930">
        <f>Tierb!Q20</f>
        <v>0</v>
      </c>
      <c r="Z24" s="520">
        <f>(W24*X24*Y24) / ($C$6*24*30.417)</f>
        <v>0</v>
      </c>
      <c r="AA24" s="1052" t="b">
        <v>0</v>
      </c>
      <c r="AB24" s="1053">
        <v>1</v>
      </c>
      <c r="AC24" s="1054">
        <v>1</v>
      </c>
      <c r="AD24" s="1055"/>
      <c r="AE24" s="1255"/>
      <c r="AF24" s="1050"/>
      <c r="AG24" s="1260"/>
      <c r="AH24" s="1260"/>
      <c r="AI24" s="1260"/>
      <c r="AJ24" s="1260"/>
      <c r="AK24" s="1260"/>
      <c r="AL24" s="1193"/>
      <c r="AM24" s="1193"/>
      <c r="AN24" s="929"/>
      <c r="AO24" s="930">
        <f>IF(AN24&lt;&gt;0,Tierb!K20,0)</f>
        <v>0</v>
      </c>
      <c r="AP24" s="520">
        <f>(AN24*AO24) / ($C$6*30.417)</f>
        <v>0</v>
      </c>
      <c r="AQ24" s="929"/>
      <c r="AR24" s="930">
        <f>IF(AQ24&lt;&gt;0,Tierb!O20,0)</f>
        <v>0</v>
      </c>
      <c r="AS24" s="520">
        <f>(AQ24*AR24) / ($C$6*30.417)</f>
        <v>0</v>
      </c>
      <c r="AT24" s="929"/>
      <c r="AU24" s="930">
        <f>IF(AT24&gt;0,Tierb!R20,0)</f>
        <v>0</v>
      </c>
      <c r="AV24" s="930">
        <f>IF(AT24&gt;0,Tierb!Q20,0)</f>
        <v>0</v>
      </c>
      <c r="AW24" s="520">
        <f>(AT24*AU24*AV24) / ($C$6*24*30.417)</f>
        <v>0</v>
      </c>
      <c r="AX24" s="1052" t="b">
        <v>0</v>
      </c>
      <c r="AY24" s="1053">
        <v>1</v>
      </c>
      <c r="AZ24" s="1054">
        <v>1</v>
      </c>
    </row>
    <row r="25" spans="2:52" ht="20.100000000000001" customHeight="1">
      <c r="B25" s="1988" t="str">
        <f>D_Klick!D234</f>
        <v>Mutterkuhkälber, über 160-tägig, schwer</v>
      </c>
      <c r="C25" s="1990"/>
      <c r="D25" s="1984" t="str">
        <f>Texte!A1451</f>
        <v>Platz</v>
      </c>
      <c r="E25" s="1984">
        <f>D_Klick!N56</f>
        <v>0.33</v>
      </c>
      <c r="F25" s="350">
        <f>Tierb!A21</f>
        <v>138</v>
      </c>
      <c r="G25" s="1246">
        <f>IF(Tierb!G21="",0,D_Tierb!G21-AD25)</f>
        <v>0</v>
      </c>
      <c r="H25" s="1255"/>
      <c r="I25" s="1050"/>
      <c r="J25" s="1260"/>
      <c r="K25" s="1260"/>
      <c r="L25" s="1260"/>
      <c r="M25" s="1260"/>
      <c r="N25" s="1260"/>
      <c r="O25" s="1193"/>
      <c r="P25" s="1193"/>
      <c r="Q25" s="929">
        <f>Tierb!J21-AN25</f>
        <v>0</v>
      </c>
      <c r="R25" s="930">
        <f>Tierb!K21</f>
        <v>0</v>
      </c>
      <c r="S25" s="520">
        <f>(Q25*R25) / ($C$6*30.417)</f>
        <v>0</v>
      </c>
      <c r="T25" s="929">
        <f>Tierb!N21-AQ25</f>
        <v>0</v>
      </c>
      <c r="U25" s="930">
        <f>Tierb!O21</f>
        <v>0</v>
      </c>
      <c r="V25" s="520">
        <f>(T25*U25) / ($C$6*30.417)</f>
        <v>0</v>
      </c>
      <c r="W25" s="929">
        <f>Tierb!P21-AT25</f>
        <v>0</v>
      </c>
      <c r="X25" s="930">
        <f>Tierb!R21</f>
        <v>0</v>
      </c>
      <c r="Y25" s="930">
        <f>Tierb!Q21</f>
        <v>0</v>
      </c>
      <c r="Z25" s="520">
        <f>(W25*X25*Y25) / ($C$6*24*30.417)</f>
        <v>0</v>
      </c>
      <c r="AA25" s="1052" t="b">
        <v>0</v>
      </c>
      <c r="AB25" s="1053">
        <v>1</v>
      </c>
      <c r="AC25" s="1054">
        <v>1</v>
      </c>
      <c r="AD25" s="1055"/>
      <c r="AE25" s="1255"/>
      <c r="AF25" s="1050"/>
      <c r="AG25" s="1260"/>
      <c r="AH25" s="1260"/>
      <c r="AI25" s="1260"/>
      <c r="AJ25" s="1260"/>
      <c r="AK25" s="1260"/>
      <c r="AL25" s="1193"/>
      <c r="AM25" s="1193"/>
      <c r="AN25" s="929"/>
      <c r="AO25" s="930">
        <f>IF(AN25&lt;&gt;0,Tierb!K21,0)</f>
        <v>0</v>
      </c>
      <c r="AP25" s="520">
        <f>(AN25*AO25) / ($C$6*30.417)</f>
        <v>0</v>
      </c>
      <c r="AQ25" s="929"/>
      <c r="AR25" s="930">
        <f>IF(AQ25&lt;&gt;0,Tierb!O21,0)</f>
        <v>0</v>
      </c>
      <c r="AS25" s="520">
        <f>(AQ25*AR25) / ($C$6*30.417)</f>
        <v>0</v>
      </c>
      <c r="AT25" s="929"/>
      <c r="AU25" s="930">
        <f>IF(AT25&gt;0,Tierb!R21,0)</f>
        <v>0</v>
      </c>
      <c r="AV25" s="930">
        <f>IF(AT25&gt;0,Tierb!Q21,0)</f>
        <v>0</v>
      </c>
      <c r="AW25" s="520">
        <f>(AT25*AU25*AV25) / ($C$6*24*30.417)</f>
        <v>0</v>
      </c>
      <c r="AX25" s="1052" t="b">
        <v>0</v>
      </c>
      <c r="AY25" s="1053">
        <v>1</v>
      </c>
      <c r="AZ25" s="1054">
        <v>1</v>
      </c>
    </row>
    <row r="26" spans="2:52" ht="20.100000000000001" hidden="1" customHeight="1">
      <c r="B26" s="1988" t="str">
        <f>D_Klick!D235</f>
        <v>Mutterkühe, Jungvieh, 1 bis 2-jährig</v>
      </c>
      <c r="C26" s="1990"/>
      <c r="D26" s="1984" t="str">
        <f>Texte!A1451</f>
        <v>Platz</v>
      </c>
      <c r="E26" s="1984">
        <f>D_Klick!N48</f>
        <v>0.4</v>
      </c>
      <c r="F26" s="350">
        <f>Tierb!A22</f>
        <v>140</v>
      </c>
      <c r="G26" s="1246">
        <f>IF(Tierb!G22="",0,Tierb!G22-AD26)</f>
        <v>0</v>
      </c>
      <c r="H26" s="1255"/>
      <c r="I26" s="1050"/>
      <c r="J26" s="1260"/>
      <c r="K26" s="1260"/>
      <c r="L26" s="1260"/>
      <c r="M26" s="1260"/>
      <c r="N26" s="1260"/>
      <c r="O26" s="1193"/>
      <c r="P26" s="1193"/>
      <c r="Q26" s="929">
        <f>Tierb!J22-AN26</f>
        <v>0</v>
      </c>
      <c r="R26" s="930">
        <f>Tierb!K22</f>
        <v>0</v>
      </c>
      <c r="S26" s="520">
        <f t="shared" si="0"/>
        <v>0</v>
      </c>
      <c r="T26" s="929">
        <f>Tierb!N22-AQ26</f>
        <v>0</v>
      </c>
      <c r="U26" s="930">
        <f>Tierb!O22</f>
        <v>0</v>
      </c>
      <c r="V26" s="520">
        <f t="shared" si="1"/>
        <v>0</v>
      </c>
      <c r="W26" s="929">
        <f>Tierb!P22-AT26</f>
        <v>0</v>
      </c>
      <c r="X26" s="930">
        <f>Tierb!R22</f>
        <v>0</v>
      </c>
      <c r="Y26" s="930">
        <f>Tierb!Q22</f>
        <v>0</v>
      </c>
      <c r="Z26" s="520">
        <f t="shared" si="2"/>
        <v>0</v>
      </c>
      <c r="AA26" s="1052" t="b">
        <v>0</v>
      </c>
      <c r="AB26" s="1053">
        <v>1</v>
      </c>
      <c r="AC26" s="1054">
        <v>1</v>
      </c>
      <c r="AD26" s="1055"/>
      <c r="AE26" s="1255"/>
      <c r="AF26" s="1050"/>
      <c r="AG26" s="1260"/>
      <c r="AH26" s="1260"/>
      <c r="AI26" s="1260"/>
      <c r="AJ26" s="1260"/>
      <c r="AK26" s="1260"/>
      <c r="AL26" s="1193"/>
      <c r="AM26" s="1193"/>
      <c r="AN26" s="929"/>
      <c r="AO26" s="930">
        <f>IF(AN26&lt;&gt;0,Tierb!K22,0)</f>
        <v>0</v>
      </c>
      <c r="AP26" s="520">
        <f t="shared" si="3"/>
        <v>0</v>
      </c>
      <c r="AQ26" s="929"/>
      <c r="AR26" s="930">
        <f>IF(AQ26&lt;&gt;0,Tierb!O22,0)</f>
        <v>0</v>
      </c>
      <c r="AS26" s="520">
        <f t="shared" si="4"/>
        <v>0</v>
      </c>
      <c r="AT26" s="929"/>
      <c r="AU26" s="930">
        <f>IF(AT26&gt;0,Tierb!R22,0)</f>
        <v>0</v>
      </c>
      <c r="AV26" s="930">
        <f>IF(AT26&gt;0,Tierb!Q22,0)</f>
        <v>0</v>
      </c>
      <c r="AW26" s="520">
        <f t="shared" si="5"/>
        <v>0</v>
      </c>
      <c r="AX26" s="1052" t="b">
        <v>0</v>
      </c>
      <c r="AY26" s="1053">
        <v>1</v>
      </c>
      <c r="AZ26" s="1054">
        <v>1</v>
      </c>
    </row>
    <row r="27" spans="2:52" ht="20.100000000000001" hidden="1" customHeight="1">
      <c r="B27" s="1988" t="str">
        <f>D_Klick!D236</f>
        <v>Mutterkühe, Jungvieh, über  2-jährig</v>
      </c>
      <c r="C27" s="1990"/>
      <c r="D27" s="1984" t="str">
        <f>Texte!A1451</f>
        <v>Platz</v>
      </c>
      <c r="E27" s="1984">
        <f>D_Klick!N49</f>
        <v>0.6</v>
      </c>
      <c r="F27" s="350">
        <f>Tierb!A23</f>
        <v>144</v>
      </c>
      <c r="G27" s="1246">
        <f>IF(Tierb!G23="",0,Tierb!G23-AD27)</f>
        <v>0</v>
      </c>
      <c r="H27" s="1255"/>
      <c r="I27" s="1050"/>
      <c r="J27" s="1260"/>
      <c r="K27" s="1260"/>
      <c r="L27" s="1260"/>
      <c r="M27" s="1260"/>
      <c r="N27" s="1260"/>
      <c r="O27" s="1193"/>
      <c r="P27" s="1193"/>
      <c r="Q27" s="929">
        <f>Tierb!J23-AN27</f>
        <v>0</v>
      </c>
      <c r="R27" s="930">
        <f>Tierb!K23</f>
        <v>0</v>
      </c>
      <c r="S27" s="520">
        <f t="shared" si="0"/>
        <v>0</v>
      </c>
      <c r="T27" s="929">
        <f>Tierb!N23-AQ27</f>
        <v>0</v>
      </c>
      <c r="U27" s="930">
        <f>Tierb!O23</f>
        <v>0</v>
      </c>
      <c r="V27" s="520">
        <f t="shared" si="1"/>
        <v>0</v>
      </c>
      <c r="W27" s="929">
        <f>Tierb!P23-AT27</f>
        <v>0</v>
      </c>
      <c r="X27" s="930">
        <f>Tierb!R23</f>
        <v>0</v>
      </c>
      <c r="Y27" s="930">
        <f>Tierb!Q23</f>
        <v>0</v>
      </c>
      <c r="Z27" s="520">
        <f t="shared" si="2"/>
        <v>0</v>
      </c>
      <c r="AA27" s="1052" t="b">
        <v>0</v>
      </c>
      <c r="AB27" s="1053">
        <v>1</v>
      </c>
      <c r="AC27" s="1054">
        <v>1</v>
      </c>
      <c r="AD27" s="1055"/>
      <c r="AE27" s="1255"/>
      <c r="AF27" s="1050"/>
      <c r="AG27" s="1260"/>
      <c r="AH27" s="1260"/>
      <c r="AI27" s="1260"/>
      <c r="AJ27" s="1260"/>
      <c r="AK27" s="1260"/>
      <c r="AL27" s="1193"/>
      <c r="AM27" s="1193"/>
      <c r="AN27" s="929"/>
      <c r="AO27" s="930">
        <f>IF(AN27&lt;&gt;0,Tierb!K23,0)</f>
        <v>0</v>
      </c>
      <c r="AP27" s="520">
        <f t="shared" si="3"/>
        <v>0</v>
      </c>
      <c r="AQ27" s="929"/>
      <c r="AR27" s="930">
        <f>IF(AQ27&lt;&gt;0,Tierb!O23,0)</f>
        <v>0</v>
      </c>
      <c r="AS27" s="520">
        <f t="shared" si="4"/>
        <v>0</v>
      </c>
      <c r="AT27" s="929"/>
      <c r="AU27" s="930">
        <f>IF(AT27&gt;0,Tierb!R23,0)</f>
        <v>0</v>
      </c>
      <c r="AV27" s="930">
        <f>IF(AT27&gt;0,Tierb!Q23,0)</f>
        <v>0</v>
      </c>
      <c r="AW27" s="520">
        <f t="shared" si="5"/>
        <v>0</v>
      </c>
      <c r="AX27" s="1052" t="b">
        <v>0</v>
      </c>
      <c r="AY27" s="1053">
        <v>1</v>
      </c>
      <c r="AZ27" s="1054">
        <v>1</v>
      </c>
    </row>
    <row r="28" spans="2:52" ht="20.100000000000001" hidden="1" customHeight="1">
      <c r="B28" s="1988" t="str">
        <f>D_Klick!D237</f>
        <v>Mutterkühe, Stiere, über 2-jährig</v>
      </c>
      <c r="C28" s="1990"/>
      <c r="D28" s="1984" t="str">
        <f>Texte!A1450</f>
        <v>Stück</v>
      </c>
      <c r="E28" s="1984">
        <f>D_Klick!N51</f>
        <v>0.6</v>
      </c>
      <c r="F28" s="350">
        <f>Tierb!A24</f>
        <v>148</v>
      </c>
      <c r="G28" s="1246">
        <f>IF(Tierb!G24="",0,Tierb!G24-AD28)</f>
        <v>0</v>
      </c>
      <c r="H28" s="1255"/>
      <c r="I28" s="1050"/>
      <c r="J28" s="1260"/>
      <c r="K28" s="1260"/>
      <c r="L28" s="1260"/>
      <c r="M28" s="1260"/>
      <c r="N28" s="1260"/>
      <c r="O28" s="1193"/>
      <c r="P28" s="1193"/>
      <c r="Q28" s="929">
        <f>Tierb!J24-AN28</f>
        <v>0</v>
      </c>
      <c r="R28" s="930">
        <f>Tierb!K24</f>
        <v>0</v>
      </c>
      <c r="S28" s="520">
        <f t="shared" si="0"/>
        <v>0</v>
      </c>
      <c r="T28" s="929">
        <f>Tierb!N24-AQ28</f>
        <v>0</v>
      </c>
      <c r="U28" s="930">
        <f>Tierb!O24</f>
        <v>0</v>
      </c>
      <c r="V28" s="520">
        <f t="shared" si="1"/>
        <v>0</v>
      </c>
      <c r="W28" s="929">
        <f>Tierb!P24-AT28</f>
        <v>0</v>
      </c>
      <c r="X28" s="930">
        <f>Tierb!R24</f>
        <v>0</v>
      </c>
      <c r="Y28" s="930">
        <f>Tierb!Q24</f>
        <v>0</v>
      </c>
      <c r="Z28" s="520">
        <f t="shared" si="2"/>
        <v>0</v>
      </c>
      <c r="AA28" s="1052" t="b">
        <v>0</v>
      </c>
      <c r="AB28" s="1053">
        <v>1</v>
      </c>
      <c r="AC28" s="1054">
        <v>1</v>
      </c>
      <c r="AD28" s="1055"/>
      <c r="AE28" s="1255"/>
      <c r="AF28" s="1050"/>
      <c r="AG28" s="1260"/>
      <c r="AH28" s="1260"/>
      <c r="AI28" s="1260"/>
      <c r="AJ28" s="1260"/>
      <c r="AK28" s="1260"/>
      <c r="AL28" s="1193"/>
      <c r="AM28" s="1193"/>
      <c r="AN28" s="929"/>
      <c r="AO28" s="930">
        <f>IF(AN28&lt;&gt;0,Tierb!K24,0)</f>
        <v>0</v>
      </c>
      <c r="AP28" s="520">
        <f t="shared" si="3"/>
        <v>0</v>
      </c>
      <c r="AQ28" s="929"/>
      <c r="AR28" s="930">
        <f>IF(AQ28&lt;&gt;0,Tierb!O24,0)</f>
        <v>0</v>
      </c>
      <c r="AS28" s="520">
        <f t="shared" si="4"/>
        <v>0</v>
      </c>
      <c r="AT28" s="929"/>
      <c r="AU28" s="930">
        <f>IF(AT28&gt;0,Tierb!R24,0)</f>
        <v>0</v>
      </c>
      <c r="AV28" s="930">
        <f>IF(AT28&gt;0,Tierb!Q24,0)</f>
        <v>0</v>
      </c>
      <c r="AW28" s="520">
        <f t="shared" si="5"/>
        <v>0</v>
      </c>
      <c r="AX28" s="1052" t="b">
        <v>0</v>
      </c>
      <c r="AY28" s="1053">
        <v>1</v>
      </c>
      <c r="AZ28" s="1054">
        <v>1</v>
      </c>
    </row>
    <row r="29" spans="2:52" ht="20.100000000000001" customHeight="1">
      <c r="B29" s="1988" t="str">
        <f>D_Klick!D238</f>
        <v>Mastkälber, 60 bis 220 kg</v>
      </c>
      <c r="C29" s="1990"/>
      <c r="D29" s="1984" t="str">
        <f>Texte!A1451</f>
        <v>Platz</v>
      </c>
      <c r="E29" s="1984">
        <f>D_Klick!N57</f>
        <v>0.13</v>
      </c>
      <c r="F29" s="350">
        <f>Tierb!A25</f>
        <v>152</v>
      </c>
      <c r="G29" s="1246">
        <f>IF(Tierb!G25="",0,Tierb!G25-AD29)</f>
        <v>0</v>
      </c>
      <c r="H29" s="1255"/>
      <c r="I29" s="1050"/>
      <c r="J29" s="1260"/>
      <c r="K29" s="1260"/>
      <c r="L29" s="1260"/>
      <c r="M29" s="1260"/>
      <c r="N29" s="1260"/>
      <c r="O29" s="1193"/>
      <c r="P29" s="1193"/>
      <c r="Q29" s="929">
        <f>Tierb!J25-AN29</f>
        <v>0</v>
      </c>
      <c r="R29" s="930">
        <f>Tierb!K25</f>
        <v>0</v>
      </c>
      <c r="S29" s="520">
        <f t="shared" si="0"/>
        <v>0</v>
      </c>
      <c r="T29" s="929">
        <f>Tierb!N25-AQ29</f>
        <v>0</v>
      </c>
      <c r="U29" s="930">
        <f>Tierb!O25</f>
        <v>0</v>
      </c>
      <c r="V29" s="520">
        <f t="shared" si="1"/>
        <v>0</v>
      </c>
      <c r="W29" s="929">
        <f>Tierb!P25-AT29</f>
        <v>0</v>
      </c>
      <c r="X29" s="930">
        <f>Tierb!R25</f>
        <v>0</v>
      </c>
      <c r="Y29" s="930">
        <f>Tierb!Q25</f>
        <v>0</v>
      </c>
      <c r="Z29" s="520">
        <f t="shared" si="2"/>
        <v>0</v>
      </c>
      <c r="AA29" s="1052" t="b">
        <v>0</v>
      </c>
      <c r="AB29" s="1053">
        <v>1</v>
      </c>
      <c r="AC29" s="1054">
        <v>1</v>
      </c>
      <c r="AD29" s="1055"/>
      <c r="AE29" s="1255"/>
      <c r="AF29" s="1050"/>
      <c r="AG29" s="1260"/>
      <c r="AH29" s="1260"/>
      <c r="AI29" s="1260"/>
      <c r="AJ29" s="1260"/>
      <c r="AK29" s="1260"/>
      <c r="AL29" s="1193"/>
      <c r="AM29" s="1193"/>
      <c r="AN29" s="929"/>
      <c r="AO29" s="930">
        <f>IF(AN29&lt;&gt;0,Tierb!K25,0)</f>
        <v>0</v>
      </c>
      <c r="AP29" s="520">
        <f t="shared" si="3"/>
        <v>0</v>
      </c>
      <c r="AQ29" s="929"/>
      <c r="AR29" s="930">
        <f>IF(AQ29&lt;&gt;0,Tierb!O25,0)</f>
        <v>0</v>
      </c>
      <c r="AS29" s="520">
        <f t="shared" si="4"/>
        <v>0</v>
      </c>
      <c r="AT29" s="929"/>
      <c r="AU29" s="930">
        <f>IF(AT29&gt;0,Tierb!R25,0)</f>
        <v>0</v>
      </c>
      <c r="AV29" s="930">
        <f>IF(AT29&gt;0,Tierb!Q25,0)</f>
        <v>0</v>
      </c>
      <c r="AW29" s="520">
        <f t="shared" si="5"/>
        <v>0</v>
      </c>
      <c r="AX29" s="1052" t="b">
        <v>0</v>
      </c>
      <c r="AY29" s="1053">
        <v>1</v>
      </c>
      <c r="AZ29" s="1054">
        <v>1</v>
      </c>
    </row>
    <row r="30" spans="2:52" ht="20.100000000000001" hidden="1" customHeight="1">
      <c r="B30" s="1988" t="str">
        <f>D_Klick!D239</f>
        <v>Mastkälber, 60 bis 220 kg, pro Jahr</v>
      </c>
      <c r="C30" s="1990"/>
      <c r="D30" s="1984" t="str">
        <f>Texte!A1450</f>
        <v>Stück</v>
      </c>
      <c r="E30" s="1984">
        <f>D_Klick!N58</f>
        <v>4.5614035087719301E-2</v>
      </c>
      <c r="F30" s="350">
        <f>Tierb!A26</f>
        <v>156</v>
      </c>
      <c r="G30" s="1246">
        <f>IF(Tierb!G26="",0,Tierb!G26-AD30)</f>
        <v>0</v>
      </c>
      <c r="H30" s="1255"/>
      <c r="I30" s="1050"/>
      <c r="J30" s="1260"/>
      <c r="K30" s="1260"/>
      <c r="L30" s="1260"/>
      <c r="M30" s="1260"/>
      <c r="N30" s="1260"/>
      <c r="O30" s="1193"/>
      <c r="P30" s="1193"/>
      <c r="Q30" s="929">
        <f>Tierb!J26-AN30</f>
        <v>0</v>
      </c>
      <c r="R30" s="930">
        <f>Tierb!K26</f>
        <v>0</v>
      </c>
      <c r="S30" s="520">
        <f t="shared" si="0"/>
        <v>0</v>
      </c>
      <c r="T30" s="929">
        <f>Tierb!N26-AQ30</f>
        <v>0</v>
      </c>
      <c r="U30" s="930">
        <f>Tierb!O26</f>
        <v>0</v>
      </c>
      <c r="V30" s="520">
        <f t="shared" si="1"/>
        <v>0</v>
      </c>
      <c r="W30" s="929">
        <f>Tierb!P26-AT30</f>
        <v>0</v>
      </c>
      <c r="X30" s="930">
        <f>Tierb!R26</f>
        <v>0</v>
      </c>
      <c r="Y30" s="930">
        <f>Tierb!Q26</f>
        <v>0</v>
      </c>
      <c r="Z30" s="520">
        <f t="shared" si="2"/>
        <v>0</v>
      </c>
      <c r="AA30" s="1052" t="b">
        <v>0</v>
      </c>
      <c r="AB30" s="1053">
        <v>1</v>
      </c>
      <c r="AC30" s="1054">
        <v>1</v>
      </c>
      <c r="AD30" s="1055"/>
      <c r="AE30" s="1255"/>
      <c r="AF30" s="1050"/>
      <c r="AG30" s="1260"/>
      <c r="AH30" s="1260"/>
      <c r="AI30" s="1260"/>
      <c r="AJ30" s="1260"/>
      <c r="AK30" s="1260"/>
      <c r="AL30" s="1193"/>
      <c r="AM30" s="1193"/>
      <c r="AN30" s="929"/>
      <c r="AO30" s="930">
        <f>IF(AN30&lt;&gt;0,Tierb!K26,0)</f>
        <v>0</v>
      </c>
      <c r="AP30" s="520">
        <f t="shared" si="3"/>
        <v>0</v>
      </c>
      <c r="AQ30" s="929"/>
      <c r="AR30" s="930">
        <f>IF(AQ30&lt;&gt;0,Tierb!O26,0)</f>
        <v>0</v>
      </c>
      <c r="AS30" s="520">
        <f t="shared" si="4"/>
        <v>0</v>
      </c>
      <c r="AT30" s="929"/>
      <c r="AU30" s="930">
        <f>IF(AT30&gt;0,Tierb!R26,0)</f>
        <v>0</v>
      </c>
      <c r="AV30" s="930">
        <f>IF(AT30&gt;0,Tierb!Q26,0)</f>
        <v>0</v>
      </c>
      <c r="AW30" s="520">
        <f t="shared" si="5"/>
        <v>0</v>
      </c>
      <c r="AX30" s="1052" t="b">
        <v>0</v>
      </c>
      <c r="AY30" s="1053">
        <v>1</v>
      </c>
      <c r="AZ30" s="1054">
        <v>1</v>
      </c>
    </row>
    <row r="31" spans="2:52" ht="20.100000000000001" customHeight="1">
      <c r="B31" s="1988" t="str">
        <f>D_Klick!D240</f>
        <v>Rindviehmast, bis 160-tägig</v>
      </c>
      <c r="C31" s="1990"/>
      <c r="D31" s="1984" t="str">
        <f>Texte!A1451</f>
        <v>Platz</v>
      </c>
      <c r="E31" s="1984">
        <f>D_Klick!N59</f>
        <v>0.13</v>
      </c>
      <c r="F31" s="350">
        <f>Tierb!A27</f>
        <v>164</v>
      </c>
      <c r="G31" s="1246">
        <f>IF(Tierb!G27="",0,Tierb!G27-AD31)</f>
        <v>0</v>
      </c>
      <c r="H31" s="1255"/>
      <c r="I31" s="1050"/>
      <c r="J31" s="1260"/>
      <c r="K31" s="1260"/>
      <c r="L31" s="1260"/>
      <c r="M31" s="1260"/>
      <c r="N31" s="1260"/>
      <c r="O31" s="1193"/>
      <c r="P31" s="1193"/>
      <c r="Q31" s="929">
        <f>Tierb!J27-AN31</f>
        <v>0</v>
      </c>
      <c r="R31" s="930">
        <f>Tierb!K27</f>
        <v>0</v>
      </c>
      <c r="S31" s="520">
        <f t="shared" si="0"/>
        <v>0</v>
      </c>
      <c r="T31" s="929">
        <f>Tierb!N27-AQ31</f>
        <v>0</v>
      </c>
      <c r="U31" s="930">
        <f>Tierb!O27</f>
        <v>0</v>
      </c>
      <c r="V31" s="520">
        <f t="shared" si="1"/>
        <v>0</v>
      </c>
      <c r="W31" s="929">
        <f>Tierb!P27-AT31</f>
        <v>0</v>
      </c>
      <c r="X31" s="930">
        <f>Tierb!R27</f>
        <v>0</v>
      </c>
      <c r="Y31" s="930">
        <f>Tierb!Q27</f>
        <v>0</v>
      </c>
      <c r="Z31" s="520">
        <f t="shared" si="2"/>
        <v>0</v>
      </c>
      <c r="AA31" s="1052" t="b">
        <v>0</v>
      </c>
      <c r="AB31" s="1053">
        <v>1</v>
      </c>
      <c r="AC31" s="1054">
        <v>1</v>
      </c>
      <c r="AD31" s="1055"/>
      <c r="AE31" s="1255"/>
      <c r="AF31" s="1050"/>
      <c r="AG31" s="1260"/>
      <c r="AH31" s="1260"/>
      <c r="AI31" s="1260"/>
      <c r="AJ31" s="1260"/>
      <c r="AK31" s="1260"/>
      <c r="AL31" s="1193"/>
      <c r="AM31" s="1193"/>
      <c r="AN31" s="929"/>
      <c r="AO31" s="930">
        <f>IF(AN31&lt;&gt;0,Tierb!K27,0)</f>
        <v>0</v>
      </c>
      <c r="AP31" s="520">
        <f t="shared" si="3"/>
        <v>0</v>
      </c>
      <c r="AQ31" s="929"/>
      <c r="AR31" s="930">
        <f>IF(AQ31&lt;&gt;0,Tierb!O27,0)</f>
        <v>0</v>
      </c>
      <c r="AS31" s="520">
        <f t="shared" si="4"/>
        <v>0</v>
      </c>
      <c r="AT31" s="929"/>
      <c r="AU31" s="930">
        <f>IF(AT31&gt;0,Tierb!R27,0)</f>
        <v>0</v>
      </c>
      <c r="AV31" s="930">
        <f>IF(AT31&gt;0,Tierb!Q27,0)</f>
        <v>0</v>
      </c>
      <c r="AW31" s="520">
        <f t="shared" si="5"/>
        <v>0</v>
      </c>
      <c r="AX31" s="1052" t="b">
        <v>0</v>
      </c>
      <c r="AY31" s="1053">
        <v>1</v>
      </c>
      <c r="AZ31" s="1054">
        <v>1</v>
      </c>
    </row>
    <row r="32" spans="2:52" ht="20.100000000000001" customHeight="1">
      <c r="B32" s="1988" t="str">
        <f>D_Klick!D241</f>
        <v>Rindviehmast, über 160-tägig</v>
      </c>
      <c r="C32" s="1990"/>
      <c r="D32" s="1984" t="str">
        <f>Texte!A1451</f>
        <v>Platz</v>
      </c>
      <c r="E32" s="1984">
        <f>D_Klick!N60</f>
        <v>0.33</v>
      </c>
      <c r="F32" s="350">
        <f>Tierb!A28</f>
        <v>168</v>
      </c>
      <c r="G32" s="1246">
        <f>IF(Tierb!G28="",0,Tierb!G28-AD32)</f>
        <v>0</v>
      </c>
      <c r="H32" s="1255"/>
      <c r="I32" s="1050"/>
      <c r="J32" s="1260"/>
      <c r="K32" s="1260"/>
      <c r="L32" s="1260"/>
      <c r="M32" s="1260"/>
      <c r="N32" s="1260"/>
      <c r="O32" s="1193"/>
      <c r="P32" s="1193"/>
      <c r="Q32" s="929">
        <f>Tierb!J28-AN32</f>
        <v>0</v>
      </c>
      <c r="R32" s="930">
        <f>Tierb!K28</f>
        <v>0</v>
      </c>
      <c r="S32" s="520">
        <f t="shared" si="0"/>
        <v>0</v>
      </c>
      <c r="T32" s="929">
        <f>Tierb!N28-AQ32</f>
        <v>0</v>
      </c>
      <c r="U32" s="930">
        <f>Tierb!O28</f>
        <v>0</v>
      </c>
      <c r="V32" s="520">
        <f t="shared" si="1"/>
        <v>0</v>
      </c>
      <c r="W32" s="929">
        <f>Tierb!P28-AT32</f>
        <v>0</v>
      </c>
      <c r="X32" s="930">
        <f>Tierb!R28</f>
        <v>0</v>
      </c>
      <c r="Y32" s="930">
        <f>Tierb!Q28</f>
        <v>0</v>
      </c>
      <c r="Z32" s="520">
        <f t="shared" si="2"/>
        <v>0</v>
      </c>
      <c r="AA32" s="1052" t="b">
        <v>0</v>
      </c>
      <c r="AB32" s="1053">
        <v>1</v>
      </c>
      <c r="AC32" s="1054">
        <v>1</v>
      </c>
      <c r="AD32" s="1055"/>
      <c r="AE32" s="1255"/>
      <c r="AF32" s="1050"/>
      <c r="AG32" s="1260"/>
      <c r="AH32" s="1260"/>
      <c r="AI32" s="1260"/>
      <c r="AJ32" s="1260"/>
      <c r="AK32" s="1260"/>
      <c r="AL32" s="1193"/>
      <c r="AM32" s="1193"/>
      <c r="AN32" s="929"/>
      <c r="AO32" s="930">
        <f>IF(AN32&lt;&gt;0,Tierb!K28,0)</f>
        <v>0</v>
      </c>
      <c r="AP32" s="520">
        <f t="shared" si="3"/>
        <v>0</v>
      </c>
      <c r="AQ32" s="929"/>
      <c r="AR32" s="930">
        <f>IF(AQ32&lt;&gt;0,Tierb!O28,0)</f>
        <v>0</v>
      </c>
      <c r="AS32" s="520">
        <f t="shared" si="4"/>
        <v>0</v>
      </c>
      <c r="AT32" s="929"/>
      <c r="AU32" s="930">
        <f>IF(AT32&gt;0,Tierb!R28,0)</f>
        <v>0</v>
      </c>
      <c r="AV32" s="930">
        <f>IF(AT32&gt;0,Tierb!Q28,0)</f>
        <v>0</v>
      </c>
      <c r="AW32" s="520">
        <f t="shared" si="5"/>
        <v>0</v>
      </c>
      <c r="AX32" s="1052" t="b">
        <v>0</v>
      </c>
      <c r="AY32" s="1053">
        <v>1</v>
      </c>
      <c r="AZ32" s="1054">
        <v>1</v>
      </c>
    </row>
    <row r="33" spans="2:52" ht="20.100000000000001" customHeight="1">
      <c r="B33" s="1988" t="str">
        <f>D_Klick!D242</f>
        <v>Rindviehmast, Weidemast, über 4 Monate</v>
      </c>
      <c r="C33" s="1990"/>
      <c r="D33" s="1984" t="str">
        <f>Texte!A1450</f>
        <v>Stück</v>
      </c>
      <c r="E33" s="1984">
        <f>D_Klick!N61</f>
        <v>0.34814432989690725</v>
      </c>
      <c r="F33" s="350">
        <f>Tierb!A29</f>
        <v>172</v>
      </c>
      <c r="G33" s="1246">
        <f>IF(Tierb!G29="",0,Tierb!G29-AD33)</f>
        <v>0</v>
      </c>
      <c r="H33" s="1255"/>
      <c r="I33" s="1050"/>
      <c r="J33" s="1260"/>
      <c r="K33" s="1260"/>
      <c r="L33" s="1260"/>
      <c r="M33" s="1260"/>
      <c r="N33" s="1260"/>
      <c r="O33" s="1193"/>
      <c r="P33" s="1193"/>
      <c r="Q33" s="929">
        <f>Tierb!J29-AN33</f>
        <v>0</v>
      </c>
      <c r="R33" s="930">
        <f>Tierb!K29</f>
        <v>0</v>
      </c>
      <c r="S33" s="520">
        <f t="shared" si="0"/>
        <v>0</v>
      </c>
      <c r="T33" s="929">
        <f>Tierb!N29-AQ33</f>
        <v>0</v>
      </c>
      <c r="U33" s="930">
        <f>Tierb!O29</f>
        <v>0</v>
      </c>
      <c r="V33" s="520">
        <f t="shared" si="1"/>
        <v>0</v>
      </c>
      <c r="W33" s="929">
        <f>Tierb!P29-AT33</f>
        <v>0</v>
      </c>
      <c r="X33" s="930">
        <f>Tierb!R29</f>
        <v>0</v>
      </c>
      <c r="Y33" s="930">
        <f>Tierb!Q29</f>
        <v>0</v>
      </c>
      <c r="Z33" s="520">
        <f t="shared" si="2"/>
        <v>0</v>
      </c>
      <c r="AA33" s="1052" t="b">
        <v>0</v>
      </c>
      <c r="AB33" s="1053">
        <v>1</v>
      </c>
      <c r="AC33" s="1054">
        <v>1</v>
      </c>
      <c r="AD33" s="1055"/>
      <c r="AE33" s="1255"/>
      <c r="AF33" s="1050"/>
      <c r="AG33" s="1260"/>
      <c r="AH33" s="1260"/>
      <c r="AI33" s="1260"/>
      <c r="AJ33" s="1260"/>
      <c r="AK33" s="1260"/>
      <c r="AL33" s="1193"/>
      <c r="AM33" s="1193"/>
      <c r="AN33" s="929"/>
      <c r="AO33" s="930">
        <f>IF(AN33&lt;&gt;0,Tierb!K29,0)</f>
        <v>0</v>
      </c>
      <c r="AP33" s="520">
        <f t="shared" si="3"/>
        <v>0</v>
      </c>
      <c r="AQ33" s="929"/>
      <c r="AR33" s="930">
        <f>IF(AQ33&lt;&gt;0,Tierb!O29,0)</f>
        <v>0</v>
      </c>
      <c r="AS33" s="520">
        <f t="shared" si="4"/>
        <v>0</v>
      </c>
      <c r="AT33" s="929"/>
      <c r="AU33" s="930">
        <f>IF(AT33&gt;0,Tierb!R29,0)</f>
        <v>0</v>
      </c>
      <c r="AV33" s="930">
        <f>IF(AT33&gt;0,Tierb!Q29,0)</f>
        <v>0</v>
      </c>
      <c r="AW33" s="520">
        <f t="shared" si="5"/>
        <v>0</v>
      </c>
      <c r="AX33" s="1052" t="b">
        <v>0</v>
      </c>
      <c r="AY33" s="1053">
        <v>1</v>
      </c>
      <c r="AZ33" s="1054">
        <v>1</v>
      </c>
    </row>
    <row r="34" spans="2:52" ht="20.100000000000001" customHeight="1">
      <c r="B34" s="1988" t="str">
        <f>D_Klick!D243</f>
        <v/>
      </c>
      <c r="C34" s="1990"/>
      <c r="D34" s="1984" t="str">
        <f>IF(D_Tierb!F30="","",D_Tierb!F30)</f>
        <v>Platz</v>
      </c>
      <c r="E34" s="1984" t="str">
        <f>IF(Tierb!H30= "","",Tierb!H30)</f>
        <v/>
      </c>
      <c r="F34" s="350">
        <f>Tierb!A30</f>
        <v>180</v>
      </c>
      <c r="G34" s="1246">
        <f>IF(Tierb!G30="",0,Tierb!G30-AD34)</f>
        <v>0</v>
      </c>
      <c r="H34" s="1255"/>
      <c r="I34" s="1050"/>
      <c r="J34" s="1261"/>
      <c r="K34" s="1261"/>
      <c r="L34" s="1261"/>
      <c r="M34" s="1261"/>
      <c r="N34" s="1261"/>
      <c r="O34" s="1193"/>
      <c r="P34" s="1193"/>
      <c r="Q34" s="929">
        <f>Tierb!J30-AN34</f>
        <v>0</v>
      </c>
      <c r="R34" s="930">
        <f>Tierb!K30</f>
        <v>0</v>
      </c>
      <c r="S34" s="520">
        <f t="shared" si="0"/>
        <v>0</v>
      </c>
      <c r="T34" s="929">
        <f>Tierb!N30-AQ34</f>
        <v>0</v>
      </c>
      <c r="U34" s="930">
        <f>Tierb!O30</f>
        <v>0</v>
      </c>
      <c r="V34" s="520">
        <f t="shared" si="1"/>
        <v>0</v>
      </c>
      <c r="W34" s="929">
        <f>Tierb!P30-AT34</f>
        <v>0</v>
      </c>
      <c r="X34" s="930">
        <f>Tierb!R30</f>
        <v>0</v>
      </c>
      <c r="Y34" s="930">
        <f>Tierb!Q30</f>
        <v>0</v>
      </c>
      <c r="Z34" s="520">
        <f t="shared" si="2"/>
        <v>0</v>
      </c>
      <c r="AA34" s="1052" t="b">
        <v>0</v>
      </c>
      <c r="AB34" s="1053">
        <v>1</v>
      </c>
      <c r="AC34" s="1054">
        <v>1</v>
      </c>
      <c r="AD34" s="1055"/>
      <c r="AE34" s="1255"/>
      <c r="AF34" s="1050"/>
      <c r="AG34" s="1261"/>
      <c r="AH34" s="1261"/>
      <c r="AI34" s="1261"/>
      <c r="AJ34" s="1261"/>
      <c r="AK34" s="1261"/>
      <c r="AL34" s="1193"/>
      <c r="AM34" s="1193"/>
      <c r="AN34" s="929"/>
      <c r="AO34" s="930">
        <f>IF(AN34&lt;&gt;0,Tierb!K30,0)</f>
        <v>0</v>
      </c>
      <c r="AP34" s="520">
        <f t="shared" si="3"/>
        <v>0</v>
      </c>
      <c r="AQ34" s="929"/>
      <c r="AR34" s="930">
        <f>IF(AQ34&lt;&gt;0,Tierb!O30,0)</f>
        <v>0</v>
      </c>
      <c r="AS34" s="520">
        <f t="shared" si="4"/>
        <v>0</v>
      </c>
      <c r="AT34" s="929"/>
      <c r="AU34" s="930">
        <f>IF(AT34&gt;0,Tierb!R30,0)</f>
        <v>0</v>
      </c>
      <c r="AV34" s="930">
        <f>IF(AT34&gt;0,Tierb!Q30,0)</f>
        <v>0</v>
      </c>
      <c r="AW34" s="520">
        <f t="shared" si="5"/>
        <v>0</v>
      </c>
      <c r="AX34" s="1052" t="b">
        <v>0</v>
      </c>
      <c r="AY34" s="1053">
        <v>1</v>
      </c>
      <c r="AZ34" s="1054">
        <v>1</v>
      </c>
    </row>
    <row r="35" spans="2:52" ht="20.100000000000001" customHeight="1">
      <c r="B35" s="1991" t="str">
        <f>D_Klick!D244</f>
        <v/>
      </c>
      <c r="C35" s="1992"/>
      <c r="D35" s="1993" t="str">
        <f>IF(D_Tierb!F31="","",D_Tierb!F31)</f>
        <v>Platz</v>
      </c>
      <c r="E35" s="1984" t="str">
        <f>IF(Tierb!H31= "","",Tierb!H31)</f>
        <v/>
      </c>
      <c r="F35" s="350">
        <f>Tierb!A31</f>
        <v>184</v>
      </c>
      <c r="G35" s="1247">
        <f>IF(Tierb!G31="",0,Tierb!G31-AD35)</f>
        <v>0</v>
      </c>
      <c r="H35" s="1256"/>
      <c r="I35" s="1057"/>
      <c r="J35" s="1262"/>
      <c r="K35" s="1262"/>
      <c r="L35" s="1262"/>
      <c r="M35" s="1262"/>
      <c r="N35" s="1262"/>
      <c r="O35" s="1196"/>
      <c r="P35" s="1196"/>
      <c r="Q35" s="929">
        <f>Tierb!J31-AN35</f>
        <v>0</v>
      </c>
      <c r="R35" s="930">
        <f>Tierb!K31</f>
        <v>0</v>
      </c>
      <c r="S35" s="520">
        <f t="shared" si="0"/>
        <v>0</v>
      </c>
      <c r="T35" s="929">
        <f>Tierb!N31-AQ35</f>
        <v>0</v>
      </c>
      <c r="U35" s="930">
        <f>Tierb!O31</f>
        <v>0</v>
      </c>
      <c r="V35" s="520">
        <f t="shared" si="1"/>
        <v>0</v>
      </c>
      <c r="W35" s="929">
        <f>Tierb!P31-AT35</f>
        <v>0</v>
      </c>
      <c r="X35" s="930">
        <f>Tierb!R31</f>
        <v>0</v>
      </c>
      <c r="Y35" s="930">
        <f>Tierb!Q31</f>
        <v>0</v>
      </c>
      <c r="Z35" s="520">
        <f t="shared" si="2"/>
        <v>0</v>
      </c>
      <c r="AA35" s="1036" t="b">
        <v>0</v>
      </c>
      <c r="AB35" s="1058">
        <v>1</v>
      </c>
      <c r="AC35" s="1059">
        <v>1</v>
      </c>
      <c r="AD35" s="1060"/>
      <c r="AE35" s="1256"/>
      <c r="AF35" s="1057"/>
      <c r="AG35" s="1262"/>
      <c r="AH35" s="1262"/>
      <c r="AI35" s="1262"/>
      <c r="AJ35" s="1262"/>
      <c r="AK35" s="1262"/>
      <c r="AL35" s="1196"/>
      <c r="AM35" s="1196"/>
      <c r="AN35" s="1056"/>
      <c r="AO35" s="930">
        <f>IF(AN35&lt;&gt;0,Tierb!K31,0)</f>
        <v>0</v>
      </c>
      <c r="AP35" s="520">
        <f t="shared" si="3"/>
        <v>0</v>
      </c>
      <c r="AQ35" s="1056"/>
      <c r="AR35" s="930">
        <f>IF(AQ35&lt;&gt;0,Tierb!O31,0)</f>
        <v>0</v>
      </c>
      <c r="AS35" s="520">
        <f t="shared" si="4"/>
        <v>0</v>
      </c>
      <c r="AT35" s="1056"/>
      <c r="AU35" s="930">
        <f>IF(AT35&gt;0,Tierb!R31,0)</f>
        <v>0</v>
      </c>
      <c r="AV35" s="930">
        <f>IF(AT35&gt;0,Tierb!Q31,0)</f>
        <v>0</v>
      </c>
      <c r="AW35" s="520">
        <f t="shared" si="5"/>
        <v>0</v>
      </c>
      <c r="AX35" s="1036" t="b">
        <v>0</v>
      </c>
      <c r="AY35" s="1058">
        <v>1</v>
      </c>
      <c r="AZ35" s="1059">
        <v>1</v>
      </c>
    </row>
    <row r="36" spans="2:52" ht="20.100000000000001" customHeight="1">
      <c r="B36" s="1994" t="str">
        <f>D_Klick!D246</f>
        <v>Tiere der Pferdegattung (Equiden)</v>
      </c>
      <c r="C36" s="1995"/>
      <c r="D36" s="1996"/>
      <c r="E36" s="1997"/>
      <c r="F36" s="1062"/>
      <c r="G36" s="1071"/>
      <c r="H36" s="1257"/>
      <c r="I36" s="1064"/>
      <c r="J36" s="1259"/>
      <c r="K36" s="1259"/>
      <c r="L36" s="1259"/>
      <c r="M36" s="1259"/>
      <c r="N36" s="1259"/>
      <c r="O36" s="1192"/>
      <c r="P36" s="1192"/>
      <c r="Q36" s="347"/>
      <c r="R36" s="1065"/>
      <c r="S36" s="1066"/>
      <c r="T36" s="347"/>
      <c r="U36" s="1065"/>
      <c r="V36" s="1066"/>
      <c r="W36" s="1063"/>
      <c r="X36" s="1067"/>
      <c r="Y36" s="1067"/>
      <c r="Z36" s="1066"/>
      <c r="AA36" s="1068"/>
      <c r="AB36" s="1069"/>
      <c r="AC36" s="1070"/>
      <c r="AD36" s="1071"/>
      <c r="AE36" s="1257"/>
      <c r="AF36" s="1064"/>
      <c r="AG36" s="1259"/>
      <c r="AH36" s="1259"/>
      <c r="AI36" s="1259"/>
      <c r="AJ36" s="1259"/>
      <c r="AK36" s="1259"/>
      <c r="AL36" s="1192"/>
      <c r="AM36" s="1192"/>
      <c r="AN36" s="1063"/>
      <c r="AO36" s="1067"/>
      <c r="AP36" s="1066"/>
      <c r="AQ36" s="1063"/>
      <c r="AR36" s="1067"/>
      <c r="AS36" s="1066"/>
      <c r="AT36" s="1072"/>
      <c r="AU36" s="1067"/>
      <c r="AV36" s="1067"/>
      <c r="AW36" s="1066"/>
      <c r="AX36" s="1068"/>
      <c r="AY36" s="1069"/>
      <c r="AZ36" s="1070"/>
    </row>
    <row r="37" spans="2:52" ht="20.100000000000001" customHeight="1">
      <c r="B37" s="1988" t="str">
        <f>D_Klick!D247</f>
        <v>Pferde &gt; 148 cm, über 180-tägig</v>
      </c>
      <c r="C37" s="1990"/>
      <c r="D37" s="1984" t="str">
        <f>Texte!A1450</f>
        <v>Stück</v>
      </c>
      <c r="E37" s="1984">
        <f>D_Tierb!AE34</f>
        <v>0.7</v>
      </c>
      <c r="F37" s="350">
        <f>D_Tierb!A34</f>
        <v>200</v>
      </c>
      <c r="G37" s="1246">
        <f>IF(D_Tierb!G34="",0,D_Tierb!G34-AD37)</f>
        <v>5</v>
      </c>
      <c r="H37" s="1255"/>
      <c r="I37" s="1073"/>
      <c r="J37" s="1260"/>
      <c r="K37" s="1260"/>
      <c r="L37" s="1260"/>
      <c r="M37" s="1260"/>
      <c r="N37" s="1260"/>
      <c r="O37" s="1193"/>
      <c r="P37" s="1193"/>
      <c r="Q37" s="929">
        <f>-D_Tierb!L34-AN37</f>
        <v>0</v>
      </c>
      <c r="R37" s="1051">
        <f>IF(ABS(Q37)&gt;0,(D_Tierb!M34)-AO37,0)</f>
        <v>0</v>
      </c>
      <c r="S37" s="520">
        <f>(Q37*R37) / ($C$6*30.417)</f>
        <v>0</v>
      </c>
      <c r="T37" s="929">
        <f>D_Tierb!V34-AQ37</f>
        <v>5</v>
      </c>
      <c r="U37" s="930">
        <f>D_Tierb!W34</f>
        <v>90</v>
      </c>
      <c r="V37" s="520">
        <f>(T37*U37) / ($C$6*30.417)</f>
        <v>1.2328632014991616</v>
      </c>
      <c r="W37" s="929">
        <f>D_Tierb!Y34-AT37</f>
        <v>5</v>
      </c>
      <c r="X37" s="930">
        <f>D_Tierb!AA34</f>
        <v>100</v>
      </c>
      <c r="Y37" s="930">
        <f>D_Tierb!Z34</f>
        <v>4</v>
      </c>
      <c r="Z37" s="520">
        <f>(W37*X37*Y37) / ($C$6*24*30.417)</f>
        <v>0.22830800027762249</v>
      </c>
      <c r="AA37" s="1052" t="b">
        <v>0</v>
      </c>
      <c r="AB37" s="1077"/>
      <c r="AC37" s="1054">
        <v>1</v>
      </c>
      <c r="AD37" s="1055"/>
      <c r="AE37" s="1255"/>
      <c r="AF37" s="1073"/>
      <c r="AG37" s="1260"/>
      <c r="AH37" s="1260"/>
      <c r="AI37" s="1260"/>
      <c r="AJ37" s="1260"/>
      <c r="AK37" s="1260"/>
      <c r="AL37" s="1193"/>
      <c r="AM37" s="1193"/>
      <c r="AN37" s="929"/>
      <c r="AO37" s="930">
        <f>IF(AN37&lt;&gt;0,Tierb!K33,0)</f>
        <v>0</v>
      </c>
      <c r="AP37" s="520">
        <f>(AN37*AO37) / ($C$6*30.417)</f>
        <v>0</v>
      </c>
      <c r="AQ37" s="929"/>
      <c r="AR37" s="930">
        <f>IF(AQ37&lt;&gt;0,D_Tierb!W34,0)</f>
        <v>0</v>
      </c>
      <c r="AS37" s="520">
        <f>(AQ37*AR37) / ($C$6*30.417)</f>
        <v>0</v>
      </c>
      <c r="AT37" s="929"/>
      <c r="AU37" s="930">
        <f>IF(AT37&gt;0,D_Tierb!AA34,0)</f>
        <v>0</v>
      </c>
      <c r="AV37" s="930">
        <f>IF(AT37&gt;0,D_Tierb!Z34,0)</f>
        <v>0</v>
      </c>
      <c r="AW37" s="520">
        <f>(AT37*AU37*AV37) / ($C$6*24*30.417)</f>
        <v>0</v>
      </c>
      <c r="AX37" s="1052" t="b">
        <v>0</v>
      </c>
      <c r="AY37" s="1077"/>
      <c r="AZ37" s="1054">
        <v>1</v>
      </c>
    </row>
    <row r="38" spans="2:52" ht="20.100000000000001" customHeight="1">
      <c r="B38" s="1988" t="str">
        <f>D_Klick!D248</f>
        <v>Pferde &gt; 148 cm, bis 180-tägig</v>
      </c>
      <c r="C38" s="1990"/>
      <c r="D38" s="1984" t="str">
        <f>Texte!A1450</f>
        <v>Stück</v>
      </c>
      <c r="E38" s="1984">
        <f>D_Tierb!AE35</f>
        <v>0</v>
      </c>
      <c r="F38" s="350">
        <f>D_Tierb!A35</f>
        <v>210</v>
      </c>
      <c r="G38" s="1246">
        <f>IF(D_Tierb!G35="",0,D_Tierb!G35-AD38)</f>
        <v>0</v>
      </c>
      <c r="H38" s="1255"/>
      <c r="I38" s="1073"/>
      <c r="J38" s="1260"/>
      <c r="K38" s="1260"/>
      <c r="L38" s="1260"/>
      <c r="M38" s="1260"/>
      <c r="N38" s="1260"/>
      <c r="O38" s="1193"/>
      <c r="P38" s="1193"/>
      <c r="Q38" s="349">
        <f>-D_Tierb!L35-AN38</f>
        <v>0</v>
      </c>
      <c r="R38" s="1051">
        <f>IF(ABS(Q38)&gt;0,(D_Tierb!M35)-AO38,0)</f>
        <v>0</v>
      </c>
      <c r="S38" s="520">
        <f>(Q38*R38) / ($C$6*30.417)</f>
        <v>0</v>
      </c>
      <c r="T38" s="349">
        <f>D_Tierb!V35-AQ38</f>
        <v>0</v>
      </c>
      <c r="U38" s="1051">
        <f>D_Tierb!W35</f>
        <v>0</v>
      </c>
      <c r="V38" s="520">
        <f>(T38*U38) / ($C$6*30.417)</f>
        <v>0</v>
      </c>
      <c r="W38" s="929">
        <f>D_Tierb!Y35-AT38</f>
        <v>0</v>
      </c>
      <c r="X38" s="930">
        <f>D_Tierb!AA35</f>
        <v>0</v>
      </c>
      <c r="Y38" s="930">
        <f>D_Tierb!Z35</f>
        <v>0</v>
      </c>
      <c r="Z38" s="520">
        <f>(W38*X38*Y38) / ($C$6*24*30.417)</f>
        <v>0</v>
      </c>
      <c r="AA38" s="1052" t="b">
        <v>0</v>
      </c>
      <c r="AB38" s="1077"/>
      <c r="AC38" s="1054">
        <v>1</v>
      </c>
      <c r="AD38" s="1055"/>
      <c r="AE38" s="1255"/>
      <c r="AF38" s="1073"/>
      <c r="AG38" s="1260"/>
      <c r="AH38" s="1260"/>
      <c r="AI38" s="1260"/>
      <c r="AJ38" s="1260"/>
      <c r="AK38" s="1260"/>
      <c r="AL38" s="1193"/>
      <c r="AM38" s="1193"/>
      <c r="AN38" s="929"/>
      <c r="AO38" s="930">
        <f>IF(AN38&lt;&gt;0,Tierb!K34,0)</f>
        <v>0</v>
      </c>
      <c r="AP38" s="520">
        <f>(AN38*AO38) / ($C$6*30.417)</f>
        <v>0</v>
      </c>
      <c r="AQ38" s="929"/>
      <c r="AR38" s="930">
        <f>IF(AQ38&lt;&gt;0,D_Tierb!W35,0)</f>
        <v>0</v>
      </c>
      <c r="AS38" s="520">
        <f>(AQ38*AR38) / ($C$6*30.417)</f>
        <v>0</v>
      </c>
      <c r="AT38" s="929"/>
      <c r="AU38" s="930">
        <f>IF(AT38&gt;0,D_Tierb!AA35,0)</f>
        <v>0</v>
      </c>
      <c r="AV38" s="930">
        <f>IF(AT38&gt;0,D_Tierb!Z35,0)</f>
        <v>0</v>
      </c>
      <c r="AW38" s="520">
        <f>(AT38*AU38*AV38) / ($C$6*24*30.417)</f>
        <v>0</v>
      </c>
      <c r="AX38" s="1052" t="b">
        <v>0</v>
      </c>
      <c r="AY38" s="1077"/>
      <c r="AZ38" s="1054">
        <v>1</v>
      </c>
    </row>
    <row r="39" spans="2:52" ht="20.100000000000001" customHeight="1">
      <c r="B39" s="1988" t="str">
        <f>D_Klick!D249</f>
        <v>Maultiere, Maulesel, über 180-tägig</v>
      </c>
      <c r="C39" s="1990"/>
      <c r="D39" s="1984" t="str">
        <f>Texte!A1450</f>
        <v>Stück</v>
      </c>
      <c r="E39" s="1984">
        <f>D_Tierb!AE36</f>
        <v>0</v>
      </c>
      <c r="F39" s="350">
        <f>D_Tierb!A36</f>
        <v>220</v>
      </c>
      <c r="G39" s="1246">
        <f>IF(D_Tierb!G36="",0,D_Tierb!G36-AD39)</f>
        <v>0</v>
      </c>
      <c r="H39" s="1255"/>
      <c r="I39" s="1073"/>
      <c r="J39" s="1260"/>
      <c r="K39" s="1260"/>
      <c r="L39" s="1260"/>
      <c r="M39" s="1260"/>
      <c r="N39" s="1260"/>
      <c r="O39" s="1193"/>
      <c r="P39" s="1193"/>
      <c r="Q39" s="349">
        <f>-D_Tierb!L36-AN39</f>
        <v>0</v>
      </c>
      <c r="R39" s="1051">
        <f>IF(ABS(Q39)&gt;0,(D_Tierb!M36)-AO39,0)</f>
        <v>0</v>
      </c>
      <c r="S39" s="520">
        <f>(Q39*R39) / ($C$6*30.417)</f>
        <v>0</v>
      </c>
      <c r="T39" s="349">
        <f>D_Tierb!V36-AQ39</f>
        <v>0</v>
      </c>
      <c r="U39" s="1051">
        <f>D_Tierb!W36</f>
        <v>0</v>
      </c>
      <c r="V39" s="520">
        <f>(T39*U39) / ($C$6*30.417)</f>
        <v>0</v>
      </c>
      <c r="W39" s="929">
        <f>D_Tierb!Y36-AT39</f>
        <v>0</v>
      </c>
      <c r="X39" s="930">
        <f>D_Tierb!AA36</f>
        <v>0</v>
      </c>
      <c r="Y39" s="930">
        <f>D_Tierb!Z36</f>
        <v>0</v>
      </c>
      <c r="Z39" s="520">
        <f>(W39*X39*Y39) / ($C$6*24*30.417)</f>
        <v>0</v>
      </c>
      <c r="AA39" s="1052" t="b">
        <v>0</v>
      </c>
      <c r="AB39" s="1077"/>
      <c r="AC39" s="1054">
        <v>1</v>
      </c>
      <c r="AD39" s="1055"/>
      <c r="AE39" s="1255"/>
      <c r="AF39" s="1073"/>
      <c r="AG39" s="1260"/>
      <c r="AH39" s="1260"/>
      <c r="AI39" s="1260"/>
      <c r="AJ39" s="1260"/>
      <c r="AK39" s="1260"/>
      <c r="AL39" s="1193"/>
      <c r="AM39" s="1193"/>
      <c r="AN39" s="929"/>
      <c r="AO39" s="930">
        <f>IF(AN39&lt;&gt;0,Tierb!K35,0)</f>
        <v>0</v>
      </c>
      <c r="AP39" s="520">
        <f>(AN39*AO39) / ($C$6*30.417)</f>
        <v>0</v>
      </c>
      <c r="AQ39" s="929"/>
      <c r="AR39" s="930">
        <f>IF(AQ39&lt;&gt;0,D_Tierb!W36,0)</f>
        <v>0</v>
      </c>
      <c r="AS39" s="520">
        <f>(AQ39*AR39) / ($C$6*30.417)</f>
        <v>0</v>
      </c>
      <c r="AT39" s="929"/>
      <c r="AU39" s="930">
        <f>IF(AT39&gt;0,D_Tierb!AA36,0)</f>
        <v>0</v>
      </c>
      <c r="AV39" s="930">
        <f>IF(AT39&gt;0,D_Tierb!Z36,0)</f>
        <v>0</v>
      </c>
      <c r="AW39" s="520">
        <f>(AT39*AU39*AV39) / ($C$6*24*30.417)</f>
        <v>0</v>
      </c>
      <c r="AX39" s="1052" t="b">
        <v>0</v>
      </c>
      <c r="AY39" s="1077"/>
      <c r="AZ39" s="1054">
        <v>1</v>
      </c>
    </row>
    <row r="40" spans="2:52" ht="20.100000000000001" customHeight="1">
      <c r="B40" s="1988" t="str">
        <f>D_Klick!D250</f>
        <v>Maultiere, Maulesel, bis 180-tägig</v>
      </c>
      <c r="C40" s="1990"/>
      <c r="D40" s="1984" t="str">
        <f>Texte!A1450</f>
        <v>Stück</v>
      </c>
      <c r="E40" s="1984">
        <f>D_Tierb!AE37</f>
        <v>0</v>
      </c>
      <c r="F40" s="350">
        <f>D_Tierb!A37</f>
        <v>230</v>
      </c>
      <c r="G40" s="1246">
        <f>IF(D_Tierb!G37="",0,D_Tierb!G37-AD40)</f>
        <v>0</v>
      </c>
      <c r="H40" s="1255"/>
      <c r="I40" s="1073"/>
      <c r="J40" s="1260"/>
      <c r="K40" s="1260"/>
      <c r="L40" s="1260"/>
      <c r="M40" s="1260"/>
      <c r="N40" s="1260"/>
      <c r="O40" s="1193"/>
      <c r="P40" s="1193"/>
      <c r="Q40" s="349">
        <f>-D_Tierb!L37-AN40</f>
        <v>0</v>
      </c>
      <c r="R40" s="1051">
        <f>IF(ABS(Q40)&gt;0,(D_Tierb!M37)-AO40,0)</f>
        <v>0</v>
      </c>
      <c r="S40" s="520">
        <f>(Q40*R40) / ($C$6*30.417)</f>
        <v>0</v>
      </c>
      <c r="T40" s="349">
        <f>D_Tierb!V37-AQ40</f>
        <v>0</v>
      </c>
      <c r="U40" s="1051">
        <f>D_Tierb!W37</f>
        <v>0</v>
      </c>
      <c r="V40" s="520">
        <f>(T40*U40) / ($C$6*30.417)</f>
        <v>0</v>
      </c>
      <c r="W40" s="929">
        <f>D_Tierb!Y37-AT40</f>
        <v>0</v>
      </c>
      <c r="X40" s="930">
        <f>D_Tierb!AA37</f>
        <v>0</v>
      </c>
      <c r="Y40" s="930">
        <f>D_Tierb!Z37</f>
        <v>0</v>
      </c>
      <c r="Z40" s="520">
        <f>(W40*X40*Y40) / ($C$6*24*30.417)</f>
        <v>0</v>
      </c>
      <c r="AA40" s="1052" t="b">
        <v>0</v>
      </c>
      <c r="AB40" s="1077"/>
      <c r="AC40" s="1054">
        <v>1</v>
      </c>
      <c r="AD40" s="1055"/>
      <c r="AE40" s="1255"/>
      <c r="AF40" s="1073"/>
      <c r="AG40" s="1260"/>
      <c r="AH40" s="1260"/>
      <c r="AI40" s="1260"/>
      <c r="AJ40" s="1260"/>
      <c r="AK40" s="1260"/>
      <c r="AL40" s="1193"/>
      <c r="AM40" s="1193"/>
      <c r="AN40" s="929"/>
      <c r="AO40" s="930">
        <f>IF(AN40&lt;&gt;0,Tierb!K36,0)</f>
        <v>0</v>
      </c>
      <c r="AP40" s="520">
        <f>(AN40*AO40) / ($C$6*30.417)</f>
        <v>0</v>
      </c>
      <c r="AQ40" s="929"/>
      <c r="AR40" s="930">
        <f>IF(AQ40&lt;&gt;0,D_Tierb!W37,0)</f>
        <v>0</v>
      </c>
      <c r="AS40" s="520">
        <f>(AQ40*AR40) / ($C$6*30.417)</f>
        <v>0</v>
      </c>
      <c r="AT40" s="929"/>
      <c r="AU40" s="930">
        <f>IF(AT40&gt;0,D_Tierb!AA37,0)</f>
        <v>0</v>
      </c>
      <c r="AV40" s="930">
        <f>IF(AT40&gt;0,D_Tierb!Z37,0)</f>
        <v>0</v>
      </c>
      <c r="AW40" s="520">
        <f>(AT40*AU40*AV40) / ($C$6*24*30.417)</f>
        <v>0</v>
      </c>
      <c r="AX40" s="1052" t="b">
        <v>0</v>
      </c>
      <c r="AY40" s="1077"/>
      <c r="AZ40" s="1054">
        <v>1</v>
      </c>
    </row>
    <row r="41" spans="2:52" ht="20.100000000000001" customHeight="1">
      <c r="B41" s="1998" t="str">
        <f>D_Klick!D251</f>
        <v>Ponys, Kleinpferde, Esel, bis 148 cm</v>
      </c>
      <c r="C41" s="1999"/>
      <c r="D41" s="2000" t="str">
        <f>Texte!A1450</f>
        <v>Stück</v>
      </c>
      <c r="E41" s="1984">
        <f>D_Tierb!AE38</f>
        <v>0.35</v>
      </c>
      <c r="F41" s="350">
        <f>D_Tierb!A38</f>
        <v>240</v>
      </c>
      <c r="G41" s="1248">
        <f>IF(D_Tierb!G38="",0,D_Tierb!G38-AD41)</f>
        <v>4</v>
      </c>
      <c r="H41" s="1258"/>
      <c r="I41" s="1046"/>
      <c r="J41" s="1281"/>
      <c r="K41" s="1281"/>
      <c r="L41" s="1281"/>
      <c r="M41" s="1281"/>
      <c r="N41" s="1281"/>
      <c r="O41" s="1194"/>
      <c r="P41" s="1194"/>
      <c r="Q41" s="471">
        <f>-D_Tierb!L38-AN41</f>
        <v>0</v>
      </c>
      <c r="R41" s="472">
        <f>IF(ABS(Q41)&gt;0,(D_Tierb!M38)-AO41,0)</f>
        <v>0</v>
      </c>
      <c r="S41" s="431">
        <f>(Q41*R41) / ($C$6*30.417)</f>
        <v>0</v>
      </c>
      <c r="T41" s="471">
        <f>D_Tierb!V38-AQ41</f>
        <v>4</v>
      </c>
      <c r="U41" s="472">
        <f>D_Tierb!W38</f>
        <v>90</v>
      </c>
      <c r="V41" s="431">
        <f>(T41*U41) / ($C$6*30.417)</f>
        <v>0.98629056119932923</v>
      </c>
      <c r="W41" s="1074">
        <f>D_Tierb!Y38-AT41</f>
        <v>4</v>
      </c>
      <c r="X41" s="1075">
        <f>D_Tierb!AA38</f>
        <v>100</v>
      </c>
      <c r="Y41" s="1075">
        <f>D_Tierb!Z38</f>
        <v>4</v>
      </c>
      <c r="Z41" s="431">
        <f>(W41*X41*Y41) / ($C$6*24*30.417)</f>
        <v>0.18264640022209799</v>
      </c>
      <c r="AA41" s="1052" t="b">
        <v>0</v>
      </c>
      <c r="AB41" s="805"/>
      <c r="AC41" s="1054">
        <v>1</v>
      </c>
      <c r="AD41" s="1076"/>
      <c r="AE41" s="1258"/>
      <c r="AF41" s="1046"/>
      <c r="AG41" s="1263"/>
      <c r="AH41" s="1263"/>
      <c r="AI41" s="1263"/>
      <c r="AJ41" s="1263"/>
      <c r="AK41" s="1263"/>
      <c r="AL41" s="1194"/>
      <c r="AM41" s="1194"/>
      <c r="AN41" s="1074"/>
      <c r="AO41" s="1075">
        <f>IF(AN41&lt;&gt;0,Tierb!K37,0)</f>
        <v>0</v>
      </c>
      <c r="AP41" s="431">
        <f>(AN41*AO41) / ($C$6*30.417)</f>
        <v>0</v>
      </c>
      <c r="AQ41" s="1074"/>
      <c r="AR41" s="1075">
        <f>IF(AQ41&lt;&gt;0,D_Tierb!W38,0)</f>
        <v>0</v>
      </c>
      <c r="AS41" s="431">
        <f>(AQ41*AR41) / ($C$6*30.417)</f>
        <v>0</v>
      </c>
      <c r="AT41" s="1074"/>
      <c r="AU41" s="1075">
        <f>IF(AT41&gt;0,D_Tierb!AA38,0)</f>
        <v>0</v>
      </c>
      <c r="AV41" s="1075">
        <f>IF(AT41&gt;0,D_Tierb!Z38,0)</f>
        <v>0</v>
      </c>
      <c r="AW41" s="431">
        <f>(AT41*AU41*AV41) / ($C$6*24*30.417)</f>
        <v>0</v>
      </c>
      <c r="AX41" s="1052" t="b">
        <v>0</v>
      </c>
      <c r="AY41" s="805"/>
      <c r="AZ41" s="1054">
        <v>1</v>
      </c>
    </row>
    <row r="42" spans="2:52" ht="20.100000000000001" customHeight="1">
      <c r="B42" s="1994" t="str">
        <f>D_Klick!D253</f>
        <v>Kleine Wiederkäuer</v>
      </c>
      <c r="C42" s="1995"/>
      <c r="D42" s="1996"/>
      <c r="E42" s="1997"/>
      <c r="F42" s="1061"/>
      <c r="G42" s="1071"/>
      <c r="H42" s="1257"/>
      <c r="I42" s="1064"/>
      <c r="J42" s="1259"/>
      <c r="K42" s="1259"/>
      <c r="L42" s="1259"/>
      <c r="M42" s="1259"/>
      <c r="N42" s="1259"/>
      <c r="O42" s="1192"/>
      <c r="P42" s="1192"/>
      <c r="Q42" s="347"/>
      <c r="R42" s="1065"/>
      <c r="S42" s="1066"/>
      <c r="T42" s="347"/>
      <c r="U42" s="1065"/>
      <c r="V42" s="1066"/>
      <c r="W42" s="1063"/>
      <c r="X42" s="1067"/>
      <c r="Y42" s="1067"/>
      <c r="Z42" s="1066"/>
      <c r="AA42" s="1068"/>
      <c r="AB42" s="1069"/>
      <c r="AC42" s="1070"/>
      <c r="AD42" s="1071"/>
      <c r="AE42" s="1257"/>
      <c r="AF42" s="1064"/>
      <c r="AG42" s="1259"/>
      <c r="AH42" s="1259"/>
      <c r="AI42" s="1259"/>
      <c r="AJ42" s="1259"/>
      <c r="AK42" s="1259"/>
      <c r="AL42" s="1192"/>
      <c r="AM42" s="1192"/>
      <c r="AN42" s="1063"/>
      <c r="AO42" s="1067"/>
      <c r="AP42" s="1066"/>
      <c r="AQ42" s="1063"/>
      <c r="AR42" s="1067"/>
      <c r="AS42" s="1066"/>
      <c r="AT42" s="1072"/>
      <c r="AU42" s="1067"/>
      <c r="AV42" s="1067"/>
      <c r="AW42" s="1066"/>
      <c r="AX42" s="1068"/>
      <c r="AY42" s="1069"/>
      <c r="AZ42" s="1070"/>
    </row>
    <row r="43" spans="2:52" ht="20.100000000000001" customHeight="1">
      <c r="B43" s="1988" t="str">
        <f>D_Klick!D254</f>
        <v>Milchschafe</v>
      </c>
      <c r="C43" s="3367">
        <f>D_Tierb!D41</f>
        <v>450</v>
      </c>
      <c r="D43" s="1984" t="str">
        <f>Texte!A1451</f>
        <v>Platz</v>
      </c>
      <c r="E43" s="1984">
        <f>Tierb!H40</f>
        <v>0.25</v>
      </c>
      <c r="F43" s="350">
        <f>Tierb!A40</f>
        <v>300</v>
      </c>
      <c r="G43" s="1246">
        <f>IF(Tierb!G40="",0,Tierb!G40-AD43)</f>
        <v>219</v>
      </c>
      <c r="H43" s="1255"/>
      <c r="I43" s="1073"/>
      <c r="J43" s="1260"/>
      <c r="K43" s="1260"/>
      <c r="L43" s="1260"/>
      <c r="M43" s="1260"/>
      <c r="N43" s="1260"/>
      <c r="O43" s="1193"/>
      <c r="P43" s="1193"/>
      <c r="Q43" s="349">
        <f>Tierb!J40-AN43</f>
        <v>0</v>
      </c>
      <c r="R43" s="1051">
        <f>Tierb!K40</f>
        <v>0</v>
      </c>
      <c r="S43" s="520">
        <f t="shared" ref="S43:S52" si="6">(Q43*R43) / ($C$6*30.417)</f>
        <v>0</v>
      </c>
      <c r="T43" s="349">
        <f>Tierb!N40-AQ43</f>
        <v>0</v>
      </c>
      <c r="U43" s="1051">
        <f>Tierb!O40</f>
        <v>0</v>
      </c>
      <c r="V43" s="520">
        <f t="shared" ref="V43:V52" si="7">(T43*U43) / ($C$6*30.417)</f>
        <v>0</v>
      </c>
      <c r="W43" s="929">
        <f>Tierb!P40-AT43</f>
        <v>0</v>
      </c>
      <c r="X43" s="930">
        <f>Tierb!R40</f>
        <v>0</v>
      </c>
      <c r="Y43" s="930">
        <f>Tierb!Q40</f>
        <v>0</v>
      </c>
      <c r="Z43" s="520">
        <f t="shared" ref="Z43:Z52" si="8">(W43*X43*Y43) / ($C$6*24*30.417)</f>
        <v>0</v>
      </c>
      <c r="AA43" s="1052" t="b">
        <v>0</v>
      </c>
      <c r="AB43" s="1077"/>
      <c r="AC43" s="1054">
        <v>1</v>
      </c>
      <c r="AD43" s="1055"/>
      <c r="AE43" s="1255"/>
      <c r="AF43" s="1073"/>
      <c r="AG43" s="1260"/>
      <c r="AH43" s="1260"/>
      <c r="AI43" s="1260"/>
      <c r="AJ43" s="1260"/>
      <c r="AK43" s="1260"/>
      <c r="AL43" s="1193"/>
      <c r="AM43" s="1193"/>
      <c r="AN43" s="929"/>
      <c r="AO43" s="930">
        <f>IF(AN43&lt;&gt;0,Tierb!K40,0)</f>
        <v>0</v>
      </c>
      <c r="AP43" s="520">
        <f t="shared" ref="AP43:AP52" si="9">(AN43*AO43) / ($C$6*30.417)</f>
        <v>0</v>
      </c>
      <c r="AQ43" s="929"/>
      <c r="AR43" s="930">
        <f>IF(AQ43&lt;&gt;0,Tierb!O40,0)</f>
        <v>0</v>
      </c>
      <c r="AS43" s="520">
        <f t="shared" ref="AS43:AS52" si="10">(AQ43*AR43) / ($C$6*30.417)</f>
        <v>0</v>
      </c>
      <c r="AT43" s="929"/>
      <c r="AU43" s="930">
        <f>IF(AT43&gt;0,Tierb!R40,0)</f>
        <v>0</v>
      </c>
      <c r="AV43" s="930">
        <f>IF(AT43&gt;0,Tierb!Q40,0)</f>
        <v>0</v>
      </c>
      <c r="AW43" s="520">
        <f t="shared" ref="AW43:AW52" si="11">(AT43*AU43*AV43) / ($C$6*24*30.417)</f>
        <v>0</v>
      </c>
      <c r="AX43" s="1052" t="b">
        <v>0</v>
      </c>
      <c r="AY43" s="1077"/>
      <c r="AZ43" s="1054">
        <v>1</v>
      </c>
    </row>
    <row r="44" spans="2:52" ht="20.100000000000001" customHeight="1">
      <c r="B44" s="1988" t="str">
        <f>D_Klick!D255</f>
        <v>Andere Schafe, über 365-tägig</v>
      </c>
      <c r="C44" s="1990"/>
      <c r="D44" s="1984" t="str">
        <f>Texte!A1451</f>
        <v>Platz</v>
      </c>
      <c r="E44" s="1984">
        <f>Tierb!H41</f>
        <v>0.17</v>
      </c>
      <c r="F44" s="350">
        <f>Tierb!A41</f>
        <v>310</v>
      </c>
      <c r="G44" s="1246">
        <f>IF(Tierb!G41="",0,Tierb!G41-AD44)</f>
        <v>45</v>
      </c>
      <c r="H44" s="1255"/>
      <c r="I44" s="1073"/>
      <c r="J44" s="1260"/>
      <c r="K44" s="1260"/>
      <c r="L44" s="1260"/>
      <c r="M44" s="1260"/>
      <c r="N44" s="1260"/>
      <c r="O44" s="1193"/>
      <c r="P44" s="1193"/>
      <c r="Q44" s="349">
        <f>Tierb!J41-AN44</f>
        <v>0</v>
      </c>
      <c r="R44" s="1051">
        <f>Tierb!K41</f>
        <v>0</v>
      </c>
      <c r="S44" s="520">
        <f t="shared" si="6"/>
        <v>0</v>
      </c>
      <c r="T44" s="349">
        <f>Tierb!N41-AQ44</f>
        <v>0</v>
      </c>
      <c r="U44" s="1051">
        <f>Tierb!O41</f>
        <v>0</v>
      </c>
      <c r="V44" s="520">
        <f t="shared" si="7"/>
        <v>0</v>
      </c>
      <c r="W44" s="929">
        <f>Tierb!P41-AT44</f>
        <v>0</v>
      </c>
      <c r="X44" s="930">
        <f>Tierb!R41</f>
        <v>0</v>
      </c>
      <c r="Y44" s="930">
        <f>Tierb!Q41</f>
        <v>0</v>
      </c>
      <c r="Z44" s="520">
        <f t="shared" si="8"/>
        <v>0</v>
      </c>
      <c r="AA44" s="1052" t="b">
        <v>0</v>
      </c>
      <c r="AB44" s="1077"/>
      <c r="AC44" s="1054">
        <v>1</v>
      </c>
      <c r="AD44" s="1055"/>
      <c r="AE44" s="1255"/>
      <c r="AF44" s="1073"/>
      <c r="AG44" s="1260"/>
      <c r="AH44" s="1260"/>
      <c r="AI44" s="1260"/>
      <c r="AJ44" s="1260"/>
      <c r="AK44" s="1260"/>
      <c r="AL44" s="1193"/>
      <c r="AM44" s="1193"/>
      <c r="AN44" s="929"/>
      <c r="AO44" s="930">
        <f>IF(AN44&lt;&gt;0,Tierb!K41,0)</f>
        <v>0</v>
      </c>
      <c r="AP44" s="520">
        <f t="shared" si="9"/>
        <v>0</v>
      </c>
      <c r="AQ44" s="929"/>
      <c r="AR44" s="930">
        <f>IF(AQ44&lt;&gt;0,Tierb!O41,0)</f>
        <v>0</v>
      </c>
      <c r="AS44" s="520">
        <f t="shared" si="10"/>
        <v>0</v>
      </c>
      <c r="AT44" s="929"/>
      <c r="AU44" s="930">
        <f>IF(AT44&gt;0,Tierb!R41,0)</f>
        <v>0</v>
      </c>
      <c r="AV44" s="930">
        <f>IF(AT44&gt;0,Tierb!Q41,0)</f>
        <v>0</v>
      </c>
      <c r="AW44" s="520">
        <f t="shared" si="11"/>
        <v>0</v>
      </c>
      <c r="AX44" s="1052" t="b">
        <v>0</v>
      </c>
      <c r="AY44" s="1077"/>
      <c r="AZ44" s="1054">
        <v>1</v>
      </c>
    </row>
    <row r="45" spans="2:52" ht="20.100000000000001" customHeight="1">
      <c r="B45" s="1988" t="str">
        <f>D_Klick!D256</f>
        <v>Jungschafe, über 180 bis 365-tägig</v>
      </c>
      <c r="C45" s="1990"/>
      <c r="D45" s="1984" t="str">
        <f>Texte!A1453</f>
        <v>Einheit</v>
      </c>
      <c r="E45" s="1984">
        <f>Tierb!H42</f>
        <v>0.06</v>
      </c>
      <c r="F45" s="350">
        <f>Tierb!A42</f>
        <v>320</v>
      </c>
      <c r="G45" s="1246">
        <f>IF(Tierb!G42="",0,Tierb!G42-AD45)</f>
        <v>106</v>
      </c>
      <c r="H45" s="1255"/>
      <c r="I45" s="1073"/>
      <c r="J45" s="1260"/>
      <c r="K45" s="1260"/>
      <c r="L45" s="1260"/>
      <c r="M45" s="1260"/>
      <c r="N45" s="1260"/>
      <c r="O45" s="1193"/>
      <c r="P45" s="1193"/>
      <c r="Q45" s="349">
        <f>Tierb!J42-AN45</f>
        <v>0</v>
      </c>
      <c r="R45" s="1051">
        <f>Tierb!K42</f>
        <v>0</v>
      </c>
      <c r="S45" s="520">
        <f t="shared" si="6"/>
        <v>0</v>
      </c>
      <c r="T45" s="349">
        <f>Tierb!N42-AQ45</f>
        <v>0</v>
      </c>
      <c r="U45" s="1051">
        <f>Tierb!O42</f>
        <v>0</v>
      </c>
      <c r="V45" s="520">
        <f t="shared" si="7"/>
        <v>0</v>
      </c>
      <c r="W45" s="929">
        <f>Tierb!P42-AT45</f>
        <v>0</v>
      </c>
      <c r="X45" s="930">
        <f>Tierb!R42</f>
        <v>0</v>
      </c>
      <c r="Y45" s="930">
        <f>Tierb!Q42</f>
        <v>0</v>
      </c>
      <c r="Z45" s="520">
        <f t="shared" si="8"/>
        <v>0</v>
      </c>
      <c r="AA45" s="1052" t="b">
        <v>0</v>
      </c>
      <c r="AB45" s="1077"/>
      <c r="AC45" s="1054">
        <v>1</v>
      </c>
      <c r="AD45" s="1055"/>
      <c r="AE45" s="1255"/>
      <c r="AF45" s="1073"/>
      <c r="AG45" s="1260"/>
      <c r="AH45" s="1260"/>
      <c r="AI45" s="1260"/>
      <c r="AJ45" s="1260"/>
      <c r="AK45" s="1260"/>
      <c r="AL45" s="1193"/>
      <c r="AM45" s="1193"/>
      <c r="AN45" s="929"/>
      <c r="AO45" s="930">
        <f>IF(AN45&lt;&gt;0,Tierb!K42,0)</f>
        <v>0</v>
      </c>
      <c r="AP45" s="520">
        <f t="shared" si="9"/>
        <v>0</v>
      </c>
      <c r="AQ45" s="929"/>
      <c r="AR45" s="930">
        <f>IF(AQ45&lt;&gt;0,Tierb!O42,0)</f>
        <v>0</v>
      </c>
      <c r="AS45" s="520">
        <f t="shared" si="10"/>
        <v>0</v>
      </c>
      <c r="AT45" s="929"/>
      <c r="AU45" s="930">
        <f>IF(AT45&gt;0,Tierb!R42,0)</f>
        <v>0</v>
      </c>
      <c r="AV45" s="930">
        <f>IF(AT45&gt;0,Tierb!Q42,0)</f>
        <v>0</v>
      </c>
      <c r="AW45" s="520">
        <f t="shared" si="11"/>
        <v>0</v>
      </c>
      <c r="AX45" s="1052" t="b">
        <v>0</v>
      </c>
      <c r="AY45" s="1077"/>
      <c r="AZ45" s="1054">
        <v>1</v>
      </c>
    </row>
    <row r="46" spans="2:52" ht="20.100000000000001" customHeight="1">
      <c r="B46" s="1988" t="str">
        <f>D_Klick!D257</f>
        <v>Lämmer, bis 180-tägig</v>
      </c>
      <c r="C46" s="1990"/>
      <c r="D46" s="1984" t="str">
        <f>Texte!A1454</f>
        <v>100 Pl</v>
      </c>
      <c r="E46" s="1984">
        <f>Tierb!H43</f>
        <v>0.03</v>
      </c>
      <c r="F46" s="350">
        <f>Tierb!A43</f>
        <v>330</v>
      </c>
      <c r="G46" s="1246">
        <f>IF(Tierb!G43="",0,Tierb!G43-AD46)</f>
        <v>129</v>
      </c>
      <c r="H46" s="1255"/>
      <c r="I46" s="1073"/>
      <c r="J46" s="1260"/>
      <c r="K46" s="1260"/>
      <c r="L46" s="1260"/>
      <c r="M46" s="1260"/>
      <c r="N46" s="1260"/>
      <c r="O46" s="1193"/>
      <c r="P46" s="1193"/>
      <c r="Q46" s="349">
        <f>Tierb!J43-AN46</f>
        <v>0</v>
      </c>
      <c r="R46" s="1051">
        <f>Tierb!K43</f>
        <v>0</v>
      </c>
      <c r="S46" s="520">
        <f t="shared" si="6"/>
        <v>0</v>
      </c>
      <c r="T46" s="349">
        <f>Tierb!N43-AQ46</f>
        <v>0</v>
      </c>
      <c r="U46" s="1051">
        <f>Tierb!O43</f>
        <v>0</v>
      </c>
      <c r="V46" s="520">
        <f t="shared" si="7"/>
        <v>0</v>
      </c>
      <c r="W46" s="929">
        <f>Tierb!P43-AT46</f>
        <v>0</v>
      </c>
      <c r="X46" s="930">
        <f>Tierb!R43</f>
        <v>0</v>
      </c>
      <c r="Y46" s="930">
        <f>Tierb!Q43</f>
        <v>0</v>
      </c>
      <c r="Z46" s="520">
        <f t="shared" si="8"/>
        <v>0</v>
      </c>
      <c r="AA46" s="1052" t="b">
        <v>0</v>
      </c>
      <c r="AB46" s="1077"/>
      <c r="AC46" s="1054">
        <v>1</v>
      </c>
      <c r="AD46" s="1055"/>
      <c r="AE46" s="1255"/>
      <c r="AF46" s="1073"/>
      <c r="AG46" s="1260"/>
      <c r="AH46" s="1260"/>
      <c r="AI46" s="1260"/>
      <c r="AJ46" s="1260"/>
      <c r="AK46" s="1260"/>
      <c r="AL46" s="1193"/>
      <c r="AM46" s="1193"/>
      <c r="AN46" s="929"/>
      <c r="AO46" s="930">
        <f>IF(AN46&lt;&gt;0,Tierb!K43,0)</f>
        <v>0</v>
      </c>
      <c r="AP46" s="520">
        <f t="shared" si="9"/>
        <v>0</v>
      </c>
      <c r="AQ46" s="929"/>
      <c r="AR46" s="930">
        <f>IF(AQ46&lt;&gt;0,Tierb!O43,0)</f>
        <v>0</v>
      </c>
      <c r="AS46" s="520">
        <f t="shared" si="10"/>
        <v>0</v>
      </c>
      <c r="AT46" s="929"/>
      <c r="AU46" s="930">
        <f>IF(AT46&gt;0,Tierb!R43,0)</f>
        <v>0</v>
      </c>
      <c r="AV46" s="930">
        <f>IF(AT46&gt;0,Tierb!Q43,0)</f>
        <v>0</v>
      </c>
      <c r="AW46" s="520">
        <f t="shared" si="11"/>
        <v>0</v>
      </c>
      <c r="AX46" s="1052" t="b">
        <v>0</v>
      </c>
      <c r="AY46" s="1077"/>
      <c r="AZ46" s="1054">
        <v>1</v>
      </c>
    </row>
    <row r="47" spans="2:52" ht="20.100000000000001" customHeight="1">
      <c r="B47" s="1988" t="str">
        <f>D_Klick!D258</f>
        <v>Milchziegen</v>
      </c>
      <c r="C47" s="3367">
        <f>D_Tierb!D45</f>
        <v>550</v>
      </c>
      <c r="D47" s="1984" t="str">
        <f>Texte!A1451</f>
        <v>Platz</v>
      </c>
      <c r="E47" s="1984">
        <f>Tierb!H44</f>
        <v>0.2</v>
      </c>
      <c r="F47" s="350">
        <f>Tierb!A44</f>
        <v>400</v>
      </c>
      <c r="G47" s="1246">
        <f>IF(Tierb!G44="",0,Tierb!G44-AD47)</f>
        <v>3</v>
      </c>
      <c r="H47" s="1255"/>
      <c r="I47" s="1073"/>
      <c r="J47" s="1260"/>
      <c r="K47" s="1260"/>
      <c r="L47" s="1260"/>
      <c r="M47" s="1260"/>
      <c r="N47" s="1260"/>
      <c r="O47" s="1193"/>
      <c r="P47" s="1193"/>
      <c r="Q47" s="349">
        <f>Tierb!J44-AN47</f>
        <v>0</v>
      </c>
      <c r="R47" s="1051">
        <f>Tierb!K44</f>
        <v>0</v>
      </c>
      <c r="S47" s="520">
        <f t="shared" si="6"/>
        <v>0</v>
      </c>
      <c r="T47" s="349">
        <f>Tierb!N44-AQ47</f>
        <v>0</v>
      </c>
      <c r="U47" s="1051">
        <f>Tierb!O44</f>
        <v>0</v>
      </c>
      <c r="V47" s="520">
        <f t="shared" si="7"/>
        <v>0</v>
      </c>
      <c r="W47" s="929">
        <f>Tierb!P44-AT47</f>
        <v>0</v>
      </c>
      <c r="X47" s="930">
        <f>Tierb!R44</f>
        <v>0</v>
      </c>
      <c r="Y47" s="930">
        <f>Tierb!Q44</f>
        <v>0</v>
      </c>
      <c r="Z47" s="520">
        <f t="shared" si="8"/>
        <v>0</v>
      </c>
      <c r="AA47" s="1052" t="b">
        <v>0</v>
      </c>
      <c r="AB47" s="1077"/>
      <c r="AC47" s="1054">
        <v>1</v>
      </c>
      <c r="AD47" s="1055"/>
      <c r="AE47" s="1255"/>
      <c r="AF47" s="1073"/>
      <c r="AG47" s="1260"/>
      <c r="AH47" s="1260"/>
      <c r="AI47" s="1260"/>
      <c r="AJ47" s="1260"/>
      <c r="AK47" s="1260"/>
      <c r="AL47" s="1193"/>
      <c r="AM47" s="1193"/>
      <c r="AN47" s="929"/>
      <c r="AO47" s="930">
        <f>IF(AN47&lt;&gt;0,Tierb!K44,0)</f>
        <v>0</v>
      </c>
      <c r="AP47" s="520">
        <f t="shared" si="9"/>
        <v>0</v>
      </c>
      <c r="AQ47" s="929"/>
      <c r="AR47" s="930">
        <f>IF(AQ47&lt;&gt;0,Tierb!O44,0)</f>
        <v>0</v>
      </c>
      <c r="AS47" s="520">
        <f t="shared" si="10"/>
        <v>0</v>
      </c>
      <c r="AT47" s="929"/>
      <c r="AU47" s="930">
        <f>IF(AT47&gt;0,Tierb!R44,0)</f>
        <v>0</v>
      </c>
      <c r="AV47" s="930">
        <f>IF(AT47&gt;0,Tierb!Q44,0)</f>
        <v>0</v>
      </c>
      <c r="AW47" s="520">
        <f t="shared" si="11"/>
        <v>0</v>
      </c>
      <c r="AX47" s="1052" t="b">
        <v>0</v>
      </c>
      <c r="AY47" s="1077"/>
      <c r="AZ47" s="1054">
        <v>1</v>
      </c>
    </row>
    <row r="48" spans="2:52" ht="20.100000000000001" customHeight="1">
      <c r="B48" s="1988" t="str">
        <f>D_Klick!D259</f>
        <v>Andere Zeigen, über 365-tägig</v>
      </c>
      <c r="C48" s="1990"/>
      <c r="D48" s="1984" t="str">
        <f>Texte!A1451</f>
        <v>Platz</v>
      </c>
      <c r="E48" s="1984">
        <f>Tierb!H45</f>
        <v>0.17</v>
      </c>
      <c r="F48" s="350">
        <f>Tierb!A45</f>
        <v>410</v>
      </c>
      <c r="G48" s="1246">
        <f>IF(Tierb!G45="",0,Tierb!G45-AD48)</f>
        <v>0</v>
      </c>
      <c r="H48" s="1255"/>
      <c r="I48" s="1073"/>
      <c r="J48" s="1260"/>
      <c r="K48" s="1260"/>
      <c r="L48" s="1260"/>
      <c r="M48" s="1260"/>
      <c r="N48" s="1260"/>
      <c r="O48" s="1193"/>
      <c r="P48" s="1193"/>
      <c r="Q48" s="349">
        <f>Tierb!J45-AN48</f>
        <v>0</v>
      </c>
      <c r="R48" s="1051">
        <f>Tierb!K45</f>
        <v>0</v>
      </c>
      <c r="S48" s="520">
        <f t="shared" si="6"/>
        <v>0</v>
      </c>
      <c r="T48" s="349">
        <f>Tierb!N45-AQ48</f>
        <v>0</v>
      </c>
      <c r="U48" s="1051">
        <f>Tierb!O45</f>
        <v>0</v>
      </c>
      <c r="V48" s="520">
        <f t="shared" si="7"/>
        <v>0</v>
      </c>
      <c r="W48" s="929">
        <f>Tierb!P45-AT48</f>
        <v>0</v>
      </c>
      <c r="X48" s="930">
        <f>Tierb!R45</f>
        <v>0</v>
      </c>
      <c r="Y48" s="930">
        <f>Tierb!Q45</f>
        <v>0</v>
      </c>
      <c r="Z48" s="520">
        <f t="shared" si="8"/>
        <v>0</v>
      </c>
      <c r="AA48" s="1052" t="b">
        <v>0</v>
      </c>
      <c r="AB48" s="1077"/>
      <c r="AC48" s="1054">
        <v>1</v>
      </c>
      <c r="AD48" s="1055"/>
      <c r="AE48" s="1255"/>
      <c r="AF48" s="1073"/>
      <c r="AG48" s="1260"/>
      <c r="AH48" s="1260"/>
      <c r="AI48" s="1260"/>
      <c r="AJ48" s="1260"/>
      <c r="AK48" s="1260"/>
      <c r="AL48" s="1193"/>
      <c r="AM48" s="1193"/>
      <c r="AN48" s="929"/>
      <c r="AO48" s="930">
        <f>IF(AN48&lt;&gt;0,Tierb!K45,0)</f>
        <v>0</v>
      </c>
      <c r="AP48" s="520">
        <f t="shared" si="9"/>
        <v>0</v>
      </c>
      <c r="AQ48" s="929"/>
      <c r="AR48" s="930">
        <f>IF(AQ48&lt;&gt;0,Tierb!O45,0)</f>
        <v>0</v>
      </c>
      <c r="AS48" s="520">
        <f t="shared" si="10"/>
        <v>0</v>
      </c>
      <c r="AT48" s="929"/>
      <c r="AU48" s="930">
        <f>IF(AT48&gt;0,Tierb!R45,0)</f>
        <v>0</v>
      </c>
      <c r="AV48" s="930">
        <f>IF(AT48&gt;0,Tierb!Q45,0)</f>
        <v>0</v>
      </c>
      <c r="AW48" s="520">
        <f t="shared" si="11"/>
        <v>0</v>
      </c>
      <c r="AX48" s="1052" t="b">
        <v>0</v>
      </c>
      <c r="AY48" s="1077"/>
      <c r="AZ48" s="1054">
        <v>1</v>
      </c>
    </row>
    <row r="49" spans="2:52" ht="20.100000000000001" customHeight="1">
      <c r="B49" s="1988" t="str">
        <f>D_Klick!D260</f>
        <v>Jungziegen, über 180 bis 365-tägig</v>
      </c>
      <c r="C49" s="1990"/>
      <c r="D49" s="1984" t="str">
        <f>Texte!A1453</f>
        <v>Einheit</v>
      </c>
      <c r="E49" s="1984">
        <f>Tierb!H46</f>
        <v>0.06</v>
      </c>
      <c r="F49" s="350">
        <f>Tierb!A46</f>
        <v>420</v>
      </c>
      <c r="G49" s="1246">
        <f>IF(Tierb!G46="",0,Tierb!G46-AD49)</f>
        <v>0</v>
      </c>
      <c r="H49" s="1255"/>
      <c r="I49" s="1073"/>
      <c r="J49" s="1260"/>
      <c r="K49" s="1260"/>
      <c r="L49" s="1260"/>
      <c r="M49" s="1260"/>
      <c r="N49" s="1260"/>
      <c r="O49" s="1193"/>
      <c r="P49" s="1193"/>
      <c r="Q49" s="349">
        <f>Tierb!J46-AN49</f>
        <v>0</v>
      </c>
      <c r="R49" s="1051">
        <f>Tierb!K46</f>
        <v>0</v>
      </c>
      <c r="S49" s="520">
        <f t="shared" si="6"/>
        <v>0</v>
      </c>
      <c r="T49" s="349">
        <f>Tierb!N46-AQ49</f>
        <v>0</v>
      </c>
      <c r="U49" s="1051">
        <f>Tierb!O46</f>
        <v>0</v>
      </c>
      <c r="V49" s="520">
        <f t="shared" si="7"/>
        <v>0</v>
      </c>
      <c r="W49" s="929">
        <f>Tierb!P46-AT49</f>
        <v>0</v>
      </c>
      <c r="X49" s="930">
        <f>Tierb!R46</f>
        <v>0</v>
      </c>
      <c r="Y49" s="930">
        <f>Tierb!Q46</f>
        <v>0</v>
      </c>
      <c r="Z49" s="520">
        <f t="shared" si="8"/>
        <v>0</v>
      </c>
      <c r="AA49" s="1052" t="b">
        <v>0</v>
      </c>
      <c r="AB49" s="1077"/>
      <c r="AC49" s="1054">
        <v>1</v>
      </c>
      <c r="AD49" s="1055"/>
      <c r="AE49" s="1255"/>
      <c r="AF49" s="1073"/>
      <c r="AG49" s="1260"/>
      <c r="AH49" s="1260"/>
      <c r="AI49" s="1260"/>
      <c r="AJ49" s="1260"/>
      <c r="AK49" s="1260"/>
      <c r="AL49" s="1193"/>
      <c r="AM49" s="1193"/>
      <c r="AN49" s="929"/>
      <c r="AO49" s="930">
        <f>IF(AN49&lt;&gt;0,Tierb!K46,0)</f>
        <v>0</v>
      </c>
      <c r="AP49" s="520">
        <f t="shared" si="9"/>
        <v>0</v>
      </c>
      <c r="AQ49" s="929"/>
      <c r="AR49" s="930">
        <f>IF(AQ49&lt;&gt;0,Tierb!O46,0)</f>
        <v>0</v>
      </c>
      <c r="AS49" s="520">
        <f t="shared" si="10"/>
        <v>0</v>
      </c>
      <c r="AT49" s="929"/>
      <c r="AU49" s="930">
        <f>IF(AT49&gt;0,Tierb!R46,0)</f>
        <v>0</v>
      </c>
      <c r="AV49" s="930">
        <f>IF(AT49&gt;0,Tierb!Q46,0)</f>
        <v>0</v>
      </c>
      <c r="AW49" s="520">
        <f t="shared" si="11"/>
        <v>0</v>
      </c>
      <c r="AX49" s="1052" t="b">
        <v>0</v>
      </c>
      <c r="AY49" s="1077"/>
      <c r="AZ49" s="1054">
        <v>1</v>
      </c>
    </row>
    <row r="50" spans="2:52" ht="20.100000000000001" customHeight="1">
      <c r="B50" s="1988" t="str">
        <f>D_Klick!D261</f>
        <v>Zicklein bis 180-tägig, Milchziegenherde</v>
      </c>
      <c r="C50" s="1990"/>
      <c r="D50" s="1984" t="str">
        <f>Texte!A1453</f>
        <v>Einheit</v>
      </c>
      <c r="E50" s="1984">
        <f>Tierb!H47</f>
        <v>0.03</v>
      </c>
      <c r="F50" s="350">
        <f>Tierb!A47</f>
        <v>430</v>
      </c>
      <c r="G50" s="1246">
        <f>IF(Tierb!G47="",0,Tierb!G47-AD50)</f>
        <v>0</v>
      </c>
      <c r="H50" s="1255"/>
      <c r="I50" s="1073"/>
      <c r="J50" s="1260"/>
      <c r="K50" s="1260"/>
      <c r="L50" s="1260"/>
      <c r="M50" s="1260"/>
      <c r="N50" s="1260"/>
      <c r="O50" s="1193"/>
      <c r="P50" s="1193"/>
      <c r="Q50" s="349">
        <f>Tierb!J47-AN50</f>
        <v>0</v>
      </c>
      <c r="R50" s="1051">
        <f>Tierb!K47</f>
        <v>0</v>
      </c>
      <c r="S50" s="520">
        <f t="shared" si="6"/>
        <v>0</v>
      </c>
      <c r="T50" s="349">
        <f>Tierb!N47-AQ50</f>
        <v>0</v>
      </c>
      <c r="U50" s="1051">
        <f>Tierb!O47</f>
        <v>0</v>
      </c>
      <c r="V50" s="520">
        <f t="shared" si="7"/>
        <v>0</v>
      </c>
      <c r="W50" s="929">
        <f>Tierb!P47-AT50</f>
        <v>0</v>
      </c>
      <c r="X50" s="930">
        <f>Tierb!R47</f>
        <v>0</v>
      </c>
      <c r="Y50" s="930">
        <f>Tierb!Q47</f>
        <v>0</v>
      </c>
      <c r="Z50" s="520">
        <f t="shared" si="8"/>
        <v>0</v>
      </c>
      <c r="AA50" s="1052" t="b">
        <v>0</v>
      </c>
      <c r="AB50" s="1077"/>
      <c r="AC50" s="1054">
        <v>1</v>
      </c>
      <c r="AD50" s="1055"/>
      <c r="AE50" s="1255"/>
      <c r="AF50" s="1073"/>
      <c r="AG50" s="1260"/>
      <c r="AH50" s="1260"/>
      <c r="AI50" s="1260"/>
      <c r="AJ50" s="1260"/>
      <c r="AK50" s="1260"/>
      <c r="AL50" s="1193"/>
      <c r="AM50" s="1193"/>
      <c r="AN50" s="929"/>
      <c r="AO50" s="930">
        <f>IF(AN50&lt;&gt;0,Tierb!K47,0)</f>
        <v>0</v>
      </c>
      <c r="AP50" s="520">
        <f t="shared" si="9"/>
        <v>0</v>
      </c>
      <c r="AQ50" s="929"/>
      <c r="AR50" s="930">
        <f>IF(AQ50&lt;&gt;0,Tierb!O47,0)</f>
        <v>0</v>
      </c>
      <c r="AS50" s="520">
        <f t="shared" si="10"/>
        <v>0</v>
      </c>
      <c r="AT50" s="929"/>
      <c r="AU50" s="930">
        <f>IF(AT50&gt;0,Tierb!R47,0)</f>
        <v>0</v>
      </c>
      <c r="AV50" s="930">
        <f>IF(AT50&gt;0,Tierb!Q47,0)</f>
        <v>0</v>
      </c>
      <c r="AW50" s="520">
        <f t="shared" si="11"/>
        <v>0</v>
      </c>
      <c r="AX50" s="1052" t="b">
        <v>0</v>
      </c>
      <c r="AY50" s="1077"/>
      <c r="AZ50" s="1054">
        <v>1</v>
      </c>
    </row>
    <row r="51" spans="2:52" ht="20.100000000000001" customHeight="1">
      <c r="B51" s="1988" t="str">
        <f>D_Klick!D262</f>
        <v>Zicklein bis 180-tägig, Mutterziegenherde</v>
      </c>
      <c r="C51" s="1990"/>
      <c r="D51" s="1984" t="str">
        <f>Texte!A1455</f>
        <v>MSP</v>
      </c>
      <c r="E51" s="1984">
        <f>Tierb!H48</f>
        <v>0.03</v>
      </c>
      <c r="F51" s="350">
        <f>Tierb!A48</f>
        <v>440</v>
      </c>
      <c r="G51" s="1246">
        <f>IF(Tierb!G48="",0,Tierb!G48-AD51)</f>
        <v>0</v>
      </c>
      <c r="H51" s="1255"/>
      <c r="I51" s="1073"/>
      <c r="J51" s="1260"/>
      <c r="K51" s="1260"/>
      <c r="L51" s="1260"/>
      <c r="M51" s="1260"/>
      <c r="N51" s="1260"/>
      <c r="O51" s="1193"/>
      <c r="P51" s="1193"/>
      <c r="Q51" s="349">
        <f>Tierb!J48-AN51</f>
        <v>0</v>
      </c>
      <c r="R51" s="1051">
        <f>Tierb!K48</f>
        <v>0</v>
      </c>
      <c r="S51" s="520">
        <f t="shared" si="6"/>
        <v>0</v>
      </c>
      <c r="T51" s="349">
        <f>Tierb!N48-AQ51</f>
        <v>0</v>
      </c>
      <c r="U51" s="1051">
        <f>Tierb!O48</f>
        <v>0</v>
      </c>
      <c r="V51" s="520">
        <f t="shared" si="7"/>
        <v>0</v>
      </c>
      <c r="W51" s="929">
        <f>Tierb!P48-AT51</f>
        <v>0</v>
      </c>
      <c r="X51" s="930">
        <f>Tierb!R48</f>
        <v>0</v>
      </c>
      <c r="Y51" s="930">
        <f>Tierb!Q48</f>
        <v>0</v>
      </c>
      <c r="Z51" s="520">
        <f t="shared" si="8"/>
        <v>0</v>
      </c>
      <c r="AA51" s="1052" t="b">
        <v>0</v>
      </c>
      <c r="AB51" s="1077"/>
      <c r="AC51" s="1054">
        <v>1</v>
      </c>
      <c r="AD51" s="1055"/>
      <c r="AE51" s="1255"/>
      <c r="AF51" s="1073"/>
      <c r="AG51" s="1260"/>
      <c r="AH51" s="1260"/>
      <c r="AI51" s="1260"/>
      <c r="AJ51" s="1260"/>
      <c r="AK51" s="1260"/>
      <c r="AL51" s="1193"/>
      <c r="AM51" s="1193"/>
      <c r="AN51" s="929"/>
      <c r="AO51" s="930">
        <f>IF(AN51&lt;&gt;0,Tierb!K48,0)</f>
        <v>0</v>
      </c>
      <c r="AP51" s="520">
        <f t="shared" si="9"/>
        <v>0</v>
      </c>
      <c r="AQ51" s="929"/>
      <c r="AR51" s="930">
        <f>IF(AQ51&lt;&gt;0,Tierb!O48,0)</f>
        <v>0</v>
      </c>
      <c r="AS51" s="520">
        <f t="shared" si="10"/>
        <v>0</v>
      </c>
      <c r="AT51" s="929"/>
      <c r="AU51" s="930">
        <f>IF(AT51&gt;0,Tierb!R48,0)</f>
        <v>0</v>
      </c>
      <c r="AV51" s="930">
        <f>IF(AT51&gt;0,Tierb!Q48,0)</f>
        <v>0</v>
      </c>
      <c r="AW51" s="520">
        <f t="shared" si="11"/>
        <v>0</v>
      </c>
      <c r="AX51" s="1052" t="b">
        <v>0</v>
      </c>
      <c r="AY51" s="1077"/>
      <c r="AZ51" s="1054">
        <v>1</v>
      </c>
    </row>
    <row r="52" spans="2:52" ht="20.100000000000001" hidden="1" customHeight="1">
      <c r="B52" s="1998">
        <f>D_Klick!E260</f>
        <v>0</v>
      </c>
      <c r="C52" s="1999"/>
      <c r="D52" s="2000" t="str">
        <f>IF(D_Tierb!F50="","",D_Tierb!F50)</f>
        <v/>
      </c>
      <c r="E52" s="1984" t="str">
        <f>IF(Tierb!H49= "","",Tierb!H49)</f>
        <v/>
      </c>
      <c r="F52" s="350">
        <f>Tierb!A49</f>
        <v>0</v>
      </c>
      <c r="G52" s="1248">
        <f>IF(Tierb!G49="",0,Tierb!G49-AD52)</f>
        <v>0</v>
      </c>
      <c r="H52" s="1258"/>
      <c r="I52" s="1046"/>
      <c r="J52" s="1263"/>
      <c r="K52" s="1263"/>
      <c r="L52" s="1263"/>
      <c r="M52" s="1263"/>
      <c r="N52" s="1263"/>
      <c r="O52" s="1194"/>
      <c r="P52" s="1194"/>
      <c r="Q52" s="471">
        <f>Tierb!J49-AN52</f>
        <v>0</v>
      </c>
      <c r="R52" s="472">
        <f>Tierb!K49</f>
        <v>0</v>
      </c>
      <c r="S52" s="431">
        <f t="shared" si="6"/>
        <v>0</v>
      </c>
      <c r="T52" s="471">
        <f>Tierb!N49-AQ52</f>
        <v>0</v>
      </c>
      <c r="U52" s="472">
        <f>Tierb!O49</f>
        <v>0</v>
      </c>
      <c r="V52" s="431">
        <f t="shared" si="7"/>
        <v>0</v>
      </c>
      <c r="W52" s="1074">
        <f>Tierb!P49-AT52</f>
        <v>0</v>
      </c>
      <c r="X52" s="1075">
        <f>Tierb!R49</f>
        <v>0</v>
      </c>
      <c r="Y52" s="1075">
        <f>Tierb!Q49</f>
        <v>0</v>
      </c>
      <c r="Z52" s="431">
        <f t="shared" si="8"/>
        <v>0</v>
      </c>
      <c r="AA52" s="1047" t="b">
        <v>0</v>
      </c>
      <c r="AB52" s="805"/>
      <c r="AC52" s="1054">
        <v>1</v>
      </c>
      <c r="AD52" s="1076"/>
      <c r="AE52" s="1258"/>
      <c r="AF52" s="1046"/>
      <c r="AG52" s="1281"/>
      <c r="AH52" s="1281"/>
      <c r="AI52" s="1281"/>
      <c r="AJ52" s="1281"/>
      <c r="AK52" s="1281"/>
      <c r="AL52" s="1194"/>
      <c r="AM52" s="1194"/>
      <c r="AN52" s="1074"/>
      <c r="AO52" s="1075">
        <f>IF(AN52&lt;&gt;0,Tierb!K49,0)</f>
        <v>0</v>
      </c>
      <c r="AP52" s="431">
        <f t="shared" si="9"/>
        <v>0</v>
      </c>
      <c r="AQ52" s="1074"/>
      <c r="AR52" s="1075">
        <f>IF(AQ52&lt;&gt;0,Tierb!O49,0)</f>
        <v>0</v>
      </c>
      <c r="AS52" s="431">
        <f t="shared" si="10"/>
        <v>0</v>
      </c>
      <c r="AT52" s="1074"/>
      <c r="AU52" s="1075">
        <f>IF(AT52&gt;0,Tierb!R49,0)</f>
        <v>0</v>
      </c>
      <c r="AV52" s="1075">
        <f>IF(AT52&gt;0,Tierb!Q49,0)</f>
        <v>0</v>
      </c>
      <c r="AW52" s="431">
        <f t="shared" si="11"/>
        <v>0</v>
      </c>
      <c r="AX52" s="1047" t="b">
        <v>0</v>
      </c>
      <c r="AY52" s="805"/>
      <c r="AZ52" s="1054">
        <v>1</v>
      </c>
    </row>
    <row r="53" spans="2:52" ht="20.100000000000001" customHeight="1">
      <c r="B53" s="1994" t="str">
        <f>D_Klick!D264</f>
        <v>Weitere raufutterverzehrende Nutztiere</v>
      </c>
      <c r="C53" s="1995"/>
      <c r="D53" s="1996"/>
      <c r="E53" s="1997"/>
      <c r="F53" s="1061"/>
      <c r="G53" s="1071"/>
      <c r="H53" s="1257"/>
      <c r="I53" s="1064"/>
      <c r="J53" s="1259"/>
      <c r="K53" s="1259"/>
      <c r="L53" s="1259"/>
      <c r="M53" s="1259"/>
      <c r="N53" s="1259"/>
      <c r="O53" s="1192"/>
      <c r="P53" s="1192"/>
      <c r="Q53" s="347"/>
      <c r="R53" s="1065"/>
      <c r="S53" s="1066"/>
      <c r="T53" s="347"/>
      <c r="U53" s="1065"/>
      <c r="V53" s="1066"/>
      <c r="W53" s="1063"/>
      <c r="X53" s="1067"/>
      <c r="Y53" s="1067"/>
      <c r="Z53" s="1066"/>
      <c r="AA53" s="1068"/>
      <c r="AB53" s="1069"/>
      <c r="AC53" s="1070"/>
      <c r="AD53" s="1071"/>
      <c r="AE53" s="1257"/>
      <c r="AF53" s="1064"/>
      <c r="AG53" s="1259"/>
      <c r="AH53" s="1259"/>
      <c r="AI53" s="1259"/>
      <c r="AJ53" s="1259"/>
      <c r="AK53" s="1259"/>
      <c r="AL53" s="1192"/>
      <c r="AM53" s="1192"/>
      <c r="AN53" s="1063"/>
      <c r="AO53" s="1067"/>
      <c r="AP53" s="1066"/>
      <c r="AQ53" s="1063"/>
      <c r="AR53" s="1067"/>
      <c r="AS53" s="1066"/>
      <c r="AT53" s="1072"/>
      <c r="AU53" s="1067"/>
      <c r="AV53" s="1067"/>
      <c r="AW53" s="1066"/>
      <c r="AX53" s="1068"/>
      <c r="AY53" s="1069"/>
      <c r="AZ53" s="1070"/>
    </row>
    <row r="54" spans="2:52" ht="20.100000000000001" customHeight="1">
      <c r="B54" s="1988" t="str">
        <f>D_Klick!D265</f>
        <v>Bisons über 900-tägig</v>
      </c>
      <c r="C54" s="1990"/>
      <c r="D54" s="1984" t="str">
        <f>Texte!A1450</f>
        <v>Stück</v>
      </c>
      <c r="E54" s="1984">
        <f>Tierb!H52</f>
        <v>1</v>
      </c>
      <c r="F54" s="350">
        <f>Tierb!A52</f>
        <v>500</v>
      </c>
      <c r="G54" s="1246">
        <f>IF(Tierb!G52="",0,Tierb!G52-AD54)</f>
        <v>0</v>
      </c>
      <c r="H54" s="1255"/>
      <c r="I54" s="1073"/>
      <c r="J54" s="1260"/>
      <c r="K54" s="1260"/>
      <c r="L54" s="1260"/>
      <c r="M54" s="1260"/>
      <c r="N54" s="1260"/>
      <c r="O54" s="1193"/>
      <c r="P54" s="1193"/>
      <c r="Q54" s="349">
        <f>Tierb!J52-AN54</f>
        <v>0</v>
      </c>
      <c r="R54" s="1051">
        <f>Tierb!K52</f>
        <v>0</v>
      </c>
      <c r="S54" s="520">
        <f t="shared" ref="S54:S63" si="12">(Q54*R54) / ($C$6*30.417)</f>
        <v>0</v>
      </c>
      <c r="T54" s="349">
        <f>Tierb!N52-AQ54</f>
        <v>0</v>
      </c>
      <c r="U54" s="1051">
        <f>Tierb!O52</f>
        <v>0</v>
      </c>
      <c r="V54" s="520">
        <f t="shared" ref="V54:V63" si="13">(T54*U54) / ($C$6*30.417)</f>
        <v>0</v>
      </c>
      <c r="W54" s="929">
        <f>Tierb!P52-AT54</f>
        <v>0</v>
      </c>
      <c r="X54" s="930">
        <f>Tierb!R52</f>
        <v>0</v>
      </c>
      <c r="Y54" s="930">
        <f>Tierb!Q52</f>
        <v>0</v>
      </c>
      <c r="Z54" s="520">
        <f t="shared" ref="Z54:Z63" si="14">(W54*X54*Y54) / ($C$6*24*30.417)</f>
        <v>0</v>
      </c>
      <c r="AA54" s="1052" t="b">
        <v>0</v>
      </c>
      <c r="AB54" s="1077"/>
      <c r="AC54" s="1054">
        <v>1</v>
      </c>
      <c r="AD54" s="1055"/>
      <c r="AE54" s="1255"/>
      <c r="AF54" s="1073"/>
      <c r="AG54" s="1260"/>
      <c r="AH54" s="1260"/>
      <c r="AI54" s="1260"/>
      <c r="AJ54" s="1260"/>
      <c r="AK54" s="1260"/>
      <c r="AL54" s="1193"/>
      <c r="AM54" s="1193"/>
      <c r="AN54" s="929"/>
      <c r="AO54" s="930">
        <f>IF(AN54&lt;&gt;0,Tierb!K52,0)</f>
        <v>0</v>
      </c>
      <c r="AP54" s="520">
        <f t="shared" ref="AP54:AP63" si="15">(AN54*AO54) / ($C$6*30.417)</f>
        <v>0</v>
      </c>
      <c r="AQ54" s="929"/>
      <c r="AR54" s="930">
        <f>IF(AQ54&lt;&gt;0,Tierb!O52,0)</f>
        <v>0</v>
      </c>
      <c r="AS54" s="520">
        <f t="shared" ref="AS54:AS63" si="16">(AQ54*AR54) / ($C$6*30.417)</f>
        <v>0</v>
      </c>
      <c r="AT54" s="929"/>
      <c r="AU54" s="930">
        <f>IF(AT54&gt;0,Tierb!R52,0)</f>
        <v>0</v>
      </c>
      <c r="AV54" s="930">
        <f>IF(AT54&gt;0,Tierb!Q52,0)</f>
        <v>0</v>
      </c>
      <c r="AW54" s="520">
        <f t="shared" ref="AW54:AW63" si="17">(AT54*AU54*AV54) / ($C$6*24*30.417)</f>
        <v>0</v>
      </c>
      <c r="AX54" s="1052" t="b">
        <v>0</v>
      </c>
      <c r="AY54" s="1077"/>
      <c r="AZ54" s="1054">
        <v>1</v>
      </c>
    </row>
    <row r="55" spans="2:52" ht="20.100000000000001" customHeight="1">
      <c r="B55" s="1988" t="str">
        <f>D_Klick!D266</f>
        <v>Bisons bis 900-tägig, Zucht und Mast</v>
      </c>
      <c r="C55" s="1990"/>
      <c r="D55" s="1984" t="str">
        <f>Texte!A1450</f>
        <v>Stück</v>
      </c>
      <c r="E55" s="1984">
        <f>Tierb!H53</f>
        <v>0.4</v>
      </c>
      <c r="F55" s="350">
        <f>Tierb!A53</f>
        <v>510</v>
      </c>
      <c r="G55" s="1246">
        <f>IF(Tierb!G53="",0,Tierb!G53-AD55)</f>
        <v>0</v>
      </c>
      <c r="H55" s="1255"/>
      <c r="I55" s="1073"/>
      <c r="J55" s="1260"/>
      <c r="K55" s="1260"/>
      <c r="L55" s="1260"/>
      <c r="M55" s="1260"/>
      <c r="N55" s="1260"/>
      <c r="O55" s="1193"/>
      <c r="P55" s="1193"/>
      <c r="Q55" s="349">
        <f>Tierb!J53-AN55</f>
        <v>0</v>
      </c>
      <c r="R55" s="1051">
        <f>Tierb!K53</f>
        <v>0</v>
      </c>
      <c r="S55" s="520">
        <f t="shared" si="12"/>
        <v>0</v>
      </c>
      <c r="T55" s="349">
        <f>Tierb!N53-AQ55</f>
        <v>0</v>
      </c>
      <c r="U55" s="1051">
        <f>Tierb!O53</f>
        <v>0</v>
      </c>
      <c r="V55" s="520">
        <f t="shared" si="13"/>
        <v>0</v>
      </c>
      <c r="W55" s="929">
        <f>Tierb!P53-AT55</f>
        <v>0</v>
      </c>
      <c r="X55" s="930">
        <f>Tierb!R53</f>
        <v>0</v>
      </c>
      <c r="Y55" s="930">
        <f>Tierb!Q53</f>
        <v>0</v>
      </c>
      <c r="Z55" s="520">
        <f t="shared" si="14"/>
        <v>0</v>
      </c>
      <c r="AA55" s="1052" t="b">
        <v>0</v>
      </c>
      <c r="AB55" s="1077"/>
      <c r="AC55" s="1054">
        <v>1</v>
      </c>
      <c r="AD55" s="1055"/>
      <c r="AE55" s="1255"/>
      <c r="AF55" s="1073"/>
      <c r="AG55" s="1260"/>
      <c r="AH55" s="1260"/>
      <c r="AI55" s="1260"/>
      <c r="AJ55" s="1260"/>
      <c r="AK55" s="1260"/>
      <c r="AL55" s="1193"/>
      <c r="AM55" s="1193"/>
      <c r="AN55" s="929"/>
      <c r="AO55" s="930">
        <f>IF(AN55&lt;&gt;0,Tierb!K53,0)</f>
        <v>0</v>
      </c>
      <c r="AP55" s="520">
        <f t="shared" si="15"/>
        <v>0</v>
      </c>
      <c r="AQ55" s="929"/>
      <c r="AR55" s="930">
        <f>IF(AQ55&lt;&gt;0,Tierb!O53,0)</f>
        <v>0</v>
      </c>
      <c r="AS55" s="520">
        <f t="shared" si="16"/>
        <v>0</v>
      </c>
      <c r="AT55" s="929"/>
      <c r="AU55" s="930">
        <f>IF(AT55&gt;0,Tierb!R53,0)</f>
        <v>0</v>
      </c>
      <c r="AV55" s="930">
        <f>IF(AT55&gt;0,Tierb!Q53,0)</f>
        <v>0</v>
      </c>
      <c r="AW55" s="520">
        <f t="shared" si="17"/>
        <v>0</v>
      </c>
      <c r="AX55" s="1052" t="b">
        <v>0</v>
      </c>
      <c r="AY55" s="1077"/>
      <c r="AZ55" s="1054">
        <v>1</v>
      </c>
    </row>
    <row r="56" spans="2:52" ht="20.100000000000001" customHeight="1">
      <c r="B56" s="1988" t="str">
        <f>D_Klick!D267</f>
        <v>Damhirsche</v>
      </c>
      <c r="C56" s="1990"/>
      <c r="D56" s="1984" t="str">
        <f>Texte!A1496</f>
        <v>Einheit</v>
      </c>
      <c r="E56" s="1984">
        <f>Tierb!H54</f>
        <v>0.2</v>
      </c>
      <c r="F56" s="350">
        <f>Tierb!A54</f>
        <v>520</v>
      </c>
      <c r="G56" s="1246">
        <f>IF(Tierb!G54="",0,Tierb!G54-AD56)</f>
        <v>0</v>
      </c>
      <c r="H56" s="1255"/>
      <c r="I56" s="1073"/>
      <c r="J56" s="1260"/>
      <c r="K56" s="1260"/>
      <c r="L56" s="1260"/>
      <c r="M56" s="1260"/>
      <c r="N56" s="1260"/>
      <c r="O56" s="1193"/>
      <c r="P56" s="1193"/>
      <c r="Q56" s="349">
        <f>Tierb!J54-AN56</f>
        <v>0</v>
      </c>
      <c r="R56" s="1051">
        <f>Tierb!K54</f>
        <v>0</v>
      </c>
      <c r="S56" s="520">
        <f t="shared" si="12"/>
        <v>0</v>
      </c>
      <c r="T56" s="349">
        <f>Tierb!N54-AQ56</f>
        <v>0</v>
      </c>
      <c r="U56" s="1051">
        <f>Tierb!O54</f>
        <v>0</v>
      </c>
      <c r="V56" s="520">
        <f t="shared" si="13"/>
        <v>0</v>
      </c>
      <c r="W56" s="929">
        <f>Tierb!P54-AT56</f>
        <v>0</v>
      </c>
      <c r="X56" s="930">
        <f>Tierb!R54</f>
        <v>0</v>
      </c>
      <c r="Y56" s="930">
        <f>Tierb!Q54</f>
        <v>0</v>
      </c>
      <c r="Z56" s="520">
        <f t="shared" si="14"/>
        <v>0</v>
      </c>
      <c r="AA56" s="1052" t="b">
        <v>0</v>
      </c>
      <c r="AB56" s="1077"/>
      <c r="AC56" s="1054">
        <v>1</v>
      </c>
      <c r="AD56" s="1055"/>
      <c r="AE56" s="1255"/>
      <c r="AF56" s="1073"/>
      <c r="AG56" s="1260"/>
      <c r="AH56" s="1260"/>
      <c r="AI56" s="1260"/>
      <c r="AJ56" s="1260"/>
      <c r="AK56" s="1260"/>
      <c r="AL56" s="1193"/>
      <c r="AM56" s="1193"/>
      <c r="AN56" s="929"/>
      <c r="AO56" s="930">
        <f>IF(AN56&lt;&gt;0,Tierb!K54,0)</f>
        <v>0</v>
      </c>
      <c r="AP56" s="520">
        <f t="shared" si="15"/>
        <v>0</v>
      </c>
      <c r="AQ56" s="929"/>
      <c r="AR56" s="930">
        <f>IF(AQ56&lt;&gt;0,Tierb!O54,0)</f>
        <v>0</v>
      </c>
      <c r="AS56" s="520">
        <f t="shared" si="16"/>
        <v>0</v>
      </c>
      <c r="AT56" s="929"/>
      <c r="AU56" s="930">
        <f>IF(AT56&gt;0,Tierb!R54,0)</f>
        <v>0</v>
      </c>
      <c r="AV56" s="930">
        <f>IF(AT56&gt;0,Tierb!Q54,0)</f>
        <v>0</v>
      </c>
      <c r="AW56" s="520">
        <f t="shared" si="17"/>
        <v>0</v>
      </c>
      <c r="AX56" s="1052" t="b">
        <v>0</v>
      </c>
      <c r="AY56" s="1077"/>
      <c r="AZ56" s="1054">
        <v>1</v>
      </c>
    </row>
    <row r="57" spans="2:52" ht="20.100000000000001" customHeight="1">
      <c r="B57" s="1988" t="str">
        <f>D_Klick!D268</f>
        <v>Rothirsche</v>
      </c>
      <c r="C57" s="1990"/>
      <c r="D57" s="1984" t="str">
        <f>Texte!A1496</f>
        <v>Einheit</v>
      </c>
      <c r="E57" s="1984">
        <f>Tierb!H55</f>
        <v>0.4</v>
      </c>
      <c r="F57" s="350">
        <f>Tierb!A55</f>
        <v>530</v>
      </c>
      <c r="G57" s="1246">
        <f>IF(Tierb!G55="",0,Tierb!G55-AD57)</f>
        <v>0</v>
      </c>
      <c r="H57" s="1255"/>
      <c r="I57" s="1073"/>
      <c r="J57" s="1260"/>
      <c r="K57" s="1260"/>
      <c r="L57" s="1260"/>
      <c r="M57" s="1260"/>
      <c r="N57" s="1260"/>
      <c r="O57" s="1193"/>
      <c r="P57" s="1193"/>
      <c r="Q57" s="349">
        <f>Tierb!J55-AN57</f>
        <v>0</v>
      </c>
      <c r="R57" s="1051">
        <f>Tierb!K55</f>
        <v>0</v>
      </c>
      <c r="S57" s="520">
        <f t="shared" si="12"/>
        <v>0</v>
      </c>
      <c r="T57" s="349">
        <f>Tierb!N55-AQ57</f>
        <v>0</v>
      </c>
      <c r="U57" s="1051">
        <f>Tierb!O55</f>
        <v>0</v>
      </c>
      <c r="V57" s="520">
        <f t="shared" si="13"/>
        <v>0</v>
      </c>
      <c r="W57" s="929">
        <f>Tierb!P55-AT57</f>
        <v>0</v>
      </c>
      <c r="X57" s="930">
        <f>Tierb!R55</f>
        <v>0</v>
      </c>
      <c r="Y57" s="930">
        <f>Tierb!Q55</f>
        <v>0</v>
      </c>
      <c r="Z57" s="520">
        <f t="shared" si="14"/>
        <v>0</v>
      </c>
      <c r="AA57" s="1052" t="b">
        <v>0</v>
      </c>
      <c r="AB57" s="1077"/>
      <c r="AC57" s="1054">
        <v>1</v>
      </c>
      <c r="AD57" s="1055"/>
      <c r="AE57" s="1255"/>
      <c r="AF57" s="1073"/>
      <c r="AG57" s="1260"/>
      <c r="AH57" s="1260"/>
      <c r="AI57" s="1260"/>
      <c r="AJ57" s="1260"/>
      <c r="AK57" s="1260"/>
      <c r="AL57" s="1193"/>
      <c r="AM57" s="1193"/>
      <c r="AN57" s="929"/>
      <c r="AO57" s="930">
        <f>IF(AN57&lt;&gt;0,Tierb!K55,0)</f>
        <v>0</v>
      </c>
      <c r="AP57" s="520">
        <f t="shared" si="15"/>
        <v>0</v>
      </c>
      <c r="AQ57" s="929"/>
      <c r="AR57" s="930">
        <f>IF(AQ57&lt;&gt;0,Tierb!O55,0)</f>
        <v>0</v>
      </c>
      <c r="AS57" s="520">
        <f t="shared" si="16"/>
        <v>0</v>
      </c>
      <c r="AT57" s="929"/>
      <c r="AU57" s="930">
        <f>IF(AT57&gt;0,Tierb!R55,0)</f>
        <v>0</v>
      </c>
      <c r="AV57" s="930">
        <f>IF(AT57&gt;0,Tierb!Q55,0)</f>
        <v>0</v>
      </c>
      <c r="AW57" s="520">
        <f t="shared" si="17"/>
        <v>0</v>
      </c>
      <c r="AX57" s="1052" t="b">
        <v>0</v>
      </c>
      <c r="AY57" s="1077"/>
      <c r="AZ57" s="1054">
        <v>1</v>
      </c>
    </row>
    <row r="58" spans="2:52" ht="20.100000000000001" customHeight="1">
      <c r="B58" s="1988" t="str">
        <f>D_Klick!D269</f>
        <v>Lamas über 2-jährig</v>
      </c>
      <c r="C58" s="1990"/>
      <c r="D58" s="1984" t="str">
        <f>Texte!A1450</f>
        <v>Stück</v>
      </c>
      <c r="E58" s="1984">
        <f>Tierb!H56</f>
        <v>0.17</v>
      </c>
      <c r="F58" s="350">
        <f>Tierb!A56</f>
        <v>540</v>
      </c>
      <c r="G58" s="1246">
        <f>IF(Tierb!G56="",0,Tierb!G56-AD58)</f>
        <v>0</v>
      </c>
      <c r="H58" s="1255"/>
      <c r="I58" s="1073"/>
      <c r="J58" s="1260"/>
      <c r="K58" s="1260"/>
      <c r="L58" s="1260"/>
      <c r="M58" s="1260"/>
      <c r="N58" s="1260"/>
      <c r="O58" s="1193"/>
      <c r="P58" s="1193"/>
      <c r="Q58" s="349">
        <f>Tierb!J56-AN58</f>
        <v>0</v>
      </c>
      <c r="R58" s="1051">
        <f>Tierb!K56</f>
        <v>0</v>
      </c>
      <c r="S58" s="520">
        <f t="shared" si="12"/>
        <v>0</v>
      </c>
      <c r="T58" s="349">
        <f>Tierb!N56-AQ58</f>
        <v>0</v>
      </c>
      <c r="U58" s="1051">
        <f>Tierb!O56</f>
        <v>0</v>
      </c>
      <c r="V58" s="520">
        <f t="shared" si="13"/>
        <v>0</v>
      </c>
      <c r="W58" s="929">
        <f>Tierb!P56-AT58</f>
        <v>0</v>
      </c>
      <c r="X58" s="930">
        <f>Tierb!R56</f>
        <v>0</v>
      </c>
      <c r="Y58" s="930">
        <f>Tierb!Q56</f>
        <v>0</v>
      </c>
      <c r="Z58" s="520">
        <f t="shared" si="14"/>
        <v>0</v>
      </c>
      <c r="AA58" s="1052" t="b">
        <v>0</v>
      </c>
      <c r="AB58" s="1077"/>
      <c r="AC58" s="1054">
        <v>1</v>
      </c>
      <c r="AD58" s="1055"/>
      <c r="AE58" s="1255"/>
      <c r="AF58" s="1073"/>
      <c r="AG58" s="1260"/>
      <c r="AH58" s="1260"/>
      <c r="AI58" s="1260"/>
      <c r="AJ58" s="1260"/>
      <c r="AK58" s="1260"/>
      <c r="AL58" s="1193"/>
      <c r="AM58" s="1193"/>
      <c r="AN58" s="929"/>
      <c r="AO58" s="930">
        <f>IF(AN58&lt;&gt;0,Tierb!K56,0)</f>
        <v>0</v>
      </c>
      <c r="AP58" s="520">
        <f t="shared" si="15"/>
        <v>0</v>
      </c>
      <c r="AQ58" s="929"/>
      <c r="AR58" s="930">
        <f>IF(AQ58&lt;&gt;0,Tierb!O56,0)</f>
        <v>0</v>
      </c>
      <c r="AS58" s="520">
        <f t="shared" si="16"/>
        <v>0</v>
      </c>
      <c r="AT58" s="929"/>
      <c r="AU58" s="930">
        <f>IF(AT58&gt;0,Tierb!R56,0)</f>
        <v>0</v>
      </c>
      <c r="AV58" s="930">
        <f>IF(AT58&gt;0,Tierb!Q56,0)</f>
        <v>0</v>
      </c>
      <c r="AW58" s="520">
        <f t="shared" si="17"/>
        <v>0</v>
      </c>
      <c r="AX58" s="1052" t="b">
        <v>0</v>
      </c>
      <c r="AY58" s="1077"/>
      <c r="AZ58" s="1054">
        <v>1</v>
      </c>
    </row>
    <row r="59" spans="2:52" ht="20.100000000000001" customHeight="1">
      <c r="B59" s="1988" t="str">
        <f>D_Klick!D270</f>
        <v>Lamas bis 2-jährig</v>
      </c>
      <c r="C59" s="1990"/>
      <c r="D59" s="1984" t="str">
        <f>Texte!A1450</f>
        <v>Stück</v>
      </c>
      <c r="E59" s="1984">
        <f>Tierb!H57</f>
        <v>0.11</v>
      </c>
      <c r="F59" s="350">
        <f>Tierb!A57</f>
        <v>550</v>
      </c>
      <c r="G59" s="1246">
        <f>IF(Tierb!G57="",0,Tierb!G57-AD59)</f>
        <v>0</v>
      </c>
      <c r="H59" s="1255"/>
      <c r="I59" s="1073"/>
      <c r="J59" s="1260"/>
      <c r="K59" s="1260"/>
      <c r="L59" s="1260"/>
      <c r="M59" s="1260"/>
      <c r="N59" s="1260"/>
      <c r="O59" s="1193"/>
      <c r="P59" s="1193"/>
      <c r="Q59" s="349">
        <f>Tierb!J57-AN59</f>
        <v>0</v>
      </c>
      <c r="R59" s="1051">
        <f>Tierb!K57</f>
        <v>0</v>
      </c>
      <c r="S59" s="520">
        <f t="shared" si="12"/>
        <v>0</v>
      </c>
      <c r="T59" s="349">
        <f>Tierb!N57-AQ59</f>
        <v>0</v>
      </c>
      <c r="U59" s="1051">
        <f>Tierb!O57</f>
        <v>0</v>
      </c>
      <c r="V59" s="520">
        <f t="shared" si="13"/>
        <v>0</v>
      </c>
      <c r="W59" s="929">
        <f>Tierb!P57-AT59</f>
        <v>0</v>
      </c>
      <c r="X59" s="930">
        <f>Tierb!R57</f>
        <v>0</v>
      </c>
      <c r="Y59" s="930">
        <f>Tierb!Q57</f>
        <v>0</v>
      </c>
      <c r="Z59" s="520">
        <f t="shared" si="14"/>
        <v>0</v>
      </c>
      <c r="AA59" s="1052" t="b">
        <v>0</v>
      </c>
      <c r="AB59" s="1077"/>
      <c r="AC59" s="1054">
        <v>1</v>
      </c>
      <c r="AD59" s="1055"/>
      <c r="AE59" s="1255"/>
      <c r="AF59" s="1073"/>
      <c r="AG59" s="1260"/>
      <c r="AH59" s="1260"/>
      <c r="AI59" s="1260"/>
      <c r="AJ59" s="1260"/>
      <c r="AK59" s="1260"/>
      <c r="AL59" s="1193"/>
      <c r="AM59" s="1193"/>
      <c r="AN59" s="929"/>
      <c r="AO59" s="930">
        <f>IF(AN59&lt;&gt;0,Tierb!K57,0)</f>
        <v>0</v>
      </c>
      <c r="AP59" s="520">
        <f t="shared" si="15"/>
        <v>0</v>
      </c>
      <c r="AQ59" s="929"/>
      <c r="AR59" s="930">
        <f>IF(AQ59&lt;&gt;0,Tierb!O57,0)</f>
        <v>0</v>
      </c>
      <c r="AS59" s="520">
        <f t="shared" si="16"/>
        <v>0</v>
      </c>
      <c r="AT59" s="929"/>
      <c r="AU59" s="930">
        <f>IF(AT59&gt;0,Tierb!R57,0)</f>
        <v>0</v>
      </c>
      <c r="AV59" s="930">
        <f>IF(AT59&gt;0,Tierb!Q57,0)</f>
        <v>0</v>
      </c>
      <c r="AW59" s="520">
        <f t="shared" si="17"/>
        <v>0</v>
      </c>
      <c r="AX59" s="1052" t="b">
        <v>0</v>
      </c>
      <c r="AY59" s="1077"/>
      <c r="AZ59" s="1054">
        <v>1</v>
      </c>
    </row>
    <row r="60" spans="2:52" ht="20.100000000000001" customHeight="1">
      <c r="B60" s="1988" t="str">
        <f>D_Klick!D271</f>
        <v>Alpakas über 2-jährig</v>
      </c>
      <c r="C60" s="1990"/>
      <c r="D60" s="1984" t="str">
        <f>Texte!A1450</f>
        <v>Stück</v>
      </c>
      <c r="E60" s="1984">
        <f>Tierb!H58</f>
        <v>0.11</v>
      </c>
      <c r="F60" s="350">
        <f>Tierb!A58</f>
        <v>560</v>
      </c>
      <c r="G60" s="1246">
        <f>IF(Tierb!G58="",0,Tierb!G58-AD60)</f>
        <v>0</v>
      </c>
      <c r="H60" s="1255"/>
      <c r="I60" s="1073"/>
      <c r="J60" s="1260"/>
      <c r="K60" s="1260"/>
      <c r="L60" s="1260"/>
      <c r="M60" s="1260"/>
      <c r="N60" s="1260"/>
      <c r="O60" s="1193"/>
      <c r="P60" s="1193"/>
      <c r="Q60" s="349">
        <f>Tierb!J58-AN60</f>
        <v>0</v>
      </c>
      <c r="R60" s="1051">
        <f>Tierb!K58</f>
        <v>0</v>
      </c>
      <c r="S60" s="520">
        <f t="shared" si="12"/>
        <v>0</v>
      </c>
      <c r="T60" s="349">
        <f>Tierb!N58-AQ60</f>
        <v>0</v>
      </c>
      <c r="U60" s="1051">
        <f>Tierb!O58</f>
        <v>0</v>
      </c>
      <c r="V60" s="520">
        <f t="shared" si="13"/>
        <v>0</v>
      </c>
      <c r="W60" s="929">
        <f>Tierb!P58-AT60</f>
        <v>0</v>
      </c>
      <c r="X60" s="930">
        <f>Tierb!R58</f>
        <v>0</v>
      </c>
      <c r="Y60" s="930">
        <f>Tierb!Q58</f>
        <v>0</v>
      </c>
      <c r="Z60" s="520">
        <f t="shared" si="14"/>
        <v>0</v>
      </c>
      <c r="AA60" s="1052" t="b">
        <v>0</v>
      </c>
      <c r="AB60" s="1077"/>
      <c r="AC60" s="1054">
        <v>1</v>
      </c>
      <c r="AD60" s="1055"/>
      <c r="AE60" s="1255"/>
      <c r="AF60" s="1073"/>
      <c r="AG60" s="1260"/>
      <c r="AH60" s="1260"/>
      <c r="AI60" s="1260"/>
      <c r="AJ60" s="1260"/>
      <c r="AK60" s="1260"/>
      <c r="AL60" s="1193"/>
      <c r="AM60" s="1193"/>
      <c r="AN60" s="929"/>
      <c r="AO60" s="930">
        <f>IF(AN60&lt;&gt;0,Tierb!K58,0)</f>
        <v>0</v>
      </c>
      <c r="AP60" s="520">
        <f t="shared" si="15"/>
        <v>0</v>
      </c>
      <c r="AQ60" s="929"/>
      <c r="AR60" s="930">
        <f>IF(AQ60&lt;&gt;0,Tierb!O58,0)</f>
        <v>0</v>
      </c>
      <c r="AS60" s="520">
        <f t="shared" si="16"/>
        <v>0</v>
      </c>
      <c r="AT60" s="929"/>
      <c r="AU60" s="930">
        <f>IF(AT60&gt;0,Tierb!R58,0)</f>
        <v>0</v>
      </c>
      <c r="AV60" s="930">
        <f>IF(AT60&gt;0,Tierb!Q58,0)</f>
        <v>0</v>
      </c>
      <c r="AW60" s="520">
        <f t="shared" si="17"/>
        <v>0</v>
      </c>
      <c r="AX60" s="1052" t="b">
        <v>0</v>
      </c>
      <c r="AY60" s="1077"/>
      <c r="AZ60" s="1054">
        <v>1</v>
      </c>
    </row>
    <row r="61" spans="2:52" ht="20.100000000000001" customHeight="1">
      <c r="B61" s="1988" t="str">
        <f>D_Klick!D272</f>
        <v>Alpakas bis 2-jährig</v>
      </c>
      <c r="C61" s="1990"/>
      <c r="D61" s="1984" t="str">
        <f>Texte!A1450</f>
        <v>Stück</v>
      </c>
      <c r="E61" s="1984">
        <f>Tierb!H59</f>
        <v>7.0000000000000007E-2</v>
      </c>
      <c r="F61" s="350">
        <f>Tierb!A59</f>
        <v>570</v>
      </c>
      <c r="G61" s="1246">
        <f>IF(Tierb!G59="",0,Tierb!G59-AD61)</f>
        <v>0</v>
      </c>
      <c r="H61" s="1255"/>
      <c r="I61" s="1073"/>
      <c r="J61" s="1260"/>
      <c r="K61" s="1260"/>
      <c r="L61" s="1260"/>
      <c r="M61" s="1260"/>
      <c r="N61" s="1260"/>
      <c r="O61" s="1193"/>
      <c r="P61" s="1193"/>
      <c r="Q61" s="349">
        <f>Tierb!J59-AN61</f>
        <v>0</v>
      </c>
      <c r="R61" s="1051">
        <f>Tierb!K59</f>
        <v>0</v>
      </c>
      <c r="S61" s="520">
        <f t="shared" si="12"/>
        <v>0</v>
      </c>
      <c r="T61" s="349">
        <f>Tierb!N59-AQ61</f>
        <v>0</v>
      </c>
      <c r="U61" s="1051">
        <f>Tierb!O59</f>
        <v>0</v>
      </c>
      <c r="V61" s="520">
        <f t="shared" si="13"/>
        <v>0</v>
      </c>
      <c r="W61" s="929">
        <f>Tierb!P59-AT61</f>
        <v>0</v>
      </c>
      <c r="X61" s="930">
        <f>Tierb!R59</f>
        <v>0</v>
      </c>
      <c r="Y61" s="930">
        <f>Tierb!Q59</f>
        <v>0</v>
      </c>
      <c r="Z61" s="520">
        <f t="shared" si="14"/>
        <v>0</v>
      </c>
      <c r="AA61" s="1052" t="b">
        <v>0</v>
      </c>
      <c r="AB61" s="1077"/>
      <c r="AC61" s="1054">
        <v>1</v>
      </c>
      <c r="AD61" s="1055"/>
      <c r="AE61" s="1255"/>
      <c r="AF61" s="1073"/>
      <c r="AG61" s="1260"/>
      <c r="AH61" s="1260"/>
      <c r="AI61" s="1260"/>
      <c r="AJ61" s="1260"/>
      <c r="AK61" s="1260"/>
      <c r="AL61" s="1193"/>
      <c r="AM61" s="1193"/>
      <c r="AN61" s="929"/>
      <c r="AO61" s="930">
        <f>IF(AN61&lt;&gt;0,Tierb!K59,0)</f>
        <v>0</v>
      </c>
      <c r="AP61" s="520">
        <f t="shared" si="15"/>
        <v>0</v>
      </c>
      <c r="AQ61" s="929"/>
      <c r="AR61" s="930">
        <f>IF(AQ61&lt;&gt;0,Tierb!O59,0)</f>
        <v>0</v>
      </c>
      <c r="AS61" s="520">
        <f t="shared" si="16"/>
        <v>0</v>
      </c>
      <c r="AT61" s="929"/>
      <c r="AU61" s="930">
        <f>IF(AT61&gt;0,Tierb!R59,0)</f>
        <v>0</v>
      </c>
      <c r="AV61" s="930">
        <f>IF(AT61&gt;0,Tierb!Q59,0)</f>
        <v>0</v>
      </c>
      <c r="AW61" s="520">
        <f t="shared" si="17"/>
        <v>0</v>
      </c>
      <c r="AX61" s="1052" t="b">
        <v>0</v>
      </c>
      <c r="AY61" s="1077"/>
      <c r="AZ61" s="1054">
        <v>1</v>
      </c>
    </row>
    <row r="62" spans="2:52" ht="20.100000000000001" customHeight="1">
      <c r="B62" s="1988" t="str">
        <f>D_Klick!D273</f>
        <v>Kaninchen: Zibben inkl. Jungtiere bis 35-t.</v>
      </c>
      <c r="C62" s="1990"/>
      <c r="D62" s="1984" t="str">
        <f>Texte!A1450</f>
        <v>Stück</v>
      </c>
      <c r="E62" s="1984">
        <f>Tierb!H60</f>
        <v>3.4000000000000002E-2</v>
      </c>
      <c r="F62" s="350">
        <f>Tierb!A60</f>
        <v>800</v>
      </c>
      <c r="G62" s="1246">
        <f>IF(Tierb!G60="",0,Tierb!G60-AD62)</f>
        <v>0</v>
      </c>
      <c r="H62" s="1255"/>
      <c r="I62" s="1073"/>
      <c r="J62" s="1260"/>
      <c r="K62" s="1260"/>
      <c r="L62" s="1260"/>
      <c r="M62" s="1260"/>
      <c r="N62" s="1260"/>
      <c r="O62" s="1193"/>
      <c r="P62" s="1193"/>
      <c r="Q62" s="349">
        <f>Tierb!J60-AN62</f>
        <v>0</v>
      </c>
      <c r="R62" s="1051">
        <f>Tierb!K60</f>
        <v>0</v>
      </c>
      <c r="S62" s="520">
        <f>(Q62*R62) / ($C$6*30.417)</f>
        <v>0</v>
      </c>
      <c r="T62" s="349">
        <f>Tierb!N60-AQ62</f>
        <v>0</v>
      </c>
      <c r="U62" s="1051">
        <f>Tierb!O60</f>
        <v>0</v>
      </c>
      <c r="V62" s="520">
        <f>(T62*U62) / ($C$6*30.417)</f>
        <v>0</v>
      </c>
      <c r="W62" s="929">
        <f>Tierb!P60-AT62</f>
        <v>0</v>
      </c>
      <c r="X62" s="930">
        <f>Tierb!R60</f>
        <v>0</v>
      </c>
      <c r="Y62" s="930">
        <f>Tierb!Q60</f>
        <v>0</v>
      </c>
      <c r="Z62" s="520">
        <f>(W62*X62*Y62) / ($C$6*24*30.417)</f>
        <v>0</v>
      </c>
      <c r="AA62" s="1052" t="b">
        <v>1</v>
      </c>
      <c r="AB62" s="1077"/>
      <c r="AC62" s="1054">
        <v>1</v>
      </c>
      <c r="AD62" s="1055"/>
      <c r="AE62" s="1255"/>
      <c r="AF62" s="1073"/>
      <c r="AG62" s="1260"/>
      <c r="AH62" s="1260"/>
      <c r="AI62" s="1260"/>
      <c r="AJ62" s="1260"/>
      <c r="AK62" s="1260"/>
      <c r="AL62" s="1193"/>
      <c r="AM62" s="1193"/>
      <c r="AN62" s="929"/>
      <c r="AO62" s="930">
        <f>IF(AN62&lt;&gt;0,Tierb!K60,0)</f>
        <v>0</v>
      </c>
      <c r="AP62" s="520">
        <f>(AN62*AO62) / ($C$6*30.417)</f>
        <v>0</v>
      </c>
      <c r="AQ62" s="929"/>
      <c r="AR62" s="930">
        <f>IF(AQ62&lt;&gt;0,Tierb!O60,0)</f>
        <v>0</v>
      </c>
      <c r="AS62" s="520">
        <f>(AQ62*AR62) / ($C$6*30.417)</f>
        <v>0</v>
      </c>
      <c r="AT62" s="929"/>
      <c r="AU62" s="930">
        <f>IF(AT62&gt;0,Tierb!R60,0)</f>
        <v>0</v>
      </c>
      <c r="AV62" s="930">
        <f>IF(AT62&gt;0,Tierb!Q60,0)</f>
        <v>0</v>
      </c>
      <c r="AW62" s="520">
        <f>(AT62*AU62*AV62) / ($C$6*24*30.417)</f>
        <v>0</v>
      </c>
      <c r="AX62" s="1052" t="b">
        <v>1</v>
      </c>
      <c r="AY62" s="1077"/>
      <c r="AZ62" s="1054">
        <v>1</v>
      </c>
    </row>
    <row r="63" spans="2:52" ht="20.100000000000001" customHeight="1">
      <c r="B63" s="1998" t="str">
        <f>D_Klick!D274</f>
        <v>Kaninchen, Jungtiere über ca. 35-tägig</v>
      </c>
      <c r="C63" s="1999"/>
      <c r="D63" s="2000" t="str">
        <f>Texte!A1454</f>
        <v>100 Pl</v>
      </c>
      <c r="E63" s="1984">
        <f>Tierb!H61</f>
        <v>1.1000000000000001</v>
      </c>
      <c r="F63" s="350">
        <f>Tierb!A61</f>
        <v>810</v>
      </c>
      <c r="G63" s="1248">
        <f>IF(Tierb!G61="",0,Tierb!G61-AD63)</f>
        <v>0</v>
      </c>
      <c r="H63" s="1258"/>
      <c r="I63" s="1046"/>
      <c r="J63" s="1281"/>
      <c r="K63" s="1281"/>
      <c r="L63" s="1281"/>
      <c r="M63" s="1281"/>
      <c r="N63" s="1281"/>
      <c r="O63" s="1194"/>
      <c r="P63" s="1194"/>
      <c r="Q63" s="471">
        <f>Tierb!J61-AN63</f>
        <v>0</v>
      </c>
      <c r="R63" s="472">
        <f>Tierb!K61</f>
        <v>0</v>
      </c>
      <c r="S63" s="431">
        <f t="shared" si="12"/>
        <v>0</v>
      </c>
      <c r="T63" s="471">
        <f>Tierb!N61-AQ63</f>
        <v>0</v>
      </c>
      <c r="U63" s="472">
        <f>Tierb!O61</f>
        <v>0</v>
      </c>
      <c r="V63" s="431">
        <f t="shared" si="13"/>
        <v>0</v>
      </c>
      <c r="W63" s="1074">
        <f>Tierb!P61-AT63</f>
        <v>0</v>
      </c>
      <c r="X63" s="1075">
        <f>Tierb!R61</f>
        <v>0</v>
      </c>
      <c r="Y63" s="1075">
        <f>Tierb!Q61</f>
        <v>0</v>
      </c>
      <c r="Z63" s="431">
        <f t="shared" si="14"/>
        <v>0</v>
      </c>
      <c r="AA63" s="1047" t="b">
        <v>1</v>
      </c>
      <c r="AB63" s="805"/>
      <c r="AC63" s="1054">
        <v>1</v>
      </c>
      <c r="AD63" s="1076"/>
      <c r="AE63" s="1258"/>
      <c r="AF63" s="1046"/>
      <c r="AG63" s="1281"/>
      <c r="AH63" s="1281"/>
      <c r="AI63" s="1281"/>
      <c r="AJ63" s="1281"/>
      <c r="AK63" s="1281"/>
      <c r="AL63" s="1194"/>
      <c r="AM63" s="1194"/>
      <c r="AN63" s="1074"/>
      <c r="AO63" s="1075">
        <f>IF(AN63&lt;&gt;0,Tierb!K61,0)</f>
        <v>0</v>
      </c>
      <c r="AP63" s="431">
        <f t="shared" si="15"/>
        <v>0</v>
      </c>
      <c r="AQ63" s="1074"/>
      <c r="AR63" s="1075">
        <f>IF(AQ63&lt;&gt;0,Tierb!O61,0)</f>
        <v>0</v>
      </c>
      <c r="AS63" s="431">
        <f t="shared" si="16"/>
        <v>0</v>
      </c>
      <c r="AT63" s="1074"/>
      <c r="AU63" s="1075">
        <f>IF(AT63&gt;0,Tierb!R61,0)</f>
        <v>0</v>
      </c>
      <c r="AV63" s="1075">
        <f>IF(AT63&gt;0,Tierb!Q61,0)</f>
        <v>0</v>
      </c>
      <c r="AW63" s="431">
        <f t="shared" si="17"/>
        <v>0</v>
      </c>
      <c r="AX63" s="1047" t="b">
        <v>1</v>
      </c>
      <c r="AY63" s="805"/>
      <c r="AZ63" s="1054">
        <v>1</v>
      </c>
    </row>
    <row r="64" spans="2:52" ht="20.100000000000001" customHeight="1">
      <c r="B64" s="1994" t="str">
        <f>D_Klick!D275</f>
        <v>Schweine</v>
      </c>
      <c r="C64" s="1995"/>
      <c r="D64" s="1996"/>
      <c r="E64" s="1997"/>
      <c r="F64" s="1061"/>
      <c r="G64" s="1071"/>
      <c r="H64" s="1257"/>
      <c r="I64" s="1064"/>
      <c r="J64" s="1259"/>
      <c r="K64" s="1259"/>
      <c r="L64" s="1259"/>
      <c r="M64" s="1259"/>
      <c r="N64" s="1259"/>
      <c r="O64" s="1192"/>
      <c r="P64" s="1192"/>
      <c r="Q64" s="347"/>
      <c r="R64" s="1065"/>
      <c r="S64" s="1066"/>
      <c r="T64" s="347"/>
      <c r="U64" s="1065"/>
      <c r="V64" s="1066"/>
      <c r="W64" s="1063"/>
      <c r="X64" s="1067"/>
      <c r="Y64" s="1067"/>
      <c r="Z64" s="1066"/>
      <c r="AA64" s="1068"/>
      <c r="AB64" s="1069"/>
      <c r="AC64" s="1070"/>
      <c r="AD64" s="1071"/>
      <c r="AE64" s="1257"/>
      <c r="AF64" s="1064"/>
      <c r="AG64" s="1259"/>
      <c r="AH64" s="1259"/>
      <c r="AI64" s="1259"/>
      <c r="AJ64" s="1259"/>
      <c r="AK64" s="1259"/>
      <c r="AL64" s="1192"/>
      <c r="AM64" s="1192"/>
      <c r="AN64" s="1063"/>
      <c r="AO64" s="1067"/>
      <c r="AP64" s="1066"/>
      <c r="AQ64" s="1063"/>
      <c r="AR64" s="1067"/>
      <c r="AS64" s="1066"/>
      <c r="AT64" s="1072"/>
      <c r="AU64" s="1067"/>
      <c r="AV64" s="1067"/>
      <c r="AW64" s="1066"/>
      <c r="AX64" s="1068"/>
      <c r="AY64" s="1069"/>
      <c r="AZ64" s="1070"/>
    </row>
    <row r="65" spans="2:52" ht="20.100000000000001" customHeight="1">
      <c r="B65" s="1988" t="str">
        <f>D_Klick!D276</f>
        <v>Zuchtschweine inkl. Ferkel bis 26 kg LG</v>
      </c>
      <c r="C65" s="1990"/>
      <c r="D65" s="1984" t="str">
        <f>Texte!A1451</f>
        <v>Platz</v>
      </c>
      <c r="E65" s="1984">
        <f>Tierb!H64</f>
        <v>0.45</v>
      </c>
      <c r="F65" s="350">
        <f>Tierb!A64</f>
        <v>600</v>
      </c>
      <c r="G65" s="1246">
        <f>IF(Tierb!G64="",0,Tierb!G64-AD65)</f>
        <v>0</v>
      </c>
      <c r="H65" s="1255"/>
      <c r="I65" s="1073"/>
      <c r="J65" s="1260"/>
      <c r="K65" s="1260"/>
      <c r="L65" s="1260"/>
      <c r="M65" s="1260"/>
      <c r="N65" s="1260"/>
      <c r="O65" s="1193"/>
      <c r="P65" s="1193"/>
      <c r="Q65" s="349">
        <f>Tierb!J64-AN65</f>
        <v>0</v>
      </c>
      <c r="R65" s="1051">
        <f>Tierb!K64</f>
        <v>0</v>
      </c>
      <c r="S65" s="520">
        <f t="shared" ref="S65:S72" si="18">(Q65*R65) / ($C$6*30.417)</f>
        <v>0</v>
      </c>
      <c r="T65" s="349">
        <f>Tierb!N64-AQ65</f>
        <v>0</v>
      </c>
      <c r="U65" s="1051">
        <f>Tierb!O64</f>
        <v>0</v>
      </c>
      <c r="V65" s="520">
        <f t="shared" ref="V65:V72" si="19">(T65*U65) / ($C$6*30.417)</f>
        <v>0</v>
      </c>
      <c r="W65" s="929">
        <f>Tierb!P64-AT65</f>
        <v>0</v>
      </c>
      <c r="X65" s="930">
        <f>Tierb!R64</f>
        <v>0</v>
      </c>
      <c r="Y65" s="930">
        <f>Tierb!Q64</f>
        <v>0</v>
      </c>
      <c r="Z65" s="520">
        <f t="shared" ref="Z65:Z72" si="20">(W65*X65*Y65) / ($C$6*24*30.417)</f>
        <v>0</v>
      </c>
      <c r="AA65" s="1052" t="b">
        <v>1</v>
      </c>
      <c r="AB65" s="1053">
        <v>1</v>
      </c>
      <c r="AC65" s="1054">
        <v>1</v>
      </c>
      <c r="AD65" s="1055"/>
      <c r="AE65" s="1255"/>
      <c r="AF65" s="1073"/>
      <c r="AG65" s="1260"/>
      <c r="AH65" s="1260"/>
      <c r="AI65" s="1260"/>
      <c r="AJ65" s="1260"/>
      <c r="AK65" s="1260"/>
      <c r="AL65" s="1193"/>
      <c r="AM65" s="1193"/>
      <c r="AN65" s="929"/>
      <c r="AO65" s="930">
        <f>IF(AN65&lt;&gt;0,Tierb!K64,0)</f>
        <v>0</v>
      </c>
      <c r="AP65" s="520">
        <f t="shared" ref="AP65:AP72" si="21">(AN65*AO65) / ($C$6*30.417)</f>
        <v>0</v>
      </c>
      <c r="AQ65" s="929"/>
      <c r="AR65" s="930">
        <f>IF(AQ65&lt;&gt;0,Tierb!O64,0)</f>
        <v>0</v>
      </c>
      <c r="AS65" s="520">
        <f t="shared" ref="AS65:AS72" si="22">(AQ65*AR65) / ($C$6*30.417)</f>
        <v>0</v>
      </c>
      <c r="AT65" s="929"/>
      <c r="AU65" s="930">
        <f>IF(AT65&gt;0,Tierb!R64,0)</f>
        <v>0</v>
      </c>
      <c r="AV65" s="930">
        <f>IF(AT65&gt;0,Tierb!Q64,0)</f>
        <v>0</v>
      </c>
      <c r="AW65" s="520">
        <f t="shared" ref="AW65:AW70" si="23">(AT65*AU65*AV65) / ($C$6*24*30.417)</f>
        <v>0</v>
      </c>
      <c r="AX65" s="1052" t="b">
        <v>1</v>
      </c>
      <c r="AY65" s="1053">
        <v>1</v>
      </c>
      <c r="AZ65" s="1054">
        <v>1</v>
      </c>
    </row>
    <row r="66" spans="2:52" ht="20.100000000000001" customHeight="1">
      <c r="B66" s="1988" t="str">
        <f>D_Klick!D277</f>
        <v xml:space="preserve">Mastschweine, Remonten </v>
      </c>
      <c r="C66" s="1990"/>
      <c r="D66" s="1984" t="str">
        <f>Texte!A1451</f>
        <v>Platz</v>
      </c>
      <c r="E66" s="1984">
        <f>Tierb!H65</f>
        <v>0.17</v>
      </c>
      <c r="F66" s="350">
        <f>Tierb!A65</f>
        <v>610</v>
      </c>
      <c r="G66" s="1246">
        <f>IF(Tierb!G65="",0,Tierb!G65-AD66)</f>
        <v>0</v>
      </c>
      <c r="H66" s="1255"/>
      <c r="I66" s="1073"/>
      <c r="J66" s="1260"/>
      <c r="K66" s="1260"/>
      <c r="L66" s="1260"/>
      <c r="M66" s="1260"/>
      <c r="N66" s="1260"/>
      <c r="O66" s="1193"/>
      <c r="P66" s="1193"/>
      <c r="Q66" s="349">
        <f>Tierb!J65-AN66</f>
        <v>0</v>
      </c>
      <c r="R66" s="1051">
        <f>Tierb!K65</f>
        <v>0</v>
      </c>
      <c r="S66" s="520">
        <f t="shared" si="18"/>
        <v>0</v>
      </c>
      <c r="T66" s="349">
        <f>Tierb!N65-AQ66</f>
        <v>0</v>
      </c>
      <c r="U66" s="1051">
        <f>Tierb!O65</f>
        <v>0</v>
      </c>
      <c r="V66" s="520">
        <f t="shared" si="19"/>
        <v>0</v>
      </c>
      <c r="W66" s="929">
        <f>Tierb!P65-AT66</f>
        <v>0</v>
      </c>
      <c r="X66" s="930">
        <f>Tierb!R65</f>
        <v>0</v>
      </c>
      <c r="Y66" s="930">
        <f>Tierb!Q65</f>
        <v>0</v>
      </c>
      <c r="Z66" s="520">
        <f t="shared" si="20"/>
        <v>0</v>
      </c>
      <c r="AA66" s="1052" t="b">
        <v>1</v>
      </c>
      <c r="AB66" s="1053">
        <v>1</v>
      </c>
      <c r="AC66" s="1054">
        <v>1</v>
      </c>
      <c r="AD66" s="1055"/>
      <c r="AE66" s="1255"/>
      <c r="AF66" s="1073"/>
      <c r="AG66" s="1260"/>
      <c r="AH66" s="1260"/>
      <c r="AI66" s="1260"/>
      <c r="AJ66" s="1260"/>
      <c r="AK66" s="1260"/>
      <c r="AL66" s="1193"/>
      <c r="AM66" s="1193"/>
      <c r="AN66" s="929"/>
      <c r="AO66" s="930">
        <f>IF(AN66&lt;&gt;0,Tierb!K65,0)</f>
        <v>0</v>
      </c>
      <c r="AP66" s="520">
        <f t="shared" si="21"/>
        <v>0</v>
      </c>
      <c r="AQ66" s="929"/>
      <c r="AR66" s="930">
        <f>IF(AQ66&lt;&gt;0,Tierb!O65,0)</f>
        <v>0</v>
      </c>
      <c r="AS66" s="520">
        <f t="shared" si="22"/>
        <v>0</v>
      </c>
      <c r="AT66" s="929"/>
      <c r="AU66" s="930">
        <f>IF(AT66&gt;0,Tierb!R65,0)</f>
        <v>0</v>
      </c>
      <c r="AV66" s="930">
        <f>IF(AT66&gt;0,Tierb!Q65,0)</f>
        <v>0</v>
      </c>
      <c r="AW66" s="520">
        <f t="shared" si="23"/>
        <v>0</v>
      </c>
      <c r="AX66" s="1052" t="b">
        <v>1</v>
      </c>
      <c r="AY66" s="1053">
        <v>1</v>
      </c>
      <c r="AZ66" s="1054">
        <v>1</v>
      </c>
    </row>
    <row r="67" spans="2:52" ht="20.100000000000001" customHeight="1">
      <c r="B67" s="1988" t="str">
        <f>D_Klick!D278</f>
        <v>Zuchteber</v>
      </c>
      <c r="C67" s="1990"/>
      <c r="D67" s="1984" t="str">
        <f>Texte!A1450</f>
        <v>Stück</v>
      </c>
      <c r="E67" s="1984">
        <f>Tierb!H66</f>
        <v>0.25</v>
      </c>
      <c r="F67" s="350">
        <f>Tierb!A66</f>
        <v>620</v>
      </c>
      <c r="G67" s="1246">
        <f>IF(Tierb!G66="",0,Tierb!G66-AD67)</f>
        <v>0</v>
      </c>
      <c r="H67" s="1255"/>
      <c r="I67" s="1073"/>
      <c r="J67" s="1260"/>
      <c r="K67" s="1260"/>
      <c r="L67" s="1260"/>
      <c r="M67" s="1260"/>
      <c r="N67" s="1260"/>
      <c r="O67" s="1193"/>
      <c r="P67" s="1193"/>
      <c r="Q67" s="349">
        <f>Tierb!J66-AN67</f>
        <v>0</v>
      </c>
      <c r="R67" s="1051">
        <f>Tierb!K66</f>
        <v>0</v>
      </c>
      <c r="S67" s="520">
        <f t="shared" si="18"/>
        <v>0</v>
      </c>
      <c r="T67" s="349">
        <f>Tierb!N66-AQ67</f>
        <v>0</v>
      </c>
      <c r="U67" s="1051">
        <f>Tierb!O66</f>
        <v>0</v>
      </c>
      <c r="V67" s="520">
        <f t="shared" si="19"/>
        <v>0</v>
      </c>
      <c r="W67" s="929">
        <f>Tierb!P66-AT67</f>
        <v>0</v>
      </c>
      <c r="X67" s="930">
        <f>Tierb!R66</f>
        <v>0</v>
      </c>
      <c r="Y67" s="930">
        <f>Tierb!Q66</f>
        <v>0</v>
      </c>
      <c r="Z67" s="520">
        <f t="shared" si="20"/>
        <v>0</v>
      </c>
      <c r="AA67" s="1052" t="b">
        <v>1</v>
      </c>
      <c r="AB67" s="1053">
        <v>1</v>
      </c>
      <c r="AC67" s="1054">
        <v>1</v>
      </c>
      <c r="AD67" s="1055"/>
      <c r="AE67" s="1255"/>
      <c r="AF67" s="1073"/>
      <c r="AG67" s="1260"/>
      <c r="AH67" s="1260"/>
      <c r="AI67" s="1260"/>
      <c r="AJ67" s="1260"/>
      <c r="AK67" s="1260"/>
      <c r="AL67" s="1193"/>
      <c r="AM67" s="1193"/>
      <c r="AN67" s="929"/>
      <c r="AO67" s="930">
        <f>IF(AN67&lt;&gt;0,Tierb!K66,0)</f>
        <v>0</v>
      </c>
      <c r="AP67" s="520">
        <f t="shared" si="21"/>
        <v>0</v>
      </c>
      <c r="AQ67" s="929"/>
      <c r="AR67" s="930">
        <f>IF(AQ67&lt;&gt;0,Tierb!O66,0)</f>
        <v>0</v>
      </c>
      <c r="AS67" s="520">
        <f t="shared" si="22"/>
        <v>0</v>
      </c>
      <c r="AT67" s="929"/>
      <c r="AU67" s="930">
        <f>IF(AT67&gt;0,Tierb!R66,0)</f>
        <v>0</v>
      </c>
      <c r="AV67" s="930">
        <f>IF(AT67&gt;0,Tierb!Q66,0)</f>
        <v>0</v>
      </c>
      <c r="AW67" s="520">
        <f t="shared" si="23"/>
        <v>0</v>
      </c>
      <c r="AX67" s="1052" t="b">
        <v>1</v>
      </c>
      <c r="AY67" s="1053">
        <v>1</v>
      </c>
      <c r="AZ67" s="1054">
        <v>1</v>
      </c>
    </row>
    <row r="68" spans="2:52" ht="20.100000000000001" customHeight="1">
      <c r="B68" s="1988" t="str">
        <f>D_Klick!D279</f>
        <v>Zuchtschweine, säugend</v>
      </c>
      <c r="C68" s="1990"/>
      <c r="D68" s="1984" t="str">
        <f>Texte!A1451</f>
        <v>Platz</v>
      </c>
      <c r="E68" s="1984">
        <f>Tierb!H67</f>
        <v>0.55000000000000004</v>
      </c>
      <c r="F68" s="350">
        <f>Tierb!A67</f>
        <v>630</v>
      </c>
      <c r="G68" s="1246">
        <f>IF(Tierb!G67="",0,Tierb!G67-AD68)</f>
        <v>0</v>
      </c>
      <c r="H68" s="1255"/>
      <c r="I68" s="1073"/>
      <c r="J68" s="1260"/>
      <c r="K68" s="1260"/>
      <c r="L68" s="1260"/>
      <c r="M68" s="1260"/>
      <c r="N68" s="1260"/>
      <c r="O68" s="1193"/>
      <c r="P68" s="1193"/>
      <c r="Q68" s="349">
        <f>Tierb!J67-AN68</f>
        <v>0</v>
      </c>
      <c r="R68" s="1051">
        <f>Tierb!K67</f>
        <v>0</v>
      </c>
      <c r="S68" s="520">
        <f t="shared" si="18"/>
        <v>0</v>
      </c>
      <c r="T68" s="349">
        <f>Tierb!N67-AQ68</f>
        <v>0</v>
      </c>
      <c r="U68" s="1051">
        <f>Tierb!O67</f>
        <v>0</v>
      </c>
      <c r="V68" s="520">
        <f t="shared" si="19"/>
        <v>0</v>
      </c>
      <c r="W68" s="929">
        <f>Tierb!P67-AT68</f>
        <v>0</v>
      </c>
      <c r="X68" s="930">
        <f>Tierb!R67</f>
        <v>0</v>
      </c>
      <c r="Y68" s="930">
        <f>Tierb!Q67</f>
        <v>0</v>
      </c>
      <c r="Z68" s="520">
        <f t="shared" si="20"/>
        <v>0</v>
      </c>
      <c r="AA68" s="1052" t="b">
        <v>1</v>
      </c>
      <c r="AB68" s="1053">
        <v>1</v>
      </c>
      <c r="AC68" s="1054">
        <v>1</v>
      </c>
      <c r="AD68" s="1055"/>
      <c r="AE68" s="1255"/>
      <c r="AF68" s="1073"/>
      <c r="AG68" s="1260"/>
      <c r="AH68" s="1260"/>
      <c r="AI68" s="1260"/>
      <c r="AJ68" s="1260"/>
      <c r="AK68" s="1260"/>
      <c r="AL68" s="1193"/>
      <c r="AM68" s="1193"/>
      <c r="AN68" s="929"/>
      <c r="AO68" s="930">
        <f>IF(AN68&lt;&gt;0,Tierb!K67,0)</f>
        <v>0</v>
      </c>
      <c r="AP68" s="520">
        <f t="shared" si="21"/>
        <v>0</v>
      </c>
      <c r="AQ68" s="929"/>
      <c r="AR68" s="930">
        <f>IF(AQ68&lt;&gt;0,Tierb!O67,0)</f>
        <v>0</v>
      </c>
      <c r="AS68" s="520">
        <f t="shared" si="22"/>
        <v>0</v>
      </c>
      <c r="AT68" s="929"/>
      <c r="AU68" s="930">
        <f>IF(AT68&gt;0,Tierb!R67,0)</f>
        <v>0</v>
      </c>
      <c r="AV68" s="930">
        <f>IF(AT68&gt;0,Tierb!Q67,0)</f>
        <v>0</v>
      </c>
      <c r="AW68" s="520">
        <f t="shared" si="23"/>
        <v>0</v>
      </c>
      <c r="AX68" s="1052" t="b">
        <v>1</v>
      </c>
      <c r="AY68" s="1053">
        <v>1</v>
      </c>
      <c r="AZ68" s="1054">
        <v>1</v>
      </c>
    </row>
    <row r="69" spans="2:52" ht="20.100000000000001" customHeight="1">
      <c r="B69" s="1988" t="str">
        <f>D_Klick!D280</f>
        <v>Zuchtsauen über 6 Monate, nicht säugend</v>
      </c>
      <c r="C69" s="1990"/>
      <c r="D69" s="1984" t="str">
        <f>Texte!A1451</f>
        <v>Platz</v>
      </c>
      <c r="E69" s="1984">
        <f>Tierb!H68</f>
        <v>0.26</v>
      </c>
      <c r="F69" s="350">
        <f>Tierb!A68</f>
        <v>640</v>
      </c>
      <c r="G69" s="1246">
        <f>IF(Tierb!G68="",0,Tierb!G68-AD69)</f>
        <v>0</v>
      </c>
      <c r="H69" s="1255"/>
      <c r="I69" s="1073"/>
      <c r="J69" s="1260"/>
      <c r="K69" s="1260"/>
      <c r="L69" s="1260"/>
      <c r="M69" s="1260"/>
      <c r="N69" s="1260"/>
      <c r="O69" s="1193"/>
      <c r="P69" s="1193"/>
      <c r="Q69" s="349">
        <f>Tierb!J68-AN69</f>
        <v>0</v>
      </c>
      <c r="R69" s="1051">
        <f>Tierb!K68</f>
        <v>0</v>
      </c>
      <c r="S69" s="520">
        <f t="shared" si="18"/>
        <v>0</v>
      </c>
      <c r="T69" s="349">
        <f>Tierb!N68-AQ69</f>
        <v>0</v>
      </c>
      <c r="U69" s="1051">
        <f>Tierb!O68</f>
        <v>0</v>
      </c>
      <c r="V69" s="520">
        <f t="shared" si="19"/>
        <v>0</v>
      </c>
      <c r="W69" s="929">
        <f>Tierb!P68-AT69</f>
        <v>0</v>
      </c>
      <c r="X69" s="930">
        <f>Tierb!R68</f>
        <v>0</v>
      </c>
      <c r="Y69" s="930">
        <f>Tierb!Q68</f>
        <v>0</v>
      </c>
      <c r="Z69" s="520">
        <f t="shared" si="20"/>
        <v>0</v>
      </c>
      <c r="AA69" s="1052" t="b">
        <v>1</v>
      </c>
      <c r="AB69" s="1053">
        <v>1</v>
      </c>
      <c r="AC69" s="1054">
        <v>1</v>
      </c>
      <c r="AD69" s="1055"/>
      <c r="AE69" s="1255"/>
      <c r="AF69" s="1073"/>
      <c r="AG69" s="1260"/>
      <c r="AH69" s="1260"/>
      <c r="AI69" s="1260"/>
      <c r="AJ69" s="1260"/>
      <c r="AK69" s="1260"/>
      <c r="AL69" s="1193"/>
      <c r="AM69" s="1193"/>
      <c r="AN69" s="929"/>
      <c r="AO69" s="930">
        <f>IF(AN69&lt;&gt;0,Tierb!K68,0)</f>
        <v>0</v>
      </c>
      <c r="AP69" s="520">
        <f t="shared" si="21"/>
        <v>0</v>
      </c>
      <c r="AQ69" s="929"/>
      <c r="AR69" s="930">
        <f>IF(AQ69&lt;&gt;0,Tierb!O68,0)</f>
        <v>0</v>
      </c>
      <c r="AS69" s="520">
        <f t="shared" si="22"/>
        <v>0</v>
      </c>
      <c r="AT69" s="929"/>
      <c r="AU69" s="930">
        <f>IF(AT69&gt;0,Tierb!R68,0)</f>
        <v>0</v>
      </c>
      <c r="AV69" s="930">
        <f>IF(AT69&gt;0,Tierb!Q68,0)</f>
        <v>0</v>
      </c>
      <c r="AW69" s="520">
        <f t="shared" si="23"/>
        <v>0</v>
      </c>
      <c r="AX69" s="1052" t="b">
        <v>1</v>
      </c>
      <c r="AY69" s="1053">
        <v>1</v>
      </c>
      <c r="AZ69" s="1054">
        <v>1</v>
      </c>
    </row>
    <row r="70" spans="2:52" ht="20.100000000000001" customHeight="1">
      <c r="B70" s="1988" t="str">
        <f>D_Klick!D281</f>
        <v xml:space="preserve">Ferkel abgesetzt </v>
      </c>
      <c r="C70" s="1990"/>
      <c r="D70" s="1984" t="str">
        <f>Texte!A1451</f>
        <v>Platz</v>
      </c>
      <c r="E70" s="1984">
        <f>Tierb!H69</f>
        <v>0.06</v>
      </c>
      <c r="F70" s="350">
        <f>Tierb!A69</f>
        <v>650</v>
      </c>
      <c r="G70" s="1246">
        <f>IF(Tierb!G69="",0,Tierb!G69-AD70)</f>
        <v>0</v>
      </c>
      <c r="H70" s="1255"/>
      <c r="I70" s="1073"/>
      <c r="J70" s="1260"/>
      <c r="K70" s="1260"/>
      <c r="L70" s="1260"/>
      <c r="M70" s="1260"/>
      <c r="N70" s="1260"/>
      <c r="O70" s="1193"/>
      <c r="P70" s="1193"/>
      <c r="Q70" s="349">
        <f>Tierb!J69-AN70</f>
        <v>0</v>
      </c>
      <c r="R70" s="1051">
        <f>Tierb!K69</f>
        <v>0</v>
      </c>
      <c r="S70" s="520">
        <f t="shared" si="18"/>
        <v>0</v>
      </c>
      <c r="T70" s="349">
        <f>Tierb!N69-AQ70</f>
        <v>0</v>
      </c>
      <c r="U70" s="1051">
        <f>Tierb!O69</f>
        <v>0</v>
      </c>
      <c r="V70" s="520">
        <f t="shared" si="19"/>
        <v>0</v>
      </c>
      <c r="W70" s="929">
        <f>Tierb!P69-AT70</f>
        <v>0</v>
      </c>
      <c r="X70" s="930">
        <f>Tierb!R69</f>
        <v>0</v>
      </c>
      <c r="Y70" s="930">
        <f>Tierb!Q69</f>
        <v>0</v>
      </c>
      <c r="Z70" s="520">
        <f t="shared" si="20"/>
        <v>0</v>
      </c>
      <c r="AA70" s="1052" t="b">
        <v>1</v>
      </c>
      <c r="AB70" s="1053">
        <v>1</v>
      </c>
      <c r="AC70" s="1054">
        <v>1</v>
      </c>
      <c r="AD70" s="1055"/>
      <c r="AE70" s="1255"/>
      <c r="AF70" s="1073"/>
      <c r="AG70" s="1260"/>
      <c r="AH70" s="1260"/>
      <c r="AI70" s="1260"/>
      <c r="AJ70" s="1260"/>
      <c r="AK70" s="1260"/>
      <c r="AL70" s="1193"/>
      <c r="AM70" s="1193"/>
      <c r="AN70" s="929"/>
      <c r="AO70" s="930">
        <f>IF(AN70&lt;&gt;0,Tierb!K69,0)</f>
        <v>0</v>
      </c>
      <c r="AP70" s="520">
        <f t="shared" si="21"/>
        <v>0</v>
      </c>
      <c r="AQ70" s="929"/>
      <c r="AR70" s="930">
        <f>IF(AQ70&lt;&gt;0,Tierb!O69,0)</f>
        <v>0</v>
      </c>
      <c r="AS70" s="520">
        <f t="shared" si="22"/>
        <v>0</v>
      </c>
      <c r="AT70" s="929"/>
      <c r="AU70" s="930">
        <f>IF(AT70&gt;0,Tierb!R69,0)</f>
        <v>0</v>
      </c>
      <c r="AV70" s="930">
        <f>IF(AT70&gt;0,Tierb!Q69,0)</f>
        <v>0</v>
      </c>
      <c r="AW70" s="520">
        <f t="shared" si="23"/>
        <v>0</v>
      </c>
      <c r="AX70" s="1052" t="b">
        <v>1</v>
      </c>
      <c r="AY70" s="1053">
        <v>1</v>
      </c>
      <c r="AZ70" s="1054">
        <v>1</v>
      </c>
    </row>
    <row r="71" spans="2:52" ht="20.100000000000001" customHeight="1">
      <c r="B71" s="1988" t="str">
        <f>D_Klick!D282</f>
        <v/>
      </c>
      <c r="C71" s="1990"/>
      <c r="D71" s="1984" t="str">
        <f>IF(D_Tierb!F70="","",D_Tierb!F70)</f>
        <v/>
      </c>
      <c r="E71" s="1984">
        <f>Tierb!H70</f>
        <v>0</v>
      </c>
      <c r="F71" s="350">
        <f>Tierb!A70</f>
        <v>660</v>
      </c>
      <c r="G71" s="1246">
        <f>IF(Tierb!G70="",0,Tierb!G70-AD71)</f>
        <v>0</v>
      </c>
      <c r="H71" s="1255"/>
      <c r="I71" s="1073"/>
      <c r="J71" s="1261">
        <v>0</v>
      </c>
      <c r="K71" s="1261">
        <v>0</v>
      </c>
      <c r="L71" s="1261">
        <v>0</v>
      </c>
      <c r="M71" s="1261"/>
      <c r="N71" s="1261"/>
      <c r="O71" s="1193"/>
      <c r="P71" s="1193"/>
      <c r="Q71" s="349">
        <f>Tierb!J70-AN71</f>
        <v>0</v>
      </c>
      <c r="R71" s="1051">
        <f>Tierb!K70</f>
        <v>0</v>
      </c>
      <c r="S71" s="520">
        <f t="shared" si="18"/>
        <v>0</v>
      </c>
      <c r="T71" s="349">
        <f>Tierb!N70-AQ71</f>
        <v>0</v>
      </c>
      <c r="U71" s="1051">
        <f>Tierb!O70</f>
        <v>0</v>
      </c>
      <c r="V71" s="520">
        <f t="shared" si="19"/>
        <v>0</v>
      </c>
      <c r="W71" s="929">
        <f>Tierb!P70-AT71</f>
        <v>0</v>
      </c>
      <c r="X71" s="930">
        <f>Tierb!R70</f>
        <v>0</v>
      </c>
      <c r="Y71" s="930">
        <f>Tierb!Q70</f>
        <v>0</v>
      </c>
      <c r="Z71" s="520">
        <f t="shared" si="20"/>
        <v>0</v>
      </c>
      <c r="AA71" s="1052" t="b">
        <v>1</v>
      </c>
      <c r="AB71" s="1053">
        <v>1</v>
      </c>
      <c r="AC71" s="1054">
        <v>1</v>
      </c>
      <c r="AD71" s="1055"/>
      <c r="AE71" s="1255"/>
      <c r="AF71" s="1073"/>
      <c r="AG71" s="1261"/>
      <c r="AH71" s="1261"/>
      <c r="AI71" s="1261"/>
      <c r="AJ71" s="1261"/>
      <c r="AK71" s="1261"/>
      <c r="AL71" s="1193"/>
      <c r="AM71" s="1193"/>
      <c r="AN71" s="929"/>
      <c r="AO71" s="930">
        <f>IF(AN71&lt;&gt;0,Tierb!K70,0)</f>
        <v>0</v>
      </c>
      <c r="AP71" s="520">
        <f t="shared" si="21"/>
        <v>0</v>
      </c>
      <c r="AQ71" s="929"/>
      <c r="AR71" s="930">
        <f>IF(AQ71&lt;&gt;0,Tierb!O70,0)</f>
        <v>0</v>
      </c>
      <c r="AS71" s="520">
        <f t="shared" si="22"/>
        <v>0</v>
      </c>
      <c r="AT71" s="929"/>
      <c r="AU71" s="930">
        <f>IF(AT71&gt;0,Tierb!R70,0)</f>
        <v>0</v>
      </c>
      <c r="AV71" s="930">
        <f>IF(AT71&gt;0,Tierb!Q70,0)</f>
        <v>0</v>
      </c>
      <c r="AW71" s="520">
        <f>(AT71*AU71*AV71) / ($C$6*24*30.417)</f>
        <v>0</v>
      </c>
      <c r="AX71" s="1052" t="b">
        <v>1</v>
      </c>
      <c r="AY71" s="1053">
        <v>1</v>
      </c>
      <c r="AZ71" s="1054">
        <v>1</v>
      </c>
    </row>
    <row r="72" spans="2:52" ht="20.100000000000001" customHeight="1">
      <c r="B72" s="1998" t="str">
        <f>D_Klick!D283</f>
        <v/>
      </c>
      <c r="C72" s="1999"/>
      <c r="D72" s="1984" t="str">
        <f>IF(D_Tierb!F70="","",D_Tierb!F71)</f>
        <v/>
      </c>
      <c r="E72" s="1984">
        <f>Tierb!H71</f>
        <v>0</v>
      </c>
      <c r="F72" s="350">
        <f>Tierb!A71</f>
        <v>670</v>
      </c>
      <c r="G72" s="1246">
        <f>IF(Tierb!G71="",0,Tierb!G71-AD72)</f>
        <v>0</v>
      </c>
      <c r="H72" s="1258"/>
      <c r="I72" s="1046"/>
      <c r="J72" s="1263">
        <v>0</v>
      </c>
      <c r="K72" s="1263">
        <v>0</v>
      </c>
      <c r="L72" s="1263">
        <v>0</v>
      </c>
      <c r="M72" s="1263"/>
      <c r="N72" s="1263"/>
      <c r="O72" s="1194"/>
      <c r="P72" s="1194"/>
      <c r="Q72" s="471">
        <f>Tierb!J71-AN72</f>
        <v>0</v>
      </c>
      <c r="R72" s="1075">
        <f>Tierb!K71</f>
        <v>0</v>
      </c>
      <c r="S72" s="431">
        <f t="shared" si="18"/>
        <v>0</v>
      </c>
      <c r="T72" s="471">
        <f>Tierb!N71-AQ72</f>
        <v>0</v>
      </c>
      <c r="U72" s="472">
        <f>Tierb!O71</f>
        <v>0</v>
      </c>
      <c r="V72" s="431">
        <f t="shared" si="19"/>
        <v>0</v>
      </c>
      <c r="W72" s="929">
        <f>Tierb!P71-AT72</f>
        <v>0</v>
      </c>
      <c r="X72" s="930">
        <f>Tierb!R71</f>
        <v>0</v>
      </c>
      <c r="Y72" s="930">
        <f>Tierb!Q71</f>
        <v>0</v>
      </c>
      <c r="Z72" s="431">
        <f t="shared" si="20"/>
        <v>0</v>
      </c>
      <c r="AA72" s="1047" t="b">
        <v>1</v>
      </c>
      <c r="AB72" s="1053">
        <v>1</v>
      </c>
      <c r="AC72" s="1054">
        <v>1</v>
      </c>
      <c r="AD72" s="1076"/>
      <c r="AE72" s="1258"/>
      <c r="AF72" s="1046"/>
      <c r="AG72" s="1261"/>
      <c r="AH72" s="1261"/>
      <c r="AI72" s="1261"/>
      <c r="AJ72" s="1261"/>
      <c r="AK72" s="1261"/>
      <c r="AL72" s="1194"/>
      <c r="AM72" s="1194"/>
      <c r="AN72" s="1074"/>
      <c r="AO72" s="1075">
        <f>IF(AN72&lt;&gt;0,Tierb!K71,0)</f>
        <v>0</v>
      </c>
      <c r="AP72" s="520">
        <f t="shared" si="21"/>
        <v>0</v>
      </c>
      <c r="AQ72" s="1074"/>
      <c r="AR72" s="1075">
        <f>IF(AQ72&lt;&gt;0,Tierb!O71,0)</f>
        <v>0</v>
      </c>
      <c r="AS72" s="431">
        <f t="shared" si="22"/>
        <v>0</v>
      </c>
      <c r="AT72" s="1074"/>
      <c r="AU72" s="1075">
        <f>IF(AT72&gt;0,Tierb!R71,0)</f>
        <v>0</v>
      </c>
      <c r="AV72" s="1075">
        <f>IF(AT72&gt;0,Tierb!Q71,0)</f>
        <v>0</v>
      </c>
      <c r="AW72" s="431">
        <f>(AT72*AU72*AV72) / ($C$6*24*30.417)</f>
        <v>0</v>
      </c>
      <c r="AX72" s="1047" t="b">
        <v>1</v>
      </c>
      <c r="AY72" s="1053">
        <v>1</v>
      </c>
      <c r="AZ72" s="1054">
        <v>1</v>
      </c>
    </row>
    <row r="73" spans="2:52" ht="20.100000000000001" customHeight="1">
      <c r="B73" s="1994" t="str">
        <f>D_Klick!D286</f>
        <v>Geflügel</v>
      </c>
      <c r="C73" s="1995"/>
      <c r="D73" s="1996"/>
      <c r="E73" s="1997"/>
      <c r="F73" s="1061"/>
      <c r="G73" s="1071"/>
      <c r="H73" s="1257"/>
      <c r="I73" s="1064"/>
      <c r="J73" s="1259"/>
      <c r="K73" s="1259"/>
      <c r="L73" s="1259"/>
      <c r="M73" s="1259"/>
      <c r="N73" s="1259"/>
      <c r="O73" s="1192"/>
      <c r="P73" s="1192"/>
      <c r="Q73" s="347"/>
      <c r="R73" s="1065"/>
      <c r="S73" s="1066"/>
      <c r="T73" s="347"/>
      <c r="U73" s="1065"/>
      <c r="V73" s="1066"/>
      <c r="W73" s="1063"/>
      <c r="X73" s="1067"/>
      <c r="Y73" s="1067"/>
      <c r="Z73" s="1066"/>
      <c r="AA73" s="1068"/>
      <c r="AB73" s="1069"/>
      <c r="AC73" s="1070"/>
      <c r="AD73" s="1071"/>
      <c r="AE73" s="1257"/>
      <c r="AF73" s="1064"/>
      <c r="AG73" s="1259"/>
      <c r="AH73" s="1259"/>
      <c r="AI73" s="1259"/>
      <c r="AJ73" s="1259"/>
      <c r="AK73" s="1259"/>
      <c r="AL73" s="1192"/>
      <c r="AM73" s="1192"/>
      <c r="AN73" s="1063"/>
      <c r="AO73" s="1067"/>
      <c r="AP73" s="1066"/>
      <c r="AQ73" s="1063"/>
      <c r="AR73" s="1067"/>
      <c r="AS73" s="1066"/>
      <c r="AT73" s="1072"/>
      <c r="AU73" s="1067"/>
      <c r="AV73" s="1067"/>
      <c r="AW73" s="1066"/>
      <c r="AX73" s="1068"/>
      <c r="AY73" s="1069"/>
      <c r="AZ73" s="1070"/>
    </row>
    <row r="74" spans="2:52" ht="20.100000000000001" customHeight="1">
      <c r="B74" s="1988" t="str">
        <f>D_Klick!D287</f>
        <v>Lege- und Zuchthennen</v>
      </c>
      <c r="C74" s="1990"/>
      <c r="D74" s="1984" t="str">
        <f>Texte!A1454</f>
        <v>100 Pl</v>
      </c>
      <c r="E74" s="1984">
        <f>Tierb!H73</f>
        <v>1</v>
      </c>
      <c r="F74" s="350">
        <f>Tierb!A73</f>
        <v>700</v>
      </c>
      <c r="G74" s="1246">
        <f>IF(Tierb!G73="",0,Tierb!G73-AD74)</f>
        <v>0</v>
      </c>
      <c r="H74" s="1255"/>
      <c r="I74" s="1073"/>
      <c r="J74" s="1260"/>
      <c r="K74" s="1260"/>
      <c r="L74" s="1260"/>
      <c r="M74" s="1260"/>
      <c r="N74" s="1260"/>
      <c r="O74" s="1193"/>
      <c r="P74" s="1193"/>
      <c r="Q74" s="929">
        <f>Tierb!J73-AN74</f>
        <v>0</v>
      </c>
      <c r="R74" s="1051">
        <f>Tierb!K73</f>
        <v>0</v>
      </c>
      <c r="S74" s="520">
        <f t="shared" ref="S74:S80" si="24">(Q74*R74) / ($C$6*30.417)</f>
        <v>0</v>
      </c>
      <c r="T74" s="929">
        <f>Tierb!N73-AQ74</f>
        <v>0</v>
      </c>
      <c r="U74" s="930">
        <f>Tierb!O73</f>
        <v>0</v>
      </c>
      <c r="V74" s="520">
        <f t="shared" ref="V74:V80" si="25">(T74*U74) / ($C$6*30.417)</f>
        <v>0</v>
      </c>
      <c r="W74" s="851"/>
      <c r="X74" s="852"/>
      <c r="Y74" s="852"/>
      <c r="Z74" s="520">
        <f t="shared" ref="Z74:Z80" si="26">(W74*X74*Y74) / ($C$6*24*30.417)</f>
        <v>0</v>
      </c>
      <c r="AA74" s="1052" t="b">
        <v>0</v>
      </c>
      <c r="AB74" s="1053">
        <v>1</v>
      </c>
      <c r="AC74" s="1054">
        <v>1</v>
      </c>
      <c r="AD74" s="1055"/>
      <c r="AE74" s="1255"/>
      <c r="AF74" s="1073"/>
      <c r="AG74" s="1260"/>
      <c r="AH74" s="1260"/>
      <c r="AI74" s="1260"/>
      <c r="AJ74" s="1260"/>
      <c r="AK74" s="1260"/>
      <c r="AL74" s="1193"/>
      <c r="AM74" s="1193"/>
      <c r="AN74" s="929"/>
      <c r="AO74" s="930">
        <f>IF(AN74&lt;&gt;0,Tierb!K73,0)</f>
        <v>0</v>
      </c>
      <c r="AP74" s="520">
        <f t="shared" ref="AP74:AP80" si="27">(AN74*AO74) / ($C$6*30.417)</f>
        <v>0</v>
      </c>
      <c r="AQ74" s="929"/>
      <c r="AR74" s="930">
        <f>IF(AQ74&lt;&gt;0,Tierb!O73,0)</f>
        <v>0</v>
      </c>
      <c r="AS74" s="520">
        <f t="shared" ref="AS74:AS80" si="28">(AQ74*AR74) / ($C$6*30.417)</f>
        <v>0</v>
      </c>
      <c r="AT74" s="851"/>
      <c r="AU74" s="852"/>
      <c r="AV74" s="852"/>
      <c r="AW74" s="520">
        <f t="shared" ref="AW74:AW80" si="29">(AT74*AU74*AV74) / ($C$6*24*30.417)</f>
        <v>0</v>
      </c>
      <c r="AX74" s="1052" t="b">
        <v>0</v>
      </c>
      <c r="AY74" s="1053">
        <v>1</v>
      </c>
      <c r="AZ74" s="1054">
        <v>1</v>
      </c>
    </row>
    <row r="75" spans="2:52" ht="20.100000000000001" customHeight="1">
      <c r="B75" s="1988" t="str">
        <f>D_Klick!D288</f>
        <v>Junghennen, 2.25 Umtriebe</v>
      </c>
      <c r="C75" s="1990"/>
      <c r="D75" s="1984" t="str">
        <f>Texte!A1454</f>
        <v>100 Pl</v>
      </c>
      <c r="E75" s="1984">
        <f>Tierb!H74</f>
        <v>0.4</v>
      </c>
      <c r="F75" s="350">
        <f>Tierb!A74</f>
        <v>710</v>
      </c>
      <c r="G75" s="1246">
        <f>IF(Tierb!G74="",0,Tierb!G74-AD75)</f>
        <v>0</v>
      </c>
      <c r="H75" s="1255"/>
      <c r="I75" s="1073"/>
      <c r="J75" s="1260"/>
      <c r="K75" s="1260"/>
      <c r="L75" s="1260"/>
      <c r="M75" s="1260"/>
      <c r="N75" s="1260"/>
      <c r="O75" s="1193"/>
      <c r="P75" s="1193"/>
      <c r="Q75" s="349">
        <f>Tierb!J74-AN75</f>
        <v>0</v>
      </c>
      <c r="R75" s="1051">
        <f>Tierb!K74</f>
        <v>0</v>
      </c>
      <c r="S75" s="520">
        <f t="shared" si="24"/>
        <v>0</v>
      </c>
      <c r="T75" s="349">
        <f>Tierb!N74-AQ75</f>
        <v>0</v>
      </c>
      <c r="U75" s="1051">
        <f>Tierb!O74</f>
        <v>0</v>
      </c>
      <c r="V75" s="520">
        <f t="shared" si="25"/>
        <v>0</v>
      </c>
      <c r="W75" s="851"/>
      <c r="X75" s="852"/>
      <c r="Y75" s="852"/>
      <c r="Z75" s="520">
        <f t="shared" si="26"/>
        <v>0</v>
      </c>
      <c r="AA75" s="1052" t="b">
        <v>0</v>
      </c>
      <c r="AB75" s="1053">
        <v>1</v>
      </c>
      <c r="AC75" s="1054">
        <v>1</v>
      </c>
      <c r="AD75" s="1055"/>
      <c r="AE75" s="1255"/>
      <c r="AF75" s="1073"/>
      <c r="AG75" s="1260"/>
      <c r="AH75" s="1260"/>
      <c r="AI75" s="1260"/>
      <c r="AJ75" s="1260"/>
      <c r="AK75" s="1260"/>
      <c r="AL75" s="1193"/>
      <c r="AM75" s="1193"/>
      <c r="AN75" s="929"/>
      <c r="AO75" s="930">
        <f>IF(AN75&lt;&gt;0,Tierb!K74,0)</f>
        <v>0</v>
      </c>
      <c r="AP75" s="520">
        <f t="shared" si="27"/>
        <v>0</v>
      </c>
      <c r="AQ75" s="929"/>
      <c r="AR75" s="930">
        <f>IF(AQ75&lt;&gt;0,Tierb!O74,0)</f>
        <v>0</v>
      </c>
      <c r="AS75" s="520">
        <f t="shared" si="28"/>
        <v>0</v>
      </c>
      <c r="AT75" s="851"/>
      <c r="AU75" s="852"/>
      <c r="AV75" s="852"/>
      <c r="AW75" s="520">
        <f t="shared" si="29"/>
        <v>0</v>
      </c>
      <c r="AX75" s="1052" t="b">
        <v>0</v>
      </c>
      <c r="AY75" s="1053">
        <v>1</v>
      </c>
      <c r="AZ75" s="1054">
        <v>1</v>
      </c>
    </row>
    <row r="76" spans="2:52" ht="20.100000000000001" customHeight="1">
      <c r="B76" s="1988" t="str">
        <f>D_Klick!D289</f>
        <v>Mastpoulets</v>
      </c>
      <c r="C76" s="1990"/>
      <c r="D76" s="1984" t="str">
        <f>Texte!A1454</f>
        <v>100 Pl</v>
      </c>
      <c r="E76" s="1984">
        <f>Tierb!H75</f>
        <v>0.4</v>
      </c>
      <c r="F76" s="350">
        <f>Tierb!A75</f>
        <v>720</v>
      </c>
      <c r="G76" s="1246">
        <f>IF(Tierb!G75="",0,Tierb!G75-AD76)</f>
        <v>0</v>
      </c>
      <c r="H76" s="1255"/>
      <c r="I76" s="1073"/>
      <c r="J76" s="1260"/>
      <c r="K76" s="1260"/>
      <c r="L76" s="1260"/>
      <c r="M76" s="1260"/>
      <c r="N76" s="1260"/>
      <c r="O76" s="1193"/>
      <c r="P76" s="1193"/>
      <c r="Q76" s="349">
        <f>Tierb!J75-AN76</f>
        <v>0</v>
      </c>
      <c r="R76" s="1051">
        <f>Tierb!K75</f>
        <v>0</v>
      </c>
      <c r="S76" s="520">
        <f t="shared" si="24"/>
        <v>0</v>
      </c>
      <c r="T76" s="349">
        <f>Tierb!N75-AQ76</f>
        <v>0</v>
      </c>
      <c r="U76" s="1051">
        <f>Tierb!O75</f>
        <v>0</v>
      </c>
      <c r="V76" s="520">
        <f t="shared" si="25"/>
        <v>0</v>
      </c>
      <c r="W76" s="851"/>
      <c r="X76" s="852"/>
      <c r="Y76" s="852"/>
      <c r="Z76" s="520">
        <f t="shared" si="26"/>
        <v>0</v>
      </c>
      <c r="AA76" s="1052" t="b">
        <v>0</v>
      </c>
      <c r="AB76" s="1053">
        <v>1</v>
      </c>
      <c r="AC76" s="1054">
        <v>1</v>
      </c>
      <c r="AD76" s="1055"/>
      <c r="AE76" s="1255"/>
      <c r="AF76" s="1073"/>
      <c r="AG76" s="1260"/>
      <c r="AH76" s="1260"/>
      <c r="AI76" s="1260"/>
      <c r="AJ76" s="1260"/>
      <c r="AK76" s="1260"/>
      <c r="AL76" s="1193"/>
      <c r="AM76" s="1193"/>
      <c r="AN76" s="929"/>
      <c r="AO76" s="930">
        <f>IF(AN76&lt;&gt;0,Tierb!K75,0)</f>
        <v>0</v>
      </c>
      <c r="AP76" s="520">
        <f t="shared" si="27"/>
        <v>0</v>
      </c>
      <c r="AQ76" s="929"/>
      <c r="AR76" s="930">
        <f>IF(AQ76&lt;&gt;0,Tierb!O75,0)</f>
        <v>0</v>
      </c>
      <c r="AS76" s="520">
        <f t="shared" si="28"/>
        <v>0</v>
      </c>
      <c r="AT76" s="851"/>
      <c r="AU76" s="852"/>
      <c r="AV76" s="852"/>
      <c r="AW76" s="520">
        <f t="shared" si="29"/>
        <v>0</v>
      </c>
      <c r="AX76" s="1052" t="b">
        <v>0</v>
      </c>
      <c r="AY76" s="1053">
        <v>1</v>
      </c>
      <c r="AZ76" s="1054">
        <v>1</v>
      </c>
    </row>
    <row r="77" spans="2:52" ht="20.100000000000001" customHeight="1">
      <c r="B77" s="1988" t="str">
        <f>D_Klick!D290</f>
        <v>Masttruten</v>
      </c>
      <c r="C77" s="1990"/>
      <c r="D77" s="1984" t="str">
        <f>Texte!A1454</f>
        <v>100 Pl</v>
      </c>
      <c r="E77" s="1984">
        <f>Tierb!H76</f>
        <v>1.5</v>
      </c>
      <c r="F77" s="350">
        <f>Tierb!A76</f>
        <v>730</v>
      </c>
      <c r="G77" s="1246">
        <f>IF(Tierb!G76="",0,Tierb!G76-AD77)</f>
        <v>0</v>
      </c>
      <c r="H77" s="1255"/>
      <c r="I77" s="1073"/>
      <c r="J77" s="1260"/>
      <c r="K77" s="1260"/>
      <c r="L77" s="1260"/>
      <c r="M77" s="1260"/>
      <c r="N77" s="1260"/>
      <c r="O77" s="1193"/>
      <c r="P77" s="1193"/>
      <c r="Q77" s="349">
        <f>Tierb!J76-AN77</f>
        <v>0</v>
      </c>
      <c r="R77" s="1051">
        <f>Tierb!K76</f>
        <v>0</v>
      </c>
      <c r="S77" s="520">
        <f t="shared" si="24"/>
        <v>0</v>
      </c>
      <c r="T77" s="349">
        <f>Tierb!N76-AQ77</f>
        <v>0</v>
      </c>
      <c r="U77" s="1051">
        <f>Tierb!O76</f>
        <v>0</v>
      </c>
      <c r="V77" s="520">
        <f t="shared" si="25"/>
        <v>0</v>
      </c>
      <c r="W77" s="851"/>
      <c r="X77" s="852"/>
      <c r="Y77" s="852"/>
      <c r="Z77" s="520">
        <f t="shared" si="26"/>
        <v>0</v>
      </c>
      <c r="AA77" s="1052" t="b">
        <v>0</v>
      </c>
      <c r="AB77" s="1053">
        <v>1</v>
      </c>
      <c r="AC77" s="1054">
        <v>1</v>
      </c>
      <c r="AD77" s="1055"/>
      <c r="AE77" s="1255"/>
      <c r="AF77" s="1073"/>
      <c r="AG77" s="1260"/>
      <c r="AH77" s="1260"/>
      <c r="AI77" s="1260"/>
      <c r="AJ77" s="1260"/>
      <c r="AK77" s="1260"/>
      <c r="AL77" s="1193"/>
      <c r="AM77" s="1193"/>
      <c r="AN77" s="929"/>
      <c r="AO77" s="930">
        <f>IF(AN77&lt;&gt;0,Tierb!K76,0)</f>
        <v>0</v>
      </c>
      <c r="AP77" s="520">
        <f t="shared" si="27"/>
        <v>0</v>
      </c>
      <c r="AQ77" s="929"/>
      <c r="AR77" s="930">
        <f>IF(AQ77&lt;&gt;0,Tierb!O76,0)</f>
        <v>0</v>
      </c>
      <c r="AS77" s="520">
        <f t="shared" si="28"/>
        <v>0</v>
      </c>
      <c r="AT77" s="851"/>
      <c r="AU77" s="852"/>
      <c r="AV77" s="852"/>
      <c r="AW77" s="520">
        <f t="shared" si="29"/>
        <v>0</v>
      </c>
      <c r="AX77" s="1052" t="b">
        <v>0</v>
      </c>
      <c r="AY77" s="1053">
        <v>1</v>
      </c>
      <c r="AZ77" s="1054">
        <v>1</v>
      </c>
    </row>
    <row r="78" spans="2:52" ht="20.100000000000001" customHeight="1">
      <c r="B78" s="1988" t="str">
        <f>D_Klick!D291</f>
        <v>Trutenvormast, 6 Umtriebe</v>
      </c>
      <c r="C78" s="1990"/>
      <c r="D78" s="1984" t="str">
        <f>Texte!A1454</f>
        <v>100 Pl</v>
      </c>
      <c r="E78" s="1984">
        <f>Tierb!H77</f>
        <v>0.5</v>
      </c>
      <c r="F78" s="350">
        <f>Tierb!A77</f>
        <v>740</v>
      </c>
      <c r="G78" s="1246">
        <f>IF(Tierb!G77="",0,Tierb!G77-AD78)</f>
        <v>0</v>
      </c>
      <c r="H78" s="1255"/>
      <c r="I78" s="1073"/>
      <c r="J78" s="1260"/>
      <c r="K78" s="1260"/>
      <c r="L78" s="1260"/>
      <c r="M78" s="1260"/>
      <c r="N78" s="1260"/>
      <c r="O78" s="1193"/>
      <c r="P78" s="1193"/>
      <c r="Q78" s="349">
        <f>Tierb!J77-AN78</f>
        <v>0</v>
      </c>
      <c r="R78" s="1051">
        <f>Tierb!K77</f>
        <v>0</v>
      </c>
      <c r="S78" s="520">
        <f t="shared" si="24"/>
        <v>0</v>
      </c>
      <c r="T78" s="349">
        <f>Tierb!N77-AQ78</f>
        <v>0</v>
      </c>
      <c r="U78" s="1051">
        <f>Tierb!O77</f>
        <v>0</v>
      </c>
      <c r="V78" s="520">
        <f t="shared" si="25"/>
        <v>0</v>
      </c>
      <c r="W78" s="851"/>
      <c r="X78" s="852"/>
      <c r="Y78" s="852"/>
      <c r="Z78" s="520">
        <f t="shared" si="26"/>
        <v>0</v>
      </c>
      <c r="AA78" s="1052" t="b">
        <v>0</v>
      </c>
      <c r="AB78" s="1053">
        <v>1</v>
      </c>
      <c r="AC78" s="1054">
        <v>1</v>
      </c>
      <c r="AD78" s="1055"/>
      <c r="AE78" s="1255"/>
      <c r="AF78" s="1073"/>
      <c r="AG78" s="1260"/>
      <c r="AH78" s="1260"/>
      <c r="AI78" s="1260"/>
      <c r="AJ78" s="1260"/>
      <c r="AK78" s="1260"/>
      <c r="AL78" s="1193"/>
      <c r="AM78" s="1193"/>
      <c r="AN78" s="929"/>
      <c r="AO78" s="930">
        <f>IF(AN78&lt;&gt;0,Tierb!K77,0)</f>
        <v>0</v>
      </c>
      <c r="AP78" s="520">
        <f t="shared" si="27"/>
        <v>0</v>
      </c>
      <c r="AQ78" s="929"/>
      <c r="AR78" s="930">
        <f>IF(AQ78&lt;&gt;0,Tierb!O77,0)</f>
        <v>0</v>
      </c>
      <c r="AS78" s="520">
        <f t="shared" si="28"/>
        <v>0</v>
      </c>
      <c r="AT78" s="851"/>
      <c r="AU78" s="852"/>
      <c r="AV78" s="852"/>
      <c r="AW78" s="520">
        <f t="shared" si="29"/>
        <v>0</v>
      </c>
      <c r="AX78" s="1052" t="b">
        <v>0</v>
      </c>
      <c r="AY78" s="1053">
        <v>1</v>
      </c>
      <c r="AZ78" s="1054">
        <v>1</v>
      </c>
    </row>
    <row r="79" spans="2:52" ht="20.100000000000001" customHeight="1">
      <c r="B79" s="1988" t="str">
        <f>D_Klick!D292</f>
        <v>Trutenausmast, 2.9 Umtriebe</v>
      </c>
      <c r="C79" s="1990"/>
      <c r="D79" s="1984" t="str">
        <f>Texte!A1454</f>
        <v>100 Pl</v>
      </c>
      <c r="E79" s="1984">
        <f>Tierb!H78</f>
        <v>2.8</v>
      </c>
      <c r="F79" s="350">
        <f>Tierb!A78</f>
        <v>750</v>
      </c>
      <c r="G79" s="1246">
        <f>IF(Tierb!G78="",0,Tierb!G78-AD79)</f>
        <v>0</v>
      </c>
      <c r="H79" s="1255"/>
      <c r="I79" s="1073"/>
      <c r="J79" s="1260"/>
      <c r="K79" s="1260"/>
      <c r="L79" s="1260"/>
      <c r="M79" s="1260"/>
      <c r="N79" s="1260"/>
      <c r="O79" s="1193"/>
      <c r="P79" s="1193"/>
      <c r="Q79" s="349">
        <f>Tierb!J78-AN79</f>
        <v>0</v>
      </c>
      <c r="R79" s="1051">
        <f>Tierb!K78</f>
        <v>0</v>
      </c>
      <c r="S79" s="520">
        <f t="shared" si="24"/>
        <v>0</v>
      </c>
      <c r="T79" s="349">
        <f>Tierb!N78-AQ79</f>
        <v>0</v>
      </c>
      <c r="U79" s="1051">
        <f>Tierb!O78</f>
        <v>0</v>
      </c>
      <c r="V79" s="520">
        <f t="shared" si="25"/>
        <v>0</v>
      </c>
      <c r="W79" s="851"/>
      <c r="X79" s="852"/>
      <c r="Y79" s="852"/>
      <c r="Z79" s="520">
        <f t="shared" si="26"/>
        <v>0</v>
      </c>
      <c r="AA79" s="1052" t="b">
        <v>0</v>
      </c>
      <c r="AB79" s="1053">
        <v>1</v>
      </c>
      <c r="AC79" s="1054">
        <v>1</v>
      </c>
      <c r="AD79" s="1055"/>
      <c r="AE79" s="1255"/>
      <c r="AF79" s="1073"/>
      <c r="AG79" s="1260"/>
      <c r="AH79" s="1260"/>
      <c r="AI79" s="1260"/>
      <c r="AJ79" s="1260"/>
      <c r="AK79" s="1260"/>
      <c r="AL79" s="1193"/>
      <c r="AM79" s="1193"/>
      <c r="AN79" s="929"/>
      <c r="AO79" s="930">
        <f>IF(AN79&lt;&gt;0,Tierb!K78,0)</f>
        <v>0</v>
      </c>
      <c r="AP79" s="520">
        <f t="shared" si="27"/>
        <v>0</v>
      </c>
      <c r="AQ79" s="929"/>
      <c r="AR79" s="930">
        <f>IF(AQ79&lt;&gt;0,Tierb!O78,0)</f>
        <v>0</v>
      </c>
      <c r="AS79" s="520">
        <f t="shared" si="28"/>
        <v>0</v>
      </c>
      <c r="AT79" s="851"/>
      <c r="AU79" s="852"/>
      <c r="AV79" s="852"/>
      <c r="AW79" s="520">
        <f t="shared" si="29"/>
        <v>0</v>
      </c>
      <c r="AX79" s="1052" t="b">
        <v>0</v>
      </c>
      <c r="AY79" s="1053">
        <v>1</v>
      </c>
      <c r="AZ79" s="1054">
        <v>1</v>
      </c>
    </row>
    <row r="80" spans="2:52" ht="19.5" customHeight="1">
      <c r="B80" s="1998" t="str">
        <f>D_Klick!D293</f>
        <v/>
      </c>
      <c r="C80" s="1999"/>
      <c r="D80" s="2000" t="str">
        <f>IF(D_Tierb!F80="","",D_Tierb!F80)</f>
        <v/>
      </c>
      <c r="E80" s="2001" t="str">
        <f>IF(Tierb!H79= "","",Tierb!H79)</f>
        <v/>
      </c>
      <c r="F80" s="1282">
        <f>Tierb!A79</f>
        <v>760</v>
      </c>
      <c r="G80" s="1248">
        <f>IF(Tierb!G79="",0,Tierb!G79-AD80)</f>
        <v>0</v>
      </c>
      <c r="H80" s="1255"/>
      <c r="I80" s="1046"/>
      <c r="J80" s="1263"/>
      <c r="K80" s="1263"/>
      <c r="L80" s="1263"/>
      <c r="M80" s="1263"/>
      <c r="N80" s="1263"/>
      <c r="O80" s="1194"/>
      <c r="P80" s="1194"/>
      <c r="Q80" s="471">
        <f>Tierb!J79-AN80</f>
        <v>0</v>
      </c>
      <c r="R80" s="472">
        <f>Tierb!K79</f>
        <v>0</v>
      </c>
      <c r="S80" s="431">
        <f t="shared" si="24"/>
        <v>0</v>
      </c>
      <c r="T80" s="471">
        <f>Tierb!N79-AQ80</f>
        <v>0</v>
      </c>
      <c r="U80" s="472">
        <f>Tierb!O79</f>
        <v>0</v>
      </c>
      <c r="V80" s="431">
        <f t="shared" si="25"/>
        <v>0</v>
      </c>
      <c r="W80" s="437"/>
      <c r="X80" s="473"/>
      <c r="Y80" s="473"/>
      <c r="Z80" s="431">
        <f t="shared" si="26"/>
        <v>0</v>
      </c>
      <c r="AA80" s="1047" t="b">
        <v>0</v>
      </c>
      <c r="AB80" s="1053">
        <v>1</v>
      </c>
      <c r="AC80" s="1078">
        <v>1</v>
      </c>
      <c r="AD80" s="1076"/>
      <c r="AE80" s="1255"/>
      <c r="AF80" s="1046"/>
      <c r="AG80" s="1263"/>
      <c r="AH80" s="1263"/>
      <c r="AI80" s="1263"/>
      <c r="AJ80" s="1263"/>
      <c r="AK80" s="1263"/>
      <c r="AL80" s="1194"/>
      <c r="AM80" s="1194"/>
      <c r="AN80" s="1074"/>
      <c r="AO80" s="1075">
        <f>IF(AN80&lt;&gt;0,Tierb!K79,0)</f>
        <v>0</v>
      </c>
      <c r="AP80" s="431">
        <f t="shared" si="27"/>
        <v>0</v>
      </c>
      <c r="AQ80" s="1074"/>
      <c r="AR80" s="1075">
        <f>IF(AQ80&lt;&gt;0,Tierb!O79,0)</f>
        <v>0</v>
      </c>
      <c r="AS80" s="431">
        <f t="shared" si="28"/>
        <v>0</v>
      </c>
      <c r="AT80" s="437"/>
      <c r="AU80" s="473"/>
      <c r="AV80" s="473"/>
      <c r="AW80" s="431">
        <f t="shared" si="29"/>
        <v>0</v>
      </c>
      <c r="AX80" s="1047" t="b">
        <v>0</v>
      </c>
      <c r="AY80" s="1053">
        <v>1</v>
      </c>
      <c r="AZ80" s="1078">
        <v>1</v>
      </c>
    </row>
    <row r="81" spans="2:52" ht="7.5" customHeight="1">
      <c r="B81" s="873"/>
      <c r="C81" s="873"/>
      <c r="D81" s="873"/>
      <c r="E81" s="873"/>
      <c r="F81" s="873"/>
      <c r="G81" s="873"/>
      <c r="H81" s="873"/>
      <c r="I81" s="873"/>
      <c r="J81" s="1197"/>
      <c r="K81" s="1197"/>
      <c r="L81" s="1197"/>
      <c r="M81" s="1197"/>
      <c r="N81" s="1197"/>
      <c r="O81" s="1197"/>
      <c r="P81" s="1197"/>
      <c r="Q81" s="873"/>
      <c r="R81" s="873"/>
      <c r="S81" s="873"/>
      <c r="T81" s="873"/>
      <c r="U81" s="873"/>
      <c r="V81" s="873"/>
      <c r="W81" s="873"/>
      <c r="X81" s="873"/>
      <c r="Y81" s="873"/>
      <c r="Z81" s="873"/>
      <c r="AA81" s="873"/>
      <c r="AB81" s="873"/>
      <c r="AC81" s="873"/>
      <c r="AD81" s="873"/>
      <c r="AE81" s="873"/>
      <c r="AF81" s="873"/>
      <c r="AG81" s="1197"/>
      <c r="AH81" s="1197"/>
      <c r="AI81" s="1197"/>
      <c r="AJ81" s="1197"/>
      <c r="AK81" s="1197"/>
      <c r="AL81" s="1197"/>
      <c r="AM81" s="1197"/>
      <c r="AN81" s="873"/>
      <c r="AO81" s="873"/>
      <c r="AP81" s="873"/>
      <c r="AQ81" s="873"/>
      <c r="AR81" s="873"/>
      <c r="AS81" s="873"/>
      <c r="AT81" s="873"/>
      <c r="AU81" s="873"/>
      <c r="AV81" s="873"/>
      <c r="AW81" s="873"/>
      <c r="AX81" s="873"/>
      <c r="AY81" s="873"/>
      <c r="AZ81" s="873"/>
    </row>
    <row r="82" spans="2:52">
      <c r="F82" s="874"/>
    </row>
  </sheetData>
  <sheetProtection algorithmName="SHA-512" hashValue="6pJscHLsz7xB+iPXpjWUyjIAbtyc4dWK3aqiZj/SPpo4N/dvpkRczw9IwNA7ebxJ75GsBnmy6cD1qgTyD68mXQ==" saltValue="md9i7QqxIedv7WwshiZxpA==" spinCount="100000" sheet="1" objects="1" scenarios="1"/>
  <phoneticPr fontId="0" type="noConversion"/>
  <pageMargins left="0.47244094488188981" right="0.39370078740157483" top="0.39370078740157483" bottom="0.31496062992125984" header="0" footer="0.19685039370078741"/>
  <pageSetup paperSize="9" orientation="landscape"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6730" r:id="rId4" name="Butt Volumen">
              <controlPr defaultSize="0" print="0" autoFill="0" autoLine="0" autoPict="0" macro="[0]!Hd_Einblenden">
                <anchor moveWithCells="1" sizeWithCells="1">
                  <from>
                    <xdr:col>6</xdr:col>
                    <xdr:colOff>0</xdr:colOff>
                    <xdr:row>2</xdr:row>
                    <xdr:rowOff>133350</xdr:rowOff>
                  </from>
                  <to>
                    <xdr:col>18</xdr:col>
                    <xdr:colOff>552450</xdr:colOff>
                    <xdr:row>4</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7">
    <tabColor indexed="43"/>
  </sheetPr>
  <dimension ref="A1:M49"/>
  <sheetViews>
    <sheetView showGridLines="0" showRowColHeaders="0" showZeros="0" workbookViewId="0">
      <selection activeCell="G8" sqref="G8"/>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0.85546875" style="872" customWidth="1"/>
    <col min="2" max="2" width="12.42578125" style="872" customWidth="1"/>
    <col min="3" max="3" width="54.28515625" style="872" customWidth="1"/>
    <col min="4" max="5" width="7.7109375" style="872" customWidth="1"/>
    <col min="6" max="6" width="18.85546875" style="872" customWidth="1"/>
    <col min="7" max="12" width="6.28515625" style="872" customWidth="1"/>
    <col min="13" max="16384" width="11.42578125" style="872"/>
  </cols>
  <sheetData>
    <row r="1" spans="1:12" ht="42" customHeight="1">
      <c r="A1" s="692"/>
      <c r="B1" s="19" t="str">
        <f>Q!NW_Tit</f>
        <v xml:space="preserve">                                   Nachweis</v>
      </c>
      <c r="C1" s="692"/>
      <c r="D1" s="692"/>
      <c r="E1" s="692"/>
      <c r="F1" s="692"/>
      <c r="G1" s="692"/>
      <c r="H1" s="692"/>
      <c r="I1" s="692"/>
      <c r="J1" s="692"/>
      <c r="K1" s="692"/>
      <c r="L1" s="1079" t="str">
        <f>Q!F31</f>
        <v>B. Abwasser / Verdünnungswasser in der Gülle</v>
      </c>
    </row>
    <row r="2" spans="1:12" ht="10.5" customHeight="1" thickBot="1">
      <c r="A2" s="692"/>
      <c r="B2" s="687"/>
      <c r="C2" s="687"/>
      <c r="D2" s="687"/>
      <c r="E2" s="687"/>
      <c r="F2" s="687"/>
      <c r="G2" s="687"/>
      <c r="H2" s="687"/>
      <c r="I2" s="687"/>
      <c r="J2" s="687"/>
      <c r="K2" s="687"/>
      <c r="L2" s="687"/>
    </row>
    <row r="4" spans="1:12">
      <c r="B4" s="874"/>
      <c r="C4" s="874"/>
      <c r="D4" s="874"/>
      <c r="E4" s="874"/>
      <c r="F4" s="874"/>
      <c r="G4" s="874"/>
      <c r="H4" s="874"/>
      <c r="I4" s="874"/>
      <c r="J4" s="874"/>
      <c r="K4" s="874"/>
      <c r="L4" s="874"/>
    </row>
    <row r="5" spans="1:12" ht="15.75">
      <c r="A5" s="874"/>
      <c r="B5" s="1080" t="str">
        <f>Texte!A1526</f>
        <v>Herkunft des Verdünnungswassers</v>
      </c>
      <c r="C5" s="1081"/>
      <c r="D5" s="1081"/>
      <c r="E5" s="1081"/>
      <c r="F5" s="1082" t="str">
        <f>Texte!A1527</f>
        <v>Einheit</v>
      </c>
      <c r="G5" s="1083" t="str">
        <f>Texte!A1528</f>
        <v>Anzahl Einheiten</v>
      </c>
      <c r="H5" s="1084"/>
      <c r="I5" s="1084"/>
      <c r="J5" s="1083" t="str">
        <f>Texte!A1529</f>
        <v>Menge in m³</v>
      </c>
      <c r="K5" s="1084"/>
      <c r="L5" s="1085"/>
    </row>
    <row r="6" spans="1:12">
      <c r="A6" s="874"/>
      <c r="B6" s="1086"/>
      <c r="C6" s="874"/>
      <c r="D6" s="1252" t="str">
        <f>Texte!A1531</f>
        <v>Auslastung</v>
      </c>
      <c r="E6" s="1089"/>
      <c r="F6" s="1087"/>
      <c r="G6" s="1088" t="str">
        <f>Texte!A1530</f>
        <v>Gülle-Grube</v>
      </c>
      <c r="H6" s="1089"/>
      <c r="I6" s="1089"/>
      <c r="J6" s="1088" t="str">
        <f>Texte!A1530</f>
        <v>Gülle-Grube</v>
      </c>
      <c r="K6" s="1089"/>
      <c r="L6" s="1090"/>
    </row>
    <row r="7" spans="1:12">
      <c r="A7" s="874"/>
      <c r="B7" s="1091"/>
      <c r="C7" s="875"/>
      <c r="D7" s="1236" t="str">
        <f>Texte!A1532</f>
        <v>Sommer</v>
      </c>
      <c r="E7" s="1094" t="str">
        <f>Texte!A1533</f>
        <v>Winter</v>
      </c>
      <c r="F7" s="1092"/>
      <c r="G7" s="1093">
        <v>1</v>
      </c>
      <c r="H7" s="1094">
        <v>2</v>
      </c>
      <c r="I7" s="1094">
        <v>3</v>
      </c>
      <c r="J7" s="1093">
        <v>1</v>
      </c>
      <c r="K7" s="1094">
        <v>2</v>
      </c>
      <c r="L7" s="1095">
        <v>3</v>
      </c>
    </row>
    <row r="8" spans="1:12" ht="12.75">
      <c r="A8" s="874"/>
      <c r="B8" s="1096" t="str">
        <f>Texte!A1534</f>
        <v>Mistplatz</v>
      </c>
      <c r="C8" s="1097"/>
      <c r="D8" s="1243"/>
      <c r="E8" s="1249"/>
      <c r="F8" s="1098" t="s">
        <v>3337</v>
      </c>
      <c r="G8" s="1099"/>
      <c r="H8" s="1100"/>
      <c r="I8" s="1100"/>
      <c r="J8" s="1237" t="str">
        <f>IF(ISBLANK(G8),"",(HDA!$D$4*(G8*(INDEX(TW!WasserSommer,1))+INDEX(TW!WasserSommerKonst,1))+(HDA!$D$5*(G8*(INDEX(TW!WasserWinter,1))+INDEX(TW!WasserWinterKonst,1)))))</f>
        <v/>
      </c>
      <c r="K8" s="1238" t="str">
        <f>IF(ISBLANK(H8),"",(HDA!$D$4*(H8*(INDEX(TW!WasserSommer,1))+INDEX(TW!WasserSommerKonst,1))+(HDA!$D$5*(H8*(INDEX(TW!WasserWinter,1))+INDEX(TW!WasserWinterKonst,1)))))</f>
        <v/>
      </c>
      <c r="L8" s="1239" t="str">
        <f>IF(ISBLANK(I8),"",(HDA!$D$4*(I8*(INDEX(TW!WasserSommer,1))+INDEX(TW!WasserSommerKonst,1))+(HDA!$D$5*(I8*(INDEX(TW!WasserWinter,1))+INDEX(TW!WasserWinterKonst,1)))))</f>
        <v/>
      </c>
    </row>
    <row r="9" spans="1:12" ht="12.75">
      <c r="A9" s="874"/>
      <c r="B9" s="1101" t="str">
        <f>Texte!A1535</f>
        <v>Befestigte, nicht überdachte Laufplätze</v>
      </c>
      <c r="C9" s="1097"/>
      <c r="D9" s="1243"/>
      <c r="E9" s="1249"/>
      <c r="F9" s="1098" t="s">
        <v>3337</v>
      </c>
      <c r="G9" s="1099"/>
      <c r="H9" s="1100"/>
      <c r="I9" s="1100"/>
      <c r="J9" s="1237" t="str">
        <f>IF(ISBLANK(G9),"",(HDA!$D$4*(G9*(INDEX(TW!WasserSommer,2))+INDEX(TW!WasserSommerKonst,2))+(HDA!$D$5*(G9*(INDEX(TW!WasserWinter,2))+INDEX(TW!WasserWinterKonst,2)))))</f>
        <v/>
      </c>
      <c r="K9" s="1238" t="str">
        <f>IF(ISBLANK(H9),"",(HDA!$D$4*(H9*(INDEX(TW!WasserSommer,2))+INDEX(TW!WasserSommerKonst,2))+(HDA!$D$5*(H9*(INDEX(TW!WasserWinter,2))+INDEX(TW!WasserWinterKonst,2)))))</f>
        <v/>
      </c>
      <c r="L9" s="1239" t="str">
        <f>IF(ISBLANK(I9),"",(HDA!$D$4*(I9*(INDEX(TW!WasserSommer,2))+INDEX(TW!WasserSommerKonst,2))+(HDA!$D$5*(I9*(INDEX(TW!WasserWinter,2))+INDEX(TW!WasserWinterKonst,2)))))</f>
        <v/>
      </c>
    </row>
    <row r="10" spans="1:12" ht="12.75">
      <c r="A10" s="874"/>
      <c r="B10" s="1096" t="str">
        <f>Texte!A1536</f>
        <v>Nicht überdachte Flachsiloplatten mit vollständiger Entwässerung in Güllengrube</v>
      </c>
      <c r="C10" s="1097"/>
      <c r="D10" s="1243"/>
      <c r="E10" s="1249"/>
      <c r="F10" s="1098" t="s">
        <v>3337</v>
      </c>
      <c r="G10" s="1099"/>
      <c r="H10" s="1100"/>
      <c r="I10" s="1100"/>
      <c r="J10" s="1237" t="str">
        <f>IF(ISBLANK(G10),"",(HDA!$D$4*(G10*(INDEX(TW!WasserSommer,3))+INDEX(TW!WasserSommerKonst,3))+(HDA!$D$5*(G10*(INDEX(TW!WasserWinter,3))+INDEX(TW!WasserWinterKonst,3)))))</f>
        <v/>
      </c>
      <c r="K10" s="1238" t="str">
        <f>IF(ISBLANK(H10),"",(HDA!$D$4*(H10*(INDEX(TW!WasserSommer,3))+INDEX(TW!WasserSommerKonst,3))+(HDA!$D$5*(H10*(INDEX(TW!WasserWinter,3))+INDEX(TW!WasserWinterKonst,3)))))</f>
        <v/>
      </c>
      <c r="L10" s="1239" t="str">
        <f>IF(ISBLANK(I10),"",(HDA!$D$4*(I10*(INDEX(TW!WasserSommer,3))+INDEX(TW!WasserSommerKonst,3))+(HDA!$D$5*(I10*(INDEX(TW!WasserWinter,3))+INDEX(TW!WasserWinterKonst,3)))))</f>
        <v/>
      </c>
    </row>
    <row r="11" spans="1:12" ht="12.75">
      <c r="A11" s="874"/>
      <c r="B11" s="1096" t="str">
        <f>Texte!A1537</f>
        <v>Nicht überdachte Flachsiloplatten mit  Entwässerung über Silosaftrinne</v>
      </c>
      <c r="C11" s="1097"/>
      <c r="D11" s="1243"/>
      <c r="E11" s="1249"/>
      <c r="F11" s="1098" t="s">
        <v>3337</v>
      </c>
      <c r="G11" s="1099"/>
      <c r="H11" s="1100"/>
      <c r="I11" s="1100"/>
      <c r="J11" s="1237" t="str">
        <f>IF(ISBLANK(G11),"",(HDA!$D$4*(G11*(INDEX(TW!WasserSommer,4))+INDEX(TW!WasserSommerKonst,4))+(HDA!$D$5*(G11*(INDEX(TW!WasserWinter,4))+INDEX(TW!WasserWinterKonst,4)))))</f>
        <v/>
      </c>
      <c r="K11" s="1238" t="str">
        <f>IF(ISBLANK(H11),"",(HDA!$D$4*(H11*(INDEX(TW!WasserSommer,4))+INDEX(TW!WasserSommerKonst,4))+(HDA!$D$5*(H11*(INDEX(TW!WasserWinter,4))+INDEX(TW!WasserWinterKonst,4)))))</f>
        <v/>
      </c>
      <c r="L11" s="1239" t="str">
        <f>IF(ISBLANK(I11),"",(HDA!$D$4*(I11*(INDEX(TW!WasserSommer,4))+INDEX(TW!WasserSommerKonst,4))+(HDA!$D$5*(I11*(INDEX(TW!WasserWinter,4))+INDEX(TW!WasserWinterKonst,4)))))</f>
        <v/>
      </c>
    </row>
    <row r="12" spans="1:12" ht="12.75">
      <c r="A12" s="874"/>
      <c r="B12" s="1096" t="str">
        <f>Texte!A1538</f>
        <v>Weitere in die Güllegrube entwässerte Flächen</v>
      </c>
      <c r="C12" s="1097"/>
      <c r="D12" s="1243"/>
      <c r="E12" s="1249"/>
      <c r="F12" s="1098" t="s">
        <v>3337</v>
      </c>
      <c r="G12" s="1099"/>
      <c r="H12" s="1100"/>
      <c r="I12" s="1100"/>
      <c r="J12" s="1237" t="str">
        <f>IF(ISBLANK(G12),"",(HDA!$D$4*(G12*(INDEX(TW!WasserSommer,5))+INDEX(TW!WasserSommerKonst,5))+(HDA!$D$5*(G12*(INDEX(TW!WasserWinter,5))+INDEX(TW!WasserWinterKonst,5)))))</f>
        <v/>
      </c>
      <c r="K12" s="1238" t="str">
        <f>IF(ISBLANK(H12),"",(HDA!$D$4*(H12*(INDEX(TW!WasserSommer,5))+INDEX(TW!WasserSommerKonst,5))+(HDA!$D$5*(H12*(INDEX(TW!WasserWinter,5))+INDEX(TW!WasserWinterKonst,5)))))</f>
        <v/>
      </c>
      <c r="L12" s="1239" t="str">
        <f>IF(ISBLANK(I12),"",(HDA!$D$4*(I12*(INDEX(TW!WasserSommer,5))+INDEX(TW!WasserSommerKonst,5))+(HDA!$D$5*(I12*(INDEX(TW!WasserWinter,5))+INDEX(TW!WasserWinterKonst,5)))))</f>
        <v/>
      </c>
    </row>
    <row r="13" spans="1:12" ht="12.75">
      <c r="A13" s="874"/>
      <c r="B13" s="1096" t="str">
        <f>Texte!A1539</f>
        <v>Reinigung:</v>
      </c>
      <c r="C13" s="1097" t="str">
        <f>Texte!A1540</f>
        <v>Milchkammer</v>
      </c>
      <c r="D13" s="1243"/>
      <c r="E13" s="1249"/>
      <c r="F13" s="1098" t="str">
        <f>Texte!A1554</f>
        <v>Anzahl Melkeinheiten</v>
      </c>
      <c r="G13" s="1099"/>
      <c r="H13" s="1100"/>
      <c r="I13" s="1100"/>
      <c r="J13" s="1237" t="str">
        <f>IF(ISBLANK(G13),"",(HDA!$D$4*(G13*(INDEX(TW!WasserSommer,6))+INDEX(TW!WasserSommerKonst,6))+(HDA!$D$5*(G13*(INDEX(TW!WasserWinter,6))+INDEX(TW!WasserWinterKonst,6)))))</f>
        <v/>
      </c>
      <c r="K13" s="1238" t="str">
        <f>IF(ISBLANK(H13),"",(HDA!$D$4*(H13*(INDEX(TW!WasserSommer,6))+INDEX(TW!WasserSommerKonst,6))+(HDA!$D$5*(H13*(INDEX(TW!WasserWinter,6))+INDEX(TW!WasserWinterKonst,6)))))</f>
        <v/>
      </c>
      <c r="L13" s="1239" t="str">
        <f>IF(ISBLANK(I13),"",(HDA!$D$4*(I13*(INDEX(TW!WasserSommer,6))+INDEX(TW!WasserSommerKonst,6))+(HDA!$D$5*(I13*(INDEX(TW!WasserWinter,6))+INDEX(TW!WasserWinterKonst,6)))))</f>
        <v/>
      </c>
    </row>
    <row r="14" spans="1:12" ht="12.75">
      <c r="A14" s="874"/>
      <c r="B14" s="1096"/>
      <c r="C14" s="1097" t="str">
        <f>Texte!A1541</f>
        <v>Kühltank</v>
      </c>
      <c r="D14" s="1243"/>
      <c r="E14" s="1249"/>
      <c r="F14" s="1098" t="str">
        <f>Texte!A1555</f>
        <v>Volumen in Liter</v>
      </c>
      <c r="G14" s="1099"/>
      <c r="H14" s="1100"/>
      <c r="I14" s="1100"/>
      <c r="J14" s="1237" t="str">
        <f>IF(ISBLANK(G14),"",(HDA!$D$4*(G14*(INDEX(TW!WasserSommer,7))+INDEX(TW!WasserSommerKonst,7))+(HDA!$D$5*(G14*(INDEX(TW!WasserWinter,7))+INDEX(TW!WasserWinterKonst,7)))))</f>
        <v/>
      </c>
      <c r="K14" s="1238" t="str">
        <f>IF(ISBLANK(H14),"",(HDA!$D$4*(H14*(INDEX(TW!WasserSommer,7))+INDEX(TW!WasserSommerKonst,7))+(HDA!$D$5*(H14*(INDEX(TW!WasserWinter,7))+INDEX(TW!WasserWinterKonst,7)))))</f>
        <v/>
      </c>
      <c r="L14" s="1239" t="str">
        <f>IF(ISBLANK(I14),"",(HDA!$D$4*(I14*(INDEX(TW!WasserSommer,7))+INDEX(TW!WasserSommerKonst,7))+(HDA!$D$5*(I14*(INDEX(TW!WasserWinter,7))+INDEX(TW!WasserWinterKonst,7)))))</f>
        <v/>
      </c>
    </row>
    <row r="15" spans="1:12" ht="12.75">
      <c r="A15" s="874"/>
      <c r="B15" s="1096"/>
      <c r="C15" s="1097" t="str">
        <f>Texte!A1542</f>
        <v>Eimermelkanlage</v>
      </c>
      <c r="D15" s="1243"/>
      <c r="E15" s="1249"/>
      <c r="F15" s="1098" t="str">
        <f>Texte!A1554</f>
        <v>Anzahl Melkeinheiten</v>
      </c>
      <c r="G15" s="1099"/>
      <c r="H15" s="1100"/>
      <c r="I15" s="1100"/>
      <c r="J15" s="1237" t="str">
        <f>IF(ISBLANK(G15),"",(HDA!$D$4*(G15*(INDEX(TW!WasserSommer,8))+INDEX(TW!WasserSommerKonst,8))+(HDA!$D$5*(G15*(INDEX(TW!WasserWinter,8))+INDEX(TW!WasserWinterKonst,8)))))</f>
        <v/>
      </c>
      <c r="K15" s="1238" t="str">
        <f>IF(ISBLANK(H15),"",(HDA!$D$4*(H15*(INDEX(TW!WasserSommer,8))+INDEX(TW!WasserSommerKonst,8))+(HDA!$D$5*(H15*(INDEX(TW!WasserWinter,8))+INDEX(TW!WasserWinterKonst,8)))))</f>
        <v/>
      </c>
      <c r="L15" s="1239" t="str">
        <f>IF(ISBLANK(I15),"",(HDA!$D$4*(I15*(INDEX(TW!WasserSommer,8))+INDEX(TW!WasserSommerKonst,8))+(HDA!$D$5*(I15*(INDEX(TW!WasserWinter,8))+INDEX(TW!WasserWinterKonst,8)))))</f>
        <v/>
      </c>
    </row>
    <row r="16" spans="1:12" ht="12.75">
      <c r="A16" s="874"/>
      <c r="B16" s="1096"/>
      <c r="C16" s="1097" t="str">
        <f>Texte!A1543</f>
        <v>Rohrmelkanlage (Anbindestall oder Melkstand)</v>
      </c>
      <c r="D16" s="1243"/>
      <c r="E16" s="1249"/>
      <c r="F16" s="1098" t="str">
        <f>Texte!A1554</f>
        <v>Anzahl Melkeinheiten</v>
      </c>
      <c r="G16" s="1099"/>
      <c r="H16" s="1100"/>
      <c r="I16" s="1100"/>
      <c r="J16" s="1237" t="str">
        <f>IF(ISBLANK(G16),"",(HDA!$D$4*(G16*(INDEX(TW!WasserSommer,9))+INDEX(TW!WasserSommerKonst,9))+(HDA!$D$5*(G16*(INDEX(TW!WasserWinter,9))+INDEX(TW!WasserWinterKonst,9)))))</f>
        <v/>
      </c>
      <c r="K16" s="1238" t="str">
        <f>IF(ISBLANK(H16),"",(HDA!$D$4*(H16*(INDEX(TW!WasserSommer,9))+INDEX(TW!WasserSommerKonst,9))+(HDA!$D$5*(H16*(INDEX(TW!WasserWinter,9))+INDEX(TW!WasserWinterKonst,9)))))</f>
        <v/>
      </c>
      <c r="L16" s="1239" t="str">
        <f>IF(ISBLANK(I16),"",(HDA!$D$4*(I16*(INDEX(TW!WasserSommer,9))+INDEX(TW!WasserSommerKonst,9))+(HDA!$D$5*(I16*(INDEX(TW!WasserWinter,9))+INDEX(TW!WasserWinterKonst,9)))))</f>
        <v/>
      </c>
    </row>
    <row r="17" spans="1:13" ht="12.75">
      <c r="A17" s="874"/>
      <c r="B17" s="1096"/>
      <c r="C17" s="1097" t="str">
        <f>Texte!A1544</f>
        <v>Standplätze im Melkstand</v>
      </c>
      <c r="D17" s="1243"/>
      <c r="E17" s="1249"/>
      <c r="F17" s="1098" t="str">
        <f>Texte!A1556</f>
        <v>Anzahl Plätze</v>
      </c>
      <c r="G17" s="1099"/>
      <c r="H17" s="1100"/>
      <c r="I17" s="1100"/>
      <c r="J17" s="1237" t="str">
        <f>IF(ISBLANK(G17),"",(HDA!$D$4*(G17*(INDEX(TW!WasserSommer,10))+INDEX(TW!WasserSommerKonst,10))+(HDA!$D$5*(G17*(INDEX(TW!WasserWinter,10))+INDEX(TW!WasserWinterKonst,10)))))</f>
        <v/>
      </c>
      <c r="K17" s="1238" t="str">
        <f>IF(ISBLANK(H17),"",(HDA!$D$4*(H17*(INDEX(TW!WasserSommer,10))+INDEX(TW!WasserSommerKonst,10))+(HDA!$D$5*(H17*(INDEX(TW!WasserWinter,10))+INDEX(TW!WasserWinterKonst,10)))))</f>
        <v/>
      </c>
      <c r="L17" s="1239" t="str">
        <f>IF(ISBLANK(I17),"",(HDA!$D$4*(I17*(INDEX(TW!WasserSommer,10))+INDEX(TW!WasserSommerKonst,10))+(HDA!$D$5*(I17*(INDEX(TW!WasserWinter,10))+INDEX(TW!WasserWinterKonst,10)))))</f>
        <v/>
      </c>
    </row>
    <row r="18" spans="1:13" ht="12.75">
      <c r="A18" s="874"/>
      <c r="B18" s="1096"/>
      <c r="C18" s="1097" t="str">
        <f>Texte!A1545</f>
        <v>Automatisches Melksystem (AMS)</v>
      </c>
      <c r="D18" s="1243"/>
      <c r="E18" s="1249"/>
      <c r="F18" s="1098" t="str">
        <f>Texte!A1557</f>
        <v>Einheit</v>
      </c>
      <c r="G18" s="1099"/>
      <c r="H18" s="1100"/>
      <c r="I18" s="1100"/>
      <c r="J18" s="1237" t="str">
        <f>IF(ISBLANK(G18),"",(HDA!$D$4*(G18*(INDEX(TW!WasserSommer,11))+INDEX(TW!WasserSommerKonst,11))+(HDA!$D$5*(G18*(INDEX(TW!WasserWinter,11))+INDEX(TW!WasserWinterKonst,11)))))</f>
        <v/>
      </c>
      <c r="K18" s="1238" t="str">
        <f>IF(ISBLANK(H18),"",(HDA!$D$4*(H18*(INDEX(TW!WasserSommer,11))+INDEX(TW!WasserSommerKonst,11))+(HDA!$D$5*(H18*(INDEX(TW!WasserWinter,11))+INDEX(TW!WasserWinterKonst,11)))))</f>
        <v/>
      </c>
      <c r="L18" s="1239" t="str">
        <f>IF(ISBLANK(I18),"",(HDA!$D$4*(I18*(INDEX(TW!WasserSommer,11))+INDEX(TW!WasserSommerKonst,11))+(HDA!$D$5*(I18*(INDEX(TW!WasserWinter,11))+INDEX(TW!WasserWinterKonst,11)))))</f>
        <v/>
      </c>
    </row>
    <row r="19" spans="1:13" ht="12.75">
      <c r="A19" s="874"/>
      <c r="B19" s="1096" t="str">
        <f>Texte!A1546</f>
        <v>Haushalt:</v>
      </c>
      <c r="C19" s="1097" t="str">
        <f>Texte!A1547</f>
        <v>normale Verhältnisse (Waschmasch., Dusche/Bad, WC)</v>
      </c>
      <c r="D19" s="1243"/>
      <c r="E19" s="1249"/>
      <c r="F19" s="1098" t="str">
        <f>Texte!A1558</f>
        <v>Einwohner</v>
      </c>
      <c r="G19" s="1099"/>
      <c r="H19" s="1100"/>
      <c r="I19" s="1100"/>
      <c r="J19" s="1237" t="str">
        <f>IF(ISBLANK(G19),"",(HDA!$D$4*(G19*(INDEX(TW!WasserSommer,12))+INDEX(TW!WasserSommerKonst,12))+(HDA!$D$5*(G19*(INDEX(TW!WasserWinter,12))+INDEX(TW!WasserWinterKonst,12)))))</f>
        <v/>
      </c>
      <c r="K19" s="1238" t="str">
        <f>IF(ISBLANK(H19),"",(HDA!$D$4*(H19*(INDEX(TW!WasserSommer,12))+INDEX(TW!WasserSommerKonst,12))+(HDA!$D$5*(H19*(INDEX(TW!WasserWinter,12))+INDEX(TW!WasserWinterKonst,12)))))</f>
        <v/>
      </c>
      <c r="L19" s="1239" t="str">
        <f>IF(ISBLANK(I19),"",(HDA!$D$4*(I19*(INDEX(TW!WasserSommer,12))+INDEX(TW!WasserSommerKonst,12))+(HDA!$D$5*(I19*(INDEX(TW!WasserWinter,12))+INDEX(TW!WasserWinterKonst,12)))))</f>
        <v/>
      </c>
    </row>
    <row r="20" spans="1:13" ht="12.75">
      <c r="A20" s="874"/>
      <c r="B20" s="1096"/>
      <c r="C20" s="1097" t="str">
        <f>Texte!A1548</f>
        <v>einfache sanitäre Einrichtungen</v>
      </c>
      <c r="D20" s="1243"/>
      <c r="E20" s="1249"/>
      <c r="F20" s="1098" t="str">
        <f>Texte!A1558</f>
        <v>Einwohner</v>
      </c>
      <c r="G20" s="1099"/>
      <c r="H20" s="1100"/>
      <c r="I20" s="1100"/>
      <c r="J20" s="1237" t="str">
        <f>IF(ISBLANK(G20),"",(HDA!$D$4*(G20*(INDEX(TW!WasserSommer,13))+INDEX(TW!WasserSommerKonst,13))+(HDA!$D$5*(G20*(INDEX(TW!WasserWinter,13))+INDEX(TW!WasserWinterKonst,13)))))</f>
        <v/>
      </c>
      <c r="K20" s="1238" t="str">
        <f>IF(ISBLANK(H20),"",(HDA!$D$4*(H20*(INDEX(TW!WasserSommer,13))+INDEX(TW!WasserSommerKonst,13))+(HDA!$D$5*(H20*(INDEX(TW!WasserWinter,13))+INDEX(TW!WasserWinterKonst,13)))))</f>
        <v/>
      </c>
      <c r="L20" s="1239" t="str">
        <f>IF(ISBLANK(I20),"",(HDA!$D$4*(I20*(INDEX(TW!WasserSommer,13))+INDEX(TW!WasserSommerKonst,13))+(HDA!$D$5*(I20*(INDEX(TW!WasserWinter,13))+INDEX(TW!WasserWinterKonst,13)))))</f>
        <v/>
      </c>
    </row>
    <row r="21" spans="1:13" ht="12.75">
      <c r="A21" s="874"/>
      <c r="B21" s="1096"/>
      <c r="C21" s="1097" t="str">
        <f>Texte!A1549</f>
        <v>Sonderfälle: dauernd deutlich geringerer Abwasseranfall</v>
      </c>
      <c r="D21" s="1243"/>
      <c r="E21" s="1249"/>
      <c r="F21" s="1098" t="str">
        <f>Texte!A1558</f>
        <v>Einwohner</v>
      </c>
      <c r="G21" s="1099"/>
      <c r="H21" s="1100"/>
      <c r="I21" s="1100"/>
      <c r="J21" s="1237" t="str">
        <f>IF(ISBLANK(G21),"",(HDA!$D$4*(G21*(INDEX(TW!WasserSommer,14))+INDEX(TW!WasserSommerKonst,14))+(HDA!$D$5*(G21*(INDEX(TW!WasserWinter,14))+INDEX(TW!WasserWinterKonst,14)))))</f>
        <v/>
      </c>
      <c r="K21" s="1238" t="str">
        <f>IF(ISBLANK(H21),"",(HDA!$D$4*(H21*(INDEX(TW!WasserSommer,14))+INDEX(TW!WasserSommerKonst,14))+(HDA!$D$5*(H21*(INDEX(TW!WasserWinter,14))+INDEX(TW!WasserWinterKonst,14)))))</f>
        <v/>
      </c>
      <c r="L21" s="1239" t="str">
        <f>IF(ISBLANK(I21),"",(HDA!$D$4*(I21*(INDEX(TW!WasserSommer,14))+INDEX(TW!WasserSommerKonst,14))+(HDA!$D$5*(I21*(INDEX(TW!WasserWinter,14))+INDEX(TW!WasserWinterKonst,14)))))</f>
        <v/>
      </c>
    </row>
    <row r="22" spans="1:13" ht="12.75">
      <c r="A22" s="874"/>
      <c r="B22" s="1096" t="str">
        <f>Texte!A1550</f>
        <v>Restauration:</v>
      </c>
      <c r="C22" s="1097" t="str">
        <f>Texte!A1551</f>
        <v>Gastronomie, Partyraum 1)</v>
      </c>
      <c r="D22" s="1244">
        <v>100</v>
      </c>
      <c r="E22" s="1250">
        <v>100</v>
      </c>
      <c r="F22" s="1098" t="str">
        <f>Texte!A1559</f>
        <v>Sitzplatz</v>
      </c>
      <c r="G22" s="1099"/>
      <c r="H22" s="1100"/>
      <c r="I22" s="1100"/>
      <c r="J22" s="1237" t="str">
        <f>IF(ISBLANK(G22),"",(HDA!$D$4*(G22*(INDEX(TW!WasserSommer,15))+INDEX(TW!WasserSommerKonst,15))*$D22/100+(HDA!$D$5*(G22*(INDEX(TW!WasserWinter,15))+INDEX(TW!WasserWinterKonst,15))*$E22/100)))</f>
        <v/>
      </c>
      <c r="K22" s="1238" t="str">
        <f>IF(ISBLANK(H22),"",(HDA!$D$4*(H22*(INDEX(TW!WasserSommer,15))+INDEX(TW!WasserSommerKonst,15))*$D22/100+(HDA!$D$5*(H22*(INDEX(TW!WasserWinter,15))+INDEX(TW!WasserWinterKonst,15))*$E22/100)))</f>
        <v/>
      </c>
      <c r="L22" s="1239" t="str">
        <f>IF(ISBLANK(I22),"",(HDA!$D$4*(I22*(INDEX(TW!WasserSommer,15))+INDEX(TW!WasserSommerKonst,15))*$D22/100+(HDA!$D$5*(I22*(INDEX(TW!WasserWinter,15))+INDEX(TW!WasserWinterKonst,15))*$E22/100)))</f>
        <v/>
      </c>
    </row>
    <row r="23" spans="1:13" ht="12.75">
      <c r="A23" s="874"/>
      <c r="B23" s="1096"/>
      <c r="C23" s="1097" t="str">
        <f>Texte!A1552</f>
        <v>Ferien auf dem Bauernhof 2)</v>
      </c>
      <c r="D23" s="1244">
        <v>100</v>
      </c>
      <c r="E23" s="1250">
        <v>100</v>
      </c>
      <c r="F23" s="1098" t="str">
        <f>Texte!A1560</f>
        <v>Bett</v>
      </c>
      <c r="G23" s="1099"/>
      <c r="H23" s="1100"/>
      <c r="I23" s="1100"/>
      <c r="J23" s="1237" t="str">
        <f>IF(ISBLANK(G23),"",(HDA!$D$4*(G23*(INDEX(TW!WasserSommer,16))+INDEX(TW!WasserSommerKonst,16))*$D23/100+(HDA!$D$5*(G23*(INDEX(TW!WasserWinter,16))+INDEX(TW!WasserWinterKonst,16))*$E23/100)))</f>
        <v/>
      </c>
      <c r="K23" s="1238" t="str">
        <f>IF(ISBLANK(H23),"",(HDA!$D$4*(H23*(INDEX(TW!WasserSommer,16))+INDEX(TW!WasserSommerKonst,16))*$D23/100+(HDA!$D$5*(H23*(INDEX(TW!WasserWinter,16))+INDEX(TW!WasserWinterKonst,16))*$E23/100)))</f>
        <v/>
      </c>
      <c r="L23" s="1239" t="str">
        <f>IF(ISBLANK(I23),"",(HDA!$D$4*(I23*(INDEX(TW!WasserSommer,16))+INDEX(TW!WasserSommerKonst,16))*$D23/100+(HDA!$D$5*(I23*(INDEX(TW!WasserWinter,16))+INDEX(TW!WasserWinterKonst,16))*$E23/100)))</f>
        <v/>
      </c>
    </row>
    <row r="24" spans="1:13" ht="12.75">
      <c r="A24" s="874"/>
      <c r="B24" s="1091"/>
      <c r="C24" s="875" t="str">
        <f>Texte!A1553</f>
        <v>Schlaf im Stroh 2)</v>
      </c>
      <c r="D24" s="1245">
        <v>100</v>
      </c>
      <c r="E24" s="1251">
        <v>100</v>
      </c>
      <c r="F24" s="1102" t="str">
        <f>Texte!A1561</f>
        <v>Schlafplatz</v>
      </c>
      <c r="G24" s="1103"/>
      <c r="H24" s="1104"/>
      <c r="I24" s="1104"/>
      <c r="J24" s="1240" t="str">
        <f>IF(ISBLANK(G24),"",(HDA!$D$4*(G24*(INDEX(TW!WasserSommer,17))+INDEX(TW!WasserSommerKonst,17))*$D24/100+(HDA!$D$5*(G24*(INDEX(TW!WasserWinter,17))+INDEX(TW!WasserWinterKonst,17))*$E24/100)))</f>
        <v/>
      </c>
      <c r="K24" s="1241" t="str">
        <f>IF(ISBLANK(H24),"",(HDA!$D$4*(H24*(INDEX(TW!WasserSommer,17))+INDEX(TW!WasserSommerKonst,17))*$D24/100+(HDA!$D$5*(H24*(INDEX(TW!WasserWinter,17))+INDEX(TW!WasserWinterKonst,17))*$E24/100)))</f>
        <v/>
      </c>
      <c r="L24" s="1242" t="str">
        <f>IF(ISBLANK(I24),"",(HDA!$D$4*(I24*(INDEX(TW!WasserSommer,17))+INDEX(TW!WasserSommerKonst,17))*$D24/100+(HDA!$D$5*(I24*(INDEX(TW!WasserWinter,17))+INDEX(TW!WasserWinterKonst,17))*$E24/100)))</f>
        <v/>
      </c>
    </row>
    <row r="25" spans="1:13">
      <c r="A25" s="874"/>
      <c r="C25" s="874"/>
      <c r="D25" s="874"/>
      <c r="E25" s="874"/>
      <c r="F25" s="874"/>
      <c r="G25" s="874"/>
      <c r="H25" s="874"/>
      <c r="I25" s="874"/>
      <c r="J25" s="1105" t="str">
        <f>IF(COUNT(J8:J24)=0,"",SUM(J8:J24))</f>
        <v/>
      </c>
      <c r="K25" s="1105" t="str">
        <f>IF(COUNT(K8:K24)=0,"",SUM(K8:K24))</f>
        <v/>
      </c>
      <c r="L25" s="1106" t="str">
        <f>IF(COUNT(L8:L24)=0,"",SUM(L8:L24))</f>
        <v/>
      </c>
    </row>
    <row r="26" spans="1:13">
      <c r="B26" s="1253" t="str">
        <f>Texte!A1562</f>
        <v>1) Die hinterlegte Norm gilt für ganzjährigen Betrieb. Saisonalem Betrieb kann durch Wahl der Auslastungen Rechnung getragen werden.</v>
      </c>
      <c r="C26" s="874"/>
      <c r="D26" s="874"/>
      <c r="E26" s="874"/>
      <c r="F26" s="874"/>
      <c r="G26" s="874"/>
      <c r="H26" s="874"/>
      <c r="I26" s="874"/>
      <c r="J26" s="874"/>
      <c r="K26" s="874"/>
      <c r="L26" s="874"/>
    </row>
    <row r="27" spans="1:13" ht="12.75">
      <c r="B27" s="1253" t="str">
        <f>Texte!A1563</f>
        <v>2) Die hinterlegte Norm gilt bei 100 % Belegung. Geringeren Belegungen kann durch Wahl der Auslastungen Rechnung getragen werden.</v>
      </c>
      <c r="G27" s="1108"/>
      <c r="H27" s="1108"/>
      <c r="I27" s="1108"/>
      <c r="J27" s="1108"/>
      <c r="K27" s="1108"/>
      <c r="L27" s="1108"/>
      <c r="M27" s="1108"/>
    </row>
    <row r="28" spans="1:13" ht="12.75">
      <c r="F28" s="1108"/>
      <c r="G28" s="1108"/>
      <c r="H28" s="1108"/>
      <c r="I28" s="1108"/>
      <c r="J28" s="1108"/>
      <c r="K28" s="1108"/>
      <c r="L28" s="1108"/>
      <c r="M28" s="1108"/>
    </row>
    <row r="29" spans="1:13" ht="12.75">
      <c r="M29" s="1108"/>
    </row>
    <row r="36" spans="13:13" ht="12.75">
      <c r="M36" s="1108"/>
    </row>
    <row r="49" spans="13:13" ht="12.75">
      <c r="M49" s="1108"/>
    </row>
  </sheetData>
  <sheetProtection algorithmName="SHA-512" hashValue="wR/Ehcr1B+bD6XAeHNlSr5zHpZEzyH1KkJWBMF/dYBfuTdinr3tOUU9+UqvMUlxudmgKCLa51YU+Y8x68f4v7g==" saltValue="1e+fg0DH2gFpmvU7sG7kXw==" spinCount="100000" sheet="1" objects="1" scenarios="1"/>
  <phoneticPr fontId="0" type="noConversion"/>
  <pageMargins left="0.39370078740157477" right="0.59055118110236215" top="0.55118110236220463" bottom="0.35433070866141736" header="0" footer="0.19685039370078738"/>
  <pageSetup paperSize="9" orientation="landscape" r:id="rId1"/>
  <headerFooter alignWithMargins="0">
    <oddFooter>&amp;C&amp;9&amp;F&amp;R&amp;"Arial,Standard"&amp;9Seite &amp;P&amp;L&amp;"Arial,Fett"&amp;11AGRIDEA &amp;"Arial,Standard"&amp;9 Nachweis Version 9.9</oddFooter>
  </headerFooter>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8">
    <tabColor indexed="43"/>
  </sheetPr>
  <dimension ref="A1:AX134"/>
  <sheetViews>
    <sheetView showGridLines="0" showRowColHeaders="0" showZeros="0" workbookViewId="0">
      <selection activeCell="Y43" sqref="Y43"/>
      <extLst>
        <ext xmlns:xlsdti="http://schemas.microsoft.com/office/spreadsheetml/2023/showDataTypeIcons" uri="{77bfe23e-c014-4d31-8a63-9c772dbf06b6}">
          <xlsdti:showDataTypeIcons visible="0"/>
        </ext>
      </extLst>
    </sheetView>
  </sheetViews>
  <sheetFormatPr baseColWidth="10" defaultColWidth="11.42578125" defaultRowHeight="12.75"/>
  <cols>
    <col min="1" max="1" width="0.85546875" style="872" customWidth="1"/>
    <col min="2" max="2" width="31" style="872" customWidth="1"/>
    <col min="3" max="3" width="7.28515625" style="872" customWidth="1"/>
    <col min="4" max="4" width="8.28515625" style="872" customWidth="1"/>
    <col min="5" max="8" width="6.7109375" style="872" customWidth="1"/>
    <col min="9" max="9" width="5.140625" style="872" hidden="1" customWidth="1"/>
    <col min="10" max="12" width="6.5703125" style="1179" hidden="1" customWidth="1"/>
    <col min="13" max="14" width="10.28515625" style="1179" hidden="1" customWidth="1"/>
    <col min="15" max="20" width="6.5703125" style="1179" hidden="1" customWidth="1"/>
    <col min="21" max="21" width="7.42578125" style="1179" hidden="1" customWidth="1"/>
    <col min="22" max="22" width="6.5703125" style="872" hidden="1" customWidth="1"/>
    <col min="23" max="23" width="7.7109375" style="872" customWidth="1"/>
    <col min="24" max="24" width="8.140625" style="872" customWidth="1"/>
    <col min="25" max="25" width="9" style="872" customWidth="1"/>
    <col min="26" max="31" width="5.7109375" style="872" customWidth="1"/>
    <col min="32" max="37" width="6.7109375" style="872" customWidth="1"/>
    <col min="38" max="38" width="7.28515625" style="872" customWidth="1"/>
    <col min="39" max="39" width="4.7109375" style="692" customWidth="1"/>
    <col min="40" max="50" width="7.42578125" style="692" customWidth="1"/>
    <col min="51" max="16384" width="11.42578125" style="692"/>
  </cols>
  <sheetData>
    <row r="1" spans="1:50" ht="42" customHeight="1">
      <c r="A1" s="692"/>
      <c r="B1" s="19" t="str">
        <f>Q!NW_Tit</f>
        <v xml:space="preserve">                                   Nachweis</v>
      </c>
      <c r="C1" s="450"/>
      <c r="D1" s="450"/>
      <c r="E1" s="359"/>
      <c r="F1" s="359"/>
      <c r="G1" s="359"/>
      <c r="H1" s="359"/>
      <c r="I1" s="359"/>
      <c r="J1" s="1111"/>
      <c r="K1" s="1111"/>
      <c r="L1" s="1111"/>
      <c r="M1" s="1111"/>
      <c r="N1" s="1111"/>
      <c r="O1" s="1111"/>
      <c r="P1" s="1111"/>
      <c r="Q1" s="1111"/>
      <c r="R1" s="1111"/>
      <c r="S1" s="1111"/>
      <c r="T1" s="1111"/>
      <c r="U1" s="1111"/>
      <c r="V1" s="359"/>
      <c r="W1" s="359"/>
      <c r="X1" s="359"/>
      <c r="Y1" s="359"/>
      <c r="Z1" s="30"/>
      <c r="AA1" s="30"/>
      <c r="AB1" s="30"/>
      <c r="AC1" s="30"/>
      <c r="AD1" s="30"/>
      <c r="AE1" s="30"/>
      <c r="AF1" s="30"/>
      <c r="AG1" s="30"/>
      <c r="AH1" s="30"/>
      <c r="AI1" s="30"/>
      <c r="AJ1" s="30"/>
      <c r="AK1" s="30"/>
      <c r="AL1" s="20" t="str">
        <f>Q!F32</f>
        <v>C. Gülle-, Mist- und Nährstoffanfall</v>
      </c>
    </row>
    <row r="2" spans="1:50" ht="10.5" customHeight="1">
      <c r="A2" s="675"/>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c r="AJ2" s="30"/>
      <c r="AK2" s="30"/>
      <c r="AL2" s="30"/>
    </row>
    <row r="3" spans="1:50" ht="12.75" customHeight="1">
      <c r="A3" s="675"/>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row>
    <row r="4" spans="1:50" ht="15.75">
      <c r="B4" s="1112" t="str">
        <f>Texte!A1566</f>
        <v>Tierart</v>
      </c>
      <c r="C4" s="1112" t="str">
        <f>Texte!A1567</f>
        <v>Gehalt je kg Futter</v>
      </c>
      <c r="E4" s="922"/>
      <c r="F4" s="922"/>
      <c r="G4" s="922"/>
      <c r="I4" s="922"/>
      <c r="J4" s="1113"/>
      <c r="K4" s="1113"/>
      <c r="L4" s="1113"/>
      <c r="M4" s="1113"/>
      <c r="N4" s="1113"/>
      <c r="O4" s="1113"/>
      <c r="P4" s="1113"/>
      <c r="Q4" s="1113"/>
      <c r="R4" s="1113"/>
      <c r="S4" s="1113"/>
      <c r="T4" s="1113"/>
      <c r="U4" s="1113"/>
      <c r="V4" s="922"/>
      <c r="W4" s="1107" t="str">
        <f>Texte!A1578</f>
        <v>Pauschalanfall an Nährstoffen aus Import-Export Bilanzen</v>
      </c>
      <c r="X4" s="922"/>
      <c r="Y4"/>
      <c r="Z4" s="922"/>
      <c r="AA4" s="922"/>
      <c r="AB4" s="922"/>
      <c r="AC4" s="922"/>
      <c r="AD4" s="922"/>
      <c r="AE4" s="922"/>
      <c r="AF4" s="922"/>
      <c r="AG4" s="922"/>
      <c r="AH4" s="922"/>
      <c r="AI4" s="922"/>
      <c r="AJ4" s="922"/>
      <c r="AK4" s="922"/>
      <c r="AL4" s="922"/>
      <c r="AM4" s="1264" t="s">
        <v>1311</v>
      </c>
      <c r="AN4" s="1265" t="s">
        <v>5247</v>
      </c>
      <c r="AO4" s="1265"/>
      <c r="AP4" s="1265"/>
      <c r="AQ4" s="1265"/>
      <c r="AR4" s="3431" t="s">
        <v>4603</v>
      </c>
      <c r="AS4" s="3431"/>
      <c r="AT4" s="3431"/>
      <c r="AU4" s="1266" t="s">
        <v>1312</v>
      </c>
      <c r="AV4" s="1266" t="s">
        <v>1313</v>
      </c>
      <c r="AW4" s="1266" t="s">
        <v>1314</v>
      </c>
      <c r="AX4" s="1266" t="s">
        <v>1315</v>
      </c>
    </row>
    <row r="5" spans="1:50" ht="13.5" thickBot="1">
      <c r="B5" s="1114"/>
      <c r="C5" s="1115" t="str">
        <f>Texte!A1568</f>
        <v>MJ VES</v>
      </c>
      <c r="D5" s="1115" t="str">
        <f>Texte!A1569</f>
        <v>g RP</v>
      </c>
      <c r="E5" s="1115" t="str">
        <f>Texte!A1570</f>
        <v>g P</v>
      </c>
      <c r="G5" s="681"/>
      <c r="I5" s="681"/>
      <c r="R5" s="1116"/>
      <c r="S5" s="1116"/>
      <c r="T5" s="1116"/>
      <c r="U5" s="1116"/>
      <c r="V5" s="681"/>
      <c r="W5" s="721"/>
      <c r="X5" s="721"/>
      <c r="Y5" s="721"/>
      <c r="Z5" s="721"/>
      <c r="AA5" s="721"/>
      <c r="AB5" s="721"/>
      <c r="AC5" s="721"/>
      <c r="AD5" s="721"/>
      <c r="AE5" s="721"/>
      <c r="AF5" s="721"/>
      <c r="AG5" s="721"/>
      <c r="AH5" s="721"/>
      <c r="AI5" s="721"/>
      <c r="AJ5" s="721"/>
      <c r="AK5" s="721"/>
      <c r="AL5" s="721"/>
      <c r="AM5" s="1267">
        <v>0</v>
      </c>
      <c r="AN5" s="721" t="s">
        <v>2954</v>
      </c>
      <c r="AO5" s="721"/>
      <c r="AP5" s="721"/>
      <c r="AQ5" s="721"/>
      <c r="AR5" s="1268" t="s">
        <v>2955</v>
      </c>
      <c r="AS5" s="1269" t="s">
        <v>2956</v>
      </c>
      <c r="AT5" s="1269" t="s">
        <v>2956</v>
      </c>
      <c r="AU5" s="1270" t="s">
        <v>3036</v>
      </c>
      <c r="AV5" s="1271" t="s">
        <v>3037</v>
      </c>
      <c r="AW5" s="1272">
        <v>1</v>
      </c>
      <c r="AX5" s="1272">
        <v>1</v>
      </c>
    </row>
    <row r="6" spans="1:50">
      <c r="B6" s="872" t="str">
        <f>Texte!A1571</f>
        <v>Zuchtsauen säugend</v>
      </c>
      <c r="C6" s="1186">
        <f>D_Tierb!AK67</f>
        <v>13.7</v>
      </c>
      <c r="D6" s="1187">
        <f>D_Tierb!AI67</f>
        <v>180</v>
      </c>
      <c r="E6" s="1188">
        <f>D_Tierb!AM67</f>
        <v>6</v>
      </c>
      <c r="G6" s="681"/>
      <c r="H6" s="1179"/>
      <c r="I6" s="681"/>
      <c r="R6" s="1116"/>
      <c r="S6" s="1116"/>
      <c r="T6" s="1116"/>
      <c r="U6" s="1116"/>
      <c r="V6" s="681"/>
      <c r="W6" s="1310" t="str">
        <f>Texte!A1581</f>
        <v>Nährstoff-Anfall pauschal</v>
      </c>
      <c r="X6" s="1311"/>
      <c r="Y6" s="1311"/>
      <c r="Z6" s="1311"/>
      <c r="AA6" s="1311"/>
      <c r="AB6" s="1311"/>
      <c r="AC6" s="1311"/>
      <c r="AD6" s="1311"/>
      <c r="AE6" s="1311"/>
      <c r="AF6" s="1312" t="str">
        <f>Texte!A1582</f>
        <v>Lagerung 1)</v>
      </c>
      <c r="AG6" s="1311"/>
      <c r="AH6" s="1311"/>
      <c r="AI6" s="1311"/>
      <c r="AJ6" s="1312" t="str">
        <f>Texte!A1583</f>
        <v>Hofdüngertyp</v>
      </c>
      <c r="AK6" s="1311"/>
      <c r="AL6" s="1313"/>
      <c r="AM6" s="1267">
        <v>1</v>
      </c>
      <c r="AN6" s="721" t="s">
        <v>6223</v>
      </c>
      <c r="AO6" s="721"/>
      <c r="AP6" s="721"/>
      <c r="AQ6" s="721"/>
      <c r="AR6" s="1273">
        <f>D_Tierb!AP67</f>
        <v>13.7</v>
      </c>
      <c r="AS6" s="1269">
        <f>D_Tierb!AN67</f>
        <v>180</v>
      </c>
      <c r="AT6" s="1269">
        <f>D_Tierb!AO67</f>
        <v>6</v>
      </c>
      <c r="AU6" s="1270">
        <v>7.1999999999999998E-3</v>
      </c>
      <c r="AV6" s="1271">
        <v>0.18</v>
      </c>
      <c r="AW6" s="1272">
        <f t="shared" ref="AW6:AW11" si="0">1+(D6*AR6/C6-AS6)*AU6</f>
        <v>1</v>
      </c>
      <c r="AX6" s="1272">
        <f t="shared" ref="AX6:AX11" si="1">1+(E6*AR6/C6-AT6)*AV6</f>
        <v>0.99999999999999989</v>
      </c>
    </row>
    <row r="7" spans="1:50" ht="16.5" thickBot="1">
      <c r="B7" s="872" t="str">
        <f>Texte!A1572</f>
        <v>Zuchtsauen, nicht säugend</v>
      </c>
      <c r="C7" s="1186">
        <f>D_Tierb!AK68</f>
        <v>12.1</v>
      </c>
      <c r="D7" s="1187">
        <f>D_Tierb!AI68</f>
        <v>145</v>
      </c>
      <c r="E7" s="1188">
        <f>D_Tierb!AM68</f>
        <v>6</v>
      </c>
      <c r="G7" s="681"/>
      <c r="H7" s="1179"/>
      <c r="I7" s="681"/>
      <c r="R7" s="1116"/>
      <c r="S7" s="1116"/>
      <c r="T7" s="1116"/>
      <c r="U7" s="1116"/>
      <c r="V7" s="681"/>
      <c r="W7" s="1234" t="str">
        <f>Texte!A1584</f>
        <v>Ngesamt</v>
      </c>
      <c r="X7" s="1110" t="str">
        <f>Texte!A1585</f>
        <v>Nverf (Ack.b.)</v>
      </c>
      <c r="Y7" s="1110" t="str">
        <f>Texte!A1586</f>
        <v>Nverf (Fu.b.)</v>
      </c>
      <c r="Z7" s="1231" t="s">
        <v>5216</v>
      </c>
      <c r="AA7" s="1232"/>
      <c r="AB7" s="1231" t="s">
        <v>5217</v>
      </c>
      <c r="AC7" s="1232"/>
      <c r="AD7" s="1231" t="s">
        <v>7031</v>
      </c>
      <c r="AE7" s="1232"/>
      <c r="AF7" s="1231" t="str">
        <f>Texte!A1587</f>
        <v>Güllegrube</v>
      </c>
      <c r="AG7" s="1232"/>
      <c r="AH7" s="1231" t="str">
        <f>Texte!A1588</f>
        <v>Mistplatz</v>
      </c>
      <c r="AI7" s="1232"/>
      <c r="AJ7" s="1292"/>
      <c r="AK7" s="1308"/>
      <c r="AL7" s="1309"/>
      <c r="AM7" s="1267">
        <v>2</v>
      </c>
      <c r="AN7" s="721" t="s">
        <v>204</v>
      </c>
      <c r="AO7" s="721"/>
      <c r="AP7" s="721"/>
      <c r="AQ7" s="721"/>
      <c r="AR7" s="1273">
        <f>D_Tierb!AP68</f>
        <v>12.1</v>
      </c>
      <c r="AS7" s="1269">
        <f>D_Tierb!AN68</f>
        <v>145</v>
      </c>
      <c r="AT7" s="1269">
        <f>D_Tierb!AO68</f>
        <v>6</v>
      </c>
      <c r="AU7" s="1270">
        <v>7.1999999999999998E-3</v>
      </c>
      <c r="AV7" s="1271">
        <v>0.18</v>
      </c>
      <c r="AW7" s="1272">
        <f t="shared" si="0"/>
        <v>1</v>
      </c>
      <c r="AX7" s="1272">
        <f t="shared" si="1"/>
        <v>1</v>
      </c>
    </row>
    <row r="8" spans="1:50">
      <c r="B8" s="872" t="str">
        <f>Texte!A1573</f>
        <v>Ferkel</v>
      </c>
      <c r="C8" s="1186">
        <f>D_Tierb!AK69</f>
        <v>13.7</v>
      </c>
      <c r="D8" s="1187">
        <f>D_Tierb!AI69</f>
        <v>177</v>
      </c>
      <c r="E8" s="1188">
        <f>D_Tierb!AJ69</f>
        <v>5.7</v>
      </c>
      <c r="G8" s="681"/>
      <c r="H8" s="1179"/>
      <c r="I8" s="681"/>
      <c r="R8" s="1116"/>
      <c r="S8" s="1116"/>
      <c r="T8" s="1116"/>
      <c r="U8" s="1116"/>
      <c r="V8" s="681"/>
      <c r="W8" s="1300">
        <f>D_Tierb!BI73</f>
        <v>0</v>
      </c>
      <c r="X8" s="1301">
        <f>W8*0.5</f>
        <v>0</v>
      </c>
      <c r="Y8" s="1301">
        <f>W8*0.6</f>
        <v>0</v>
      </c>
      <c r="Z8" s="1302">
        <f>D_Tierb!BJ73</f>
        <v>0</v>
      </c>
      <c r="AA8" s="1303"/>
      <c r="AB8" s="1302">
        <f>D_Tierb!BK73</f>
        <v>0</v>
      </c>
      <c r="AC8" s="1303"/>
      <c r="AD8" s="1302">
        <f>D_Tierb!BL73</f>
        <v>0</v>
      </c>
      <c r="AE8" s="1303"/>
      <c r="AF8" s="1304">
        <v>1</v>
      </c>
      <c r="AG8" s="1305"/>
      <c r="AH8" s="1304">
        <v>1</v>
      </c>
      <c r="AI8" s="1305"/>
      <c r="AJ8" s="1289" t="str">
        <f>Texte!A1579</f>
        <v>Schweinegülle, Schweinemist</v>
      </c>
      <c r="AK8" s="1109"/>
      <c r="AL8" s="1233"/>
      <c r="AM8" s="1267">
        <v>3</v>
      </c>
      <c r="AN8" s="721" t="s">
        <v>6595</v>
      </c>
      <c r="AO8" s="721"/>
      <c r="AP8" s="721"/>
      <c r="AQ8" s="721"/>
      <c r="AR8" s="1273">
        <f>D_Tierb!AP69</f>
        <v>13.7</v>
      </c>
      <c r="AS8" s="1269">
        <f>D_Tierb!AN69</f>
        <v>177</v>
      </c>
      <c r="AT8" s="1269">
        <f>D_Tierb!AO69</f>
        <v>5.7</v>
      </c>
      <c r="AU8" s="1270">
        <v>8.9999999999999993E-3</v>
      </c>
      <c r="AV8" s="1271">
        <v>0.18</v>
      </c>
      <c r="AW8" s="1272">
        <f t="shared" si="0"/>
        <v>1.0000000000000002</v>
      </c>
      <c r="AX8" s="1272">
        <f t="shared" si="1"/>
        <v>1</v>
      </c>
    </row>
    <row r="9" spans="1:50" ht="13.5" thickBot="1">
      <c r="B9" s="872" t="str">
        <f>Texte!A1574</f>
        <v>Mastschweine 26 -100 kg LG</v>
      </c>
      <c r="C9" s="1186">
        <f>D_Tierb!AK65</f>
        <v>14</v>
      </c>
      <c r="D9" s="1187">
        <f>D_Tierb!AI65</f>
        <v>170</v>
      </c>
      <c r="E9" s="1188">
        <f>D_Tierb!AJ65</f>
        <v>5.2</v>
      </c>
      <c r="G9" s="681"/>
      <c r="H9" s="1179"/>
      <c r="I9" s="681"/>
      <c r="R9" s="1116"/>
      <c r="S9" s="1116"/>
      <c r="T9" s="1116"/>
      <c r="U9" s="1116"/>
      <c r="V9" s="681"/>
      <c r="W9" s="1293">
        <f>D_Tierb!AZ62</f>
        <v>0</v>
      </c>
      <c r="X9" s="1294">
        <f>W9*0.5</f>
        <v>0</v>
      </c>
      <c r="Y9" s="1294">
        <f>W9*0.6</f>
        <v>0</v>
      </c>
      <c r="Z9" s="1295">
        <f>D_Tierb!BA62</f>
        <v>0</v>
      </c>
      <c r="AA9" s="1296"/>
      <c r="AB9" s="1295">
        <f>D_Tierb!BK62</f>
        <v>0</v>
      </c>
      <c r="AC9" s="1296"/>
      <c r="AD9" s="1295">
        <f>D_Tierb!BL62</f>
        <v>0</v>
      </c>
      <c r="AE9" s="1296"/>
      <c r="AF9" s="1297"/>
      <c r="AG9" s="1298"/>
      <c r="AH9" s="1299">
        <v>1</v>
      </c>
      <c r="AI9" s="1307"/>
      <c r="AJ9" s="1306" t="str">
        <f>Texte!A1580</f>
        <v>Kaninchenmist</v>
      </c>
      <c r="AK9" s="1290"/>
      <c r="AL9" s="1291"/>
      <c r="AM9" s="1267">
        <v>4</v>
      </c>
      <c r="AN9" s="721" t="s">
        <v>7339</v>
      </c>
      <c r="AO9" s="721"/>
      <c r="AP9" s="721"/>
      <c r="AQ9" s="721"/>
      <c r="AR9" s="1273">
        <f>D_Tierb!AP65</f>
        <v>14</v>
      </c>
      <c r="AS9" s="1269">
        <f>D_Tierb!AN65</f>
        <v>170</v>
      </c>
      <c r="AT9" s="1269">
        <f>D_Tierb!AO65</f>
        <v>5.2</v>
      </c>
      <c r="AU9" s="1270">
        <v>7.1999999999999998E-3</v>
      </c>
      <c r="AV9" s="1271">
        <v>0.22500000000000001</v>
      </c>
      <c r="AW9" s="1272">
        <f t="shared" si="0"/>
        <v>1</v>
      </c>
      <c r="AX9" s="1272">
        <f t="shared" si="1"/>
        <v>1</v>
      </c>
    </row>
    <row r="10" spans="1:50">
      <c r="B10" s="872" t="str">
        <f>Texte!A1575</f>
        <v>Zuchteber</v>
      </c>
      <c r="C10" s="1186">
        <f>D_Tierb!AK66</f>
        <v>12.9</v>
      </c>
      <c r="D10" s="1187">
        <f>D_Tierb!AI66</f>
        <v>171</v>
      </c>
      <c r="E10" s="1188">
        <f>D_Tierb!AJ66</f>
        <v>5.9</v>
      </c>
      <c r="G10" s="681"/>
      <c r="H10" s="1179"/>
      <c r="I10" s="681"/>
      <c r="R10" s="1116"/>
      <c r="S10" s="1116"/>
      <c r="T10" s="1116"/>
      <c r="U10" s="1116"/>
      <c r="V10" s="681"/>
      <c r="X10" s="922"/>
      <c r="Y10" s="922"/>
      <c r="Z10" s="922"/>
      <c r="AA10" s="922"/>
      <c r="AB10" s="922"/>
      <c r="AC10" s="922"/>
      <c r="AD10" s="922"/>
      <c r="AE10" s="922"/>
      <c r="AF10" s="922"/>
      <c r="AG10" s="922"/>
      <c r="AH10" s="922"/>
      <c r="AI10" s="922"/>
      <c r="AJ10" s="922"/>
      <c r="AK10" s="922"/>
      <c r="AL10" s="922"/>
      <c r="AM10" s="1267">
        <v>5</v>
      </c>
      <c r="AN10" s="721" t="s">
        <v>6332</v>
      </c>
      <c r="AO10" s="721"/>
      <c r="AP10" s="721"/>
      <c r="AQ10" s="721"/>
      <c r="AR10" s="1273">
        <f>D_Tierb!AP66</f>
        <v>12.9</v>
      </c>
      <c r="AS10" s="1269">
        <f>D_Tierb!AN66</f>
        <v>171</v>
      </c>
      <c r="AT10" s="1269">
        <f>D_Tierb!AO66</f>
        <v>5.9</v>
      </c>
      <c r="AU10" s="1270">
        <v>7.1999999999999998E-3</v>
      </c>
      <c r="AV10" s="1271">
        <v>0.18</v>
      </c>
      <c r="AW10" s="1272">
        <f t="shared" si="0"/>
        <v>1</v>
      </c>
      <c r="AX10" s="1272">
        <f t="shared" si="1"/>
        <v>1.0000000000000002</v>
      </c>
    </row>
    <row r="11" spans="1:50">
      <c r="B11" s="872" t="str">
        <f>Texte!A1576</f>
        <v>Zuchtschweine inkl. Ferkel</v>
      </c>
      <c r="C11" s="1186">
        <f>D_Tierb!AK64</f>
        <v>13.212</v>
      </c>
      <c r="D11" s="1187">
        <f>D_Tierb!AI64</f>
        <v>173.34</v>
      </c>
      <c r="E11" s="1188">
        <f>D_Tierb!AJ64</f>
        <v>5.8220000000000001</v>
      </c>
      <c r="G11" s="681"/>
      <c r="H11" s="1179"/>
      <c r="I11" s="681"/>
      <c r="R11" s="1116"/>
      <c r="S11" s="1116"/>
      <c r="T11" s="1116"/>
      <c r="U11" s="1116"/>
      <c r="V11" s="681"/>
      <c r="W11" s="1191" t="str">
        <f>Texte!A1589</f>
        <v>1) Die Lagerplätze der I/E-Bilanz und der beteiligten Tierkategorien (Blatt "HDA") müssen übereinstimmen.</v>
      </c>
      <c r="X11" s="922"/>
      <c r="Y11" s="922"/>
      <c r="Z11" s="922"/>
      <c r="AA11" s="922"/>
      <c r="AB11" s="922"/>
      <c r="AC11" s="922"/>
      <c r="AD11" s="922"/>
      <c r="AE11" s="922"/>
      <c r="AF11" s="922"/>
      <c r="AG11" s="922"/>
      <c r="AH11" s="922"/>
      <c r="AI11" s="922"/>
      <c r="AJ11" s="922"/>
      <c r="AK11" s="922"/>
      <c r="AL11" s="922"/>
      <c r="AM11" s="1267">
        <v>6</v>
      </c>
      <c r="AN11" s="721" t="s">
        <v>7173</v>
      </c>
      <c r="AO11" s="721"/>
      <c r="AP11" s="721"/>
      <c r="AQ11" s="721"/>
      <c r="AR11" s="1273">
        <f>(2*(0.4*AR6+0.6*AR7)+AR8)/3</f>
        <v>13.06</v>
      </c>
      <c r="AS11" s="1269">
        <f>(2*(0.4*AS6+0.6*AS7)+AS8)/3</f>
        <v>165</v>
      </c>
      <c r="AT11" s="1269">
        <f>(2*(0.4*AT6+0.6*AT7)+AT8)/3</f>
        <v>5.8999999999999995</v>
      </c>
      <c r="AU11" s="1270">
        <f>(2*(0.4*AU6+0.6*AU7)+AU8)/3</f>
        <v>7.7999999999999988E-3</v>
      </c>
      <c r="AV11" s="1271">
        <f>(2*(0.4*AV6+0.6*AV7)+AV8)/3</f>
        <v>0.18000000000000002</v>
      </c>
      <c r="AW11" s="1272">
        <f t="shared" si="0"/>
        <v>1.0494970572207085</v>
      </c>
      <c r="AX11" s="1272">
        <f t="shared" si="1"/>
        <v>0.97390354223433251</v>
      </c>
    </row>
    <row r="12" spans="1:50" ht="12.75" customHeight="1">
      <c r="B12" s="872" t="str">
        <f>Texte!A1577</f>
        <v>Lege- &amp; Zuchthennen, Zuchthähne</v>
      </c>
      <c r="C12" s="1186">
        <f>D_Tierb!AK74</f>
        <v>11.6</v>
      </c>
      <c r="D12" s="1187">
        <f>D_Tierb!AI74</f>
        <v>180</v>
      </c>
      <c r="E12" s="1188">
        <f>D_Tierb!AJ74</f>
        <v>5.7</v>
      </c>
      <c r="G12" s="922"/>
      <c r="H12" s="1113"/>
      <c r="I12" s="922"/>
      <c r="J12" s="1113"/>
      <c r="K12" s="1113"/>
      <c r="L12" s="1113"/>
      <c r="M12" s="1113"/>
      <c r="N12" s="1113"/>
      <c r="O12" s="1113"/>
      <c r="P12" s="1113"/>
      <c r="Q12" s="1113"/>
      <c r="R12" s="1113"/>
      <c r="S12" s="1113"/>
      <c r="T12" s="1113"/>
      <c r="U12" s="1113"/>
      <c r="V12" s="922"/>
      <c r="W12" s="1191" t="str">
        <f>Texte!A1590</f>
        <v xml:space="preserve">    Für nicht an der I/E-Bilanz beteiligte Kategorien derselben Tiergattung dürfen diese Nummern nicht verwendet werden. </v>
      </c>
      <c r="X12" s="922"/>
      <c r="Y12" s="922"/>
      <c r="Z12" s="922"/>
      <c r="AA12" s="922"/>
      <c r="AB12" s="922"/>
      <c r="AC12" s="922"/>
      <c r="AD12" s="922"/>
      <c r="AE12" s="922"/>
      <c r="AF12" s="922"/>
      <c r="AG12" s="922"/>
      <c r="AH12" s="922"/>
      <c r="AI12" s="922"/>
      <c r="AJ12" s="922"/>
      <c r="AK12" s="922"/>
      <c r="AL12" s="922"/>
      <c r="AM12" s="1267">
        <v>7</v>
      </c>
      <c r="AN12" s="721" t="s">
        <v>7174</v>
      </c>
      <c r="AO12" s="721"/>
      <c r="AP12" s="721"/>
      <c r="AQ12" s="721"/>
      <c r="AR12" s="1273">
        <f>D_Tierb!AP74</f>
        <v>11.6</v>
      </c>
      <c r="AS12" s="1269">
        <f>D_Tierb!AN74</f>
        <v>180</v>
      </c>
      <c r="AT12" s="1269">
        <f>D_Tierb!AO74</f>
        <v>5.7</v>
      </c>
      <c r="AU12" s="1270">
        <v>8.0000000000000002E-3</v>
      </c>
      <c r="AV12" s="1271">
        <v>0.2</v>
      </c>
      <c r="AW12" s="1272">
        <f>1+(D12-AS12)*AU12</f>
        <v>1</v>
      </c>
      <c r="AX12" s="1272">
        <f>1+(E12-AT12)*AV12</f>
        <v>1</v>
      </c>
    </row>
    <row r="13" spans="1:50" ht="12.75" customHeight="1">
      <c r="B13" s="922"/>
      <c r="C13" s="922"/>
      <c r="D13" s="922"/>
      <c r="E13" s="922"/>
      <c r="F13" s="922"/>
      <c r="G13" s="922"/>
      <c r="H13" s="922"/>
      <c r="I13" s="922"/>
      <c r="J13" s="1113"/>
      <c r="K13" s="1113"/>
      <c r="L13" s="1113"/>
      <c r="M13" s="1113"/>
      <c r="N13" s="1113"/>
      <c r="O13" s="1113"/>
      <c r="P13" s="1113"/>
      <c r="Q13" s="1113"/>
      <c r="R13" s="1113"/>
      <c r="S13" s="1113"/>
      <c r="T13" s="1113"/>
      <c r="U13" s="1113"/>
      <c r="V13" s="922"/>
      <c r="X13" s="922"/>
      <c r="Y13" s="922"/>
      <c r="Z13" s="922"/>
      <c r="AA13" s="922"/>
      <c r="AB13" s="922"/>
      <c r="AC13" s="922"/>
      <c r="AD13" s="922"/>
      <c r="AE13" s="922"/>
      <c r="AF13" s="922"/>
      <c r="AG13" s="922"/>
      <c r="AH13" s="922"/>
      <c r="AI13" s="922"/>
      <c r="AJ13" s="922"/>
      <c r="AK13" s="922"/>
      <c r="AL13" s="922"/>
      <c r="AM13" s="1117"/>
      <c r="AN13" s="959"/>
      <c r="AO13" s="959"/>
      <c r="AP13" s="959"/>
      <c r="AQ13" s="959"/>
      <c r="AR13" s="959"/>
      <c r="AS13" s="1118"/>
      <c r="AT13" s="1118"/>
      <c r="AU13" s="1119"/>
      <c r="AV13" s="1120"/>
      <c r="AW13" s="1121"/>
      <c r="AX13" s="1121"/>
    </row>
    <row r="14" spans="1:50" ht="12.75" customHeight="1">
      <c r="B14" s="414" t="str">
        <f>Texte!A1591</f>
        <v>Güllegrube 1</v>
      </c>
      <c r="C14" s="922"/>
      <c r="D14" s="922"/>
      <c r="E14" s="922"/>
      <c r="F14" s="922"/>
      <c r="G14" s="922"/>
      <c r="H14" s="922"/>
      <c r="I14" s="922"/>
      <c r="J14" s="1113"/>
      <c r="K14" s="1113"/>
      <c r="L14" s="1113"/>
      <c r="M14" s="1113"/>
      <c r="N14" s="1113"/>
      <c r="O14" s="1113"/>
      <c r="P14" s="1113"/>
      <c r="Q14" s="1113"/>
      <c r="R14" s="1113"/>
      <c r="S14" s="1113"/>
      <c r="T14" s="1113"/>
      <c r="U14" s="1113"/>
      <c r="V14" s="922"/>
      <c r="AM14" s="1117"/>
      <c r="AS14" s="1118"/>
      <c r="AT14" s="1118"/>
      <c r="AU14" s="1119"/>
      <c r="AV14" s="1120"/>
      <c r="AW14" s="1121"/>
      <c r="AX14" s="1121"/>
    </row>
    <row r="15" spans="1:50" ht="6" customHeight="1">
      <c r="B15" s="57"/>
      <c r="C15" s="183"/>
      <c r="D15" s="183"/>
      <c r="E15" s="125"/>
      <c r="F15" s="125"/>
      <c r="G15" s="125"/>
      <c r="H15" s="125"/>
      <c r="I15" s="125"/>
      <c r="J15" s="1122"/>
      <c r="K15" s="1122"/>
      <c r="L15" s="1122"/>
      <c r="M15" s="1122"/>
      <c r="N15" s="1122"/>
      <c r="O15" s="1122"/>
      <c r="P15" s="1122"/>
      <c r="Q15" s="1122"/>
      <c r="R15" s="1122"/>
      <c r="S15" s="1122"/>
      <c r="T15" s="1122"/>
      <c r="U15" s="1122"/>
      <c r="V15" s="125"/>
      <c r="W15" s="125"/>
      <c r="X15" s="125"/>
      <c r="Y15" s="125"/>
      <c r="Z15" s="57"/>
      <c r="AA15" s="57"/>
      <c r="AB15" s="57"/>
      <c r="AC15" s="57"/>
      <c r="AD15" s="57"/>
      <c r="AE15" s="57"/>
      <c r="AF15" s="57"/>
      <c r="AG15" s="57"/>
      <c r="AH15" s="57"/>
      <c r="AI15" s="57"/>
      <c r="AJ15" s="57"/>
      <c r="AK15" s="57"/>
      <c r="AL15" s="57"/>
    </row>
    <row r="16" spans="1:50" ht="13.5">
      <c r="B16" s="1123"/>
      <c r="C16" s="1124" t="str">
        <f>Texte!$A$1593</f>
        <v>Anzahl</v>
      </c>
      <c r="D16" s="1124"/>
      <c r="E16" s="1125"/>
      <c r="F16" s="1125"/>
      <c r="G16" s="1125" t="str">
        <f>Texte!$A$1602</f>
        <v>Anzahl</v>
      </c>
      <c r="H16" s="1125"/>
      <c r="I16" s="1125" t="str">
        <f>Texte!$A$1611</f>
        <v>Tier-</v>
      </c>
      <c r="J16" s="1127" t="str">
        <f>Texte!$A$1614</f>
        <v>Strohbed.</v>
      </c>
      <c r="K16" s="1127" t="str">
        <f>Texte!$A$1618</f>
        <v>Mistanf.</v>
      </c>
      <c r="L16" s="1127" t="str">
        <f>Texte!$A$1622</f>
        <v>Gülleanf.</v>
      </c>
      <c r="M16" s="1127" t="str">
        <f>Texte!$A$1626</f>
        <v>Wasser im</v>
      </c>
      <c r="N16" s="1127" t="str">
        <f>Texte!$A$1626</f>
        <v>Wasser im</v>
      </c>
      <c r="O16" s="1127"/>
      <c r="P16" s="1127"/>
      <c r="Q16" s="191"/>
      <c r="R16" s="191"/>
      <c r="S16" s="191"/>
      <c r="T16" s="564"/>
      <c r="U16" s="1126" t="str">
        <f>Texte!$A$1636</f>
        <v>Sch-</v>
      </c>
      <c r="V16" s="1125" t="str">
        <f>Texte!$A$1640</f>
        <v>Sch-</v>
      </c>
      <c r="W16" s="1125" t="str">
        <f>Texte!$A$1643</f>
        <v>Einh.</v>
      </c>
      <c r="X16" s="1127" t="str">
        <f>Texte!$A$1647</f>
        <v>Gülleanf.</v>
      </c>
      <c r="Y16" s="1125" t="str">
        <f>Texte!$A$1651</f>
        <v>Gülleanfall</v>
      </c>
      <c r="Z16" s="191"/>
      <c r="AA16" s="191"/>
      <c r="AB16" s="191"/>
      <c r="AC16" s="191"/>
      <c r="AD16" s="191"/>
      <c r="AE16" s="564"/>
      <c r="AF16" s="191"/>
      <c r="AG16" s="191"/>
      <c r="AH16" s="191"/>
      <c r="AI16" s="191"/>
      <c r="AJ16" s="191"/>
      <c r="AK16" s="564"/>
      <c r="AL16" s="1128" t="str">
        <f>Texte!$A$1660</f>
        <v>Wasser</v>
      </c>
      <c r="AN16" s="959" t="str">
        <f>Texte!A1664</f>
        <v>Wasserbedarf pro GVE</v>
      </c>
      <c r="AO16" s="959"/>
      <c r="AP16" s="959"/>
      <c r="AQ16" s="3431">
        <v>0.5</v>
      </c>
      <c r="AR16" s="3431"/>
    </row>
    <row r="17" spans="2:44" ht="13.5">
      <c r="B17" s="541" t="str">
        <f>Texte!$A$1592</f>
        <v>Tierart, Tierplatzkategorie</v>
      </c>
      <c r="C17" s="1129" t="str">
        <f>Texte!$A$1594</f>
        <v>Tiere /</v>
      </c>
      <c r="D17" s="1129" t="str">
        <f>Texte!$A$1596</f>
        <v>Zuschlag</v>
      </c>
      <c r="E17" s="1130" t="str">
        <f>Texte!$A$1598</f>
        <v>Laufhof-</v>
      </c>
      <c r="F17" s="1130" t="str">
        <f>Texte!$A$1600</f>
        <v>Weide-</v>
      </c>
      <c r="G17" s="1130" t="str">
        <f>Texte!$A$1603</f>
        <v>Tiere /</v>
      </c>
      <c r="H17" s="1130" t="str">
        <f>Texte!$A$1606</f>
        <v>Faktor</v>
      </c>
      <c r="I17" s="1130" t="str">
        <f>Texte!$A$1612</f>
        <v>art-</v>
      </c>
      <c r="J17" s="1132" t="str">
        <f>Texte!$A$1615</f>
        <v>pro</v>
      </c>
      <c r="K17" s="1132" t="str">
        <f>Texte!$A$1619</f>
        <v>pro</v>
      </c>
      <c r="L17" s="1132" t="str">
        <f>Texte!$A$1623</f>
        <v>pro</v>
      </c>
      <c r="M17" s="1132" t="str">
        <f>Texte!$A$1627</f>
        <v>Sommer/</v>
      </c>
      <c r="N17" s="1132" t="str">
        <f>Texte!$A$1628</f>
        <v>Winter/</v>
      </c>
      <c r="O17" s="1132" t="str">
        <f>Texte!$A$1630</f>
        <v>Mist-</v>
      </c>
      <c r="P17" s="1132" t="str">
        <f>Texte!$A$1632</f>
        <v>Gülle-</v>
      </c>
      <c r="Q17" s="223" t="str">
        <f>Texte!$A$1634</f>
        <v>Gülleanteil an Nährstoffen</v>
      </c>
      <c r="R17" s="223"/>
      <c r="S17" s="223"/>
      <c r="T17" s="1133"/>
      <c r="U17" s="1131" t="str">
        <f>Texte!$A$1637</f>
        <v>wemm-</v>
      </c>
      <c r="V17" s="1130" t="str">
        <f>Texte!$A$1641</f>
        <v>weine</v>
      </c>
      <c r="W17" s="1130" t="str">
        <f>Texte!$A$1644</f>
        <v>total</v>
      </c>
      <c r="X17" s="1132" t="str">
        <f>Texte!$A$1648</f>
        <v>pro</v>
      </c>
      <c r="Y17" s="1130" t="str">
        <f>Texte!$A$1652</f>
        <v>total</v>
      </c>
      <c r="Z17" s="223" t="str">
        <f>Texte!$A$1654</f>
        <v>Gehalte in kg je m³ Gülle</v>
      </c>
      <c r="AA17" s="223"/>
      <c r="AB17" s="223"/>
      <c r="AC17" s="223"/>
      <c r="AD17" s="223"/>
      <c r="AE17" s="1133"/>
      <c r="AF17" s="223" t="str">
        <f>Texte!$A$1659</f>
        <v>Nährstoffanfall in der Gülle</v>
      </c>
      <c r="AG17" s="223"/>
      <c r="AH17" s="223"/>
      <c r="AI17" s="223"/>
      <c r="AJ17" s="223"/>
      <c r="AK17" s="1133"/>
      <c r="AL17" s="1134" t="str">
        <f>Texte!$A$1661</f>
        <v>Stall-</v>
      </c>
      <c r="AN17"/>
      <c r="AO17"/>
      <c r="AP17"/>
      <c r="AQ17"/>
      <c r="AR17"/>
    </row>
    <row r="18" spans="2:44" ht="13.5">
      <c r="B18" s="541"/>
      <c r="C18" s="1129" t="str">
        <f>Texte!$A$1595</f>
        <v>Plätze</v>
      </c>
      <c r="D18" s="1129" t="str">
        <f>Texte!$A$1597</f>
        <v>/ Abzug</v>
      </c>
      <c r="E18" s="1130" t="str">
        <f>Texte!$A$1599</f>
        <v>abzug</v>
      </c>
      <c r="F18" s="1130" t="str">
        <f>Texte!$A$1601</f>
        <v>abzug</v>
      </c>
      <c r="G18" s="1130" t="str">
        <f>Texte!$A$1604</f>
        <v>Plätze</v>
      </c>
      <c r="H18" s="1130"/>
      <c r="I18" s="1130" t="str">
        <f>Texte!$A$1613</f>
        <v>Index</v>
      </c>
      <c r="J18" s="1132" t="str">
        <f>Texte!$A$1616</f>
        <v>Tier/Platz</v>
      </c>
      <c r="K18" s="1132" t="str">
        <f>Texte!$A$1620</f>
        <v>Tier/Platz</v>
      </c>
      <c r="L18" s="1132" t="str">
        <f>Texte!$A$1624</f>
        <v>Tier/Platz</v>
      </c>
      <c r="M18" s="1132" t="str">
        <f>Texte!$A$1629</f>
        <v>GVE/MSP/LHP</v>
      </c>
      <c r="N18" s="1132" t="str">
        <f>Texte!$A$1629</f>
        <v>GVE/MSP/LHP</v>
      </c>
      <c r="O18" s="1132" t="str">
        <f>Texte!$A$1631</f>
        <v>Typ</v>
      </c>
      <c r="P18" s="1132" t="str">
        <f>Texte!$A$1633</f>
        <v>Typ</v>
      </c>
      <c r="Q18" s="57"/>
      <c r="R18" s="1135"/>
      <c r="S18" s="1135"/>
      <c r="T18" s="548"/>
      <c r="U18" s="1131" t="str">
        <f>Texte!$A$1638</f>
        <v>ent-</v>
      </c>
      <c r="V18" s="1130" t="str">
        <f>Texte!$A$1642</f>
        <v>Gülle</v>
      </c>
      <c r="W18" s="1132" t="str">
        <f>Texte!$A$1645</f>
        <v>GVE/</v>
      </c>
      <c r="X18" s="1132" t="str">
        <f>Texte!$A$1649</f>
        <v>Tier/Platz</v>
      </c>
      <c r="Y18" s="1130" t="str">
        <f>Texte!$A$1653</f>
        <v>in</v>
      </c>
      <c r="Z18" s="57"/>
      <c r="AA18" s="1135" t="str">
        <f>Texte!$A$1655</f>
        <v>(Ack.b.)</v>
      </c>
      <c r="AB18" s="1135" t="str">
        <f>Texte!$A$1657</f>
        <v>(Fu.b.)</v>
      </c>
      <c r="AC18" s="57"/>
      <c r="AD18" s="57"/>
      <c r="AE18" s="548"/>
      <c r="AF18" s="57"/>
      <c r="AG18" s="1135" t="str">
        <f>Texte!$A$1655</f>
        <v>(Ack.b.)</v>
      </c>
      <c r="AH18" s="1135" t="str">
        <f>Texte!$A$1657</f>
        <v>(Fu.b.)</v>
      </c>
      <c r="AI18" s="57"/>
      <c r="AJ18" s="57"/>
      <c r="AK18" s="548"/>
      <c r="AL18" s="1134" t="str">
        <f>Texte!$A$1662</f>
        <v>reinigung</v>
      </c>
      <c r="AN18" s="80" t="str">
        <f>Texte!A1665</f>
        <v>Gewicht-Sommer:</v>
      </c>
      <c r="AO18"/>
      <c r="AP18" s="220">
        <f>IF(HDA!$C$6=0,0,HDA!$D$4/HDA!$C$6)</f>
        <v>0.41666666666666669</v>
      </c>
    </row>
    <row r="19" spans="2:44" ht="13.5">
      <c r="B19" s="541"/>
      <c r="C19" s="1129"/>
      <c r="D19" s="1129"/>
      <c r="E19" s="1130"/>
      <c r="F19" s="1130"/>
      <c r="G19" s="1130" t="str">
        <f>Texte!$A$1605</f>
        <v>korr.</v>
      </c>
      <c r="H19" s="1130"/>
      <c r="I19" s="1130"/>
      <c r="J19" s="1132" t="str">
        <f>Texte!$A$1617</f>
        <v>pro Mt.</v>
      </c>
      <c r="K19" s="1132" t="str">
        <f>Texte!$A$1621</f>
        <v>pro Mt.</v>
      </c>
      <c r="L19" s="1132" t="str">
        <f>Texte!$A$1625</f>
        <v>pro Mt.</v>
      </c>
      <c r="M19" s="1132" t="str">
        <f>Texte!$A$1625</f>
        <v>pro Mt.</v>
      </c>
      <c r="N19" s="1132" t="str">
        <f>Texte!$A$1625</f>
        <v>pro Mt.</v>
      </c>
      <c r="O19" s="1132"/>
      <c r="P19" s="1132"/>
      <c r="Q19" s="1136" t="str">
        <f>Texte!$A$1635</f>
        <v>Nges</v>
      </c>
      <c r="R19" s="1136" t="s">
        <v>3461</v>
      </c>
      <c r="S19" s="1136" t="s">
        <v>3462</v>
      </c>
      <c r="T19" s="1138" t="s">
        <v>7031</v>
      </c>
      <c r="U19" s="1131" t="str">
        <f>Texte!$A$1639</f>
        <v>mistung</v>
      </c>
      <c r="V19" s="1130"/>
      <c r="W19" s="1132" t="str">
        <f>Texte!$A$1646</f>
        <v>MSP/LHP</v>
      </c>
      <c r="X19" s="1132" t="str">
        <f>Texte!$A$1650</f>
        <v>pro Mt.</v>
      </c>
      <c r="Y19" s="1130" t="s">
        <v>5218</v>
      </c>
      <c r="Z19" s="1136" t="str">
        <f>Texte!$A$1656</f>
        <v>Nges</v>
      </c>
      <c r="AA19" s="1137" t="str">
        <f>Texte!$A$1658</f>
        <v>Nverf</v>
      </c>
      <c r="AB19" s="1137" t="str">
        <f>Texte!$A$1658</f>
        <v>Nverf</v>
      </c>
      <c r="AC19" s="1136" t="s">
        <v>3461</v>
      </c>
      <c r="AD19" s="1136" t="s">
        <v>3462</v>
      </c>
      <c r="AE19" s="1138" t="s">
        <v>7031</v>
      </c>
      <c r="AF19" s="1139" t="str">
        <f>Texte!$A$1656</f>
        <v>Nges</v>
      </c>
      <c r="AG19" s="1140" t="str">
        <f>Texte!$A$1658</f>
        <v>Nverf</v>
      </c>
      <c r="AH19" s="1140" t="str">
        <f>Texte!$A$1658</f>
        <v>Nverf</v>
      </c>
      <c r="AI19" s="1141" t="s">
        <v>3461</v>
      </c>
      <c r="AJ19" s="1141" t="s">
        <v>3462</v>
      </c>
      <c r="AK19" s="1142" t="s">
        <v>7031</v>
      </c>
      <c r="AL19" s="1143" t="str">
        <f>Texte!$A$1663</f>
        <v>Tierpflege</v>
      </c>
      <c r="AN19" s="80" t="str">
        <f>Texte!A1666</f>
        <v>Gewicht-Winter:</v>
      </c>
      <c r="AO19"/>
      <c r="AP19" s="1144">
        <f>IF(HDA!$C$6=0,0,HDA!$D$5/HDA!$C$6)</f>
        <v>0.58333333333333337</v>
      </c>
    </row>
    <row r="20" spans="2:44" ht="13.5">
      <c r="B20" s="1145" t="str">
        <f>Texte!A1667</f>
        <v>Aufstallungssystem 1</v>
      </c>
      <c r="C20" s="1124"/>
      <c r="D20" s="1146"/>
      <c r="E20" s="1146"/>
      <c r="F20" s="1146"/>
      <c r="G20" s="1125" t="str">
        <f t="array" ref="G20:G38">IF(ISBLANK($C20:$C38),"",$C20:$C38+$D20:$D38-$F20:$F38)</f>
        <v/>
      </c>
      <c r="H20" s="1125"/>
      <c r="I20" s="1125"/>
      <c r="J20" s="1148"/>
      <c r="K20" s="1148"/>
      <c r="L20" s="1148"/>
      <c r="M20" s="1148"/>
      <c r="N20" s="1148"/>
      <c r="O20" s="1124"/>
      <c r="P20" s="1124"/>
      <c r="Q20" s="2359">
        <f t="array" ref="Q20:Q38">IF(((INDEX(TG!Gülle,O20:O38,1)*K20:K38)+(INDEX(TG!Gülle,P20:P38,1)*L20:L38))=0,0,(INDEX(TG!Gülle,P20:P38,1)*L20:L38)/((INDEX(TG!Gülle,O20:O38,1)*K20:K38)+(INDEX(TG!Gülle,P20:P38,1)*L20:L38)))</f>
        <v>0</v>
      </c>
      <c r="R20" s="2360">
        <f t="array" ref="R20:R38">IF(((INDEX(TG!Gülle,O20:O38,4)*K20:K38)+(INDEX(TG!Gülle,P20:P38,4)*L20:L38))=0,0,(INDEX(TG!Gülle,P20:P38,4)*L20:L38)/((INDEX(TG!Gülle,O20:O38,4)*K20:K38)+(INDEX(TG!Gülle,P20:P38,4)*L20:L38)))</f>
        <v>0</v>
      </c>
      <c r="S20" s="2360">
        <f t="array" ref="S20:S38">IF(((INDEX(TG!Gülle,O20:O38,5)*K20:K38)+(INDEX(TG!Gülle,P20:P38,5)*L20:L38))=0,0,(INDEX(TG!Gülle,P20:P38,5)*L20:L38)/((INDEX(TG!Gülle,O20:O38,5)*K20:K38)+(INDEX(TG!Gülle,P20:P38,5)*L20:L38)))</f>
        <v>0</v>
      </c>
      <c r="T20" s="2361">
        <f t="array" ref="T20:T38">IF(((INDEX(TG!Gülle,O20:O38,6)*K20:K38)+(INDEX(TG!Gülle,P20:P38,6)*L20:L38))=0,0,(INDEX(TG!Gülle,P20:P38,6)*L20:L38)/((INDEX(TG!Gülle,O20:O38,6)*K20:K38)+(INDEX(TG!Gülle,P20:P38,6)*L20:L38)))</f>
        <v>0</v>
      </c>
      <c r="U20" s="1126"/>
      <c r="V20" s="1147"/>
      <c r="W20" s="1125" t="str">
        <f t="array" ref="W20:W38">IF(ISBLANK($C20:$C38),"",($G20:$G38+$F20:$F38)*($H20:$H38))</f>
        <v/>
      </c>
      <c r="X20" s="1148" t="str">
        <f t="array" ref="X20:X38">IF(ISBLANK($C20:$C38),"",($L20:$L38))</f>
        <v/>
      </c>
      <c r="Y20" s="1125" t="str">
        <f t="array" ref="Y20:Y38">IF(ISBLANK($C20:$C38),"",$G20:$G38*$X20:$X38*HDA!$C$6)</f>
        <v/>
      </c>
      <c r="Z20" s="1149" t="str">
        <f t="array" ref="Z20:Z38">IF(ISERROR(AF20:AF38/$Y20:$Y38),"",AF20:AF38/$Y20:$Y38)</f>
        <v/>
      </c>
      <c r="AA20" s="1149" t="str">
        <f t="array" ref="AA20:AA38">IF(ISERROR(AG20:AG38/$Y20:$Y38),"",AG20:AG38/$Y20:$Y38)</f>
        <v/>
      </c>
      <c r="AB20" s="1149" t="str">
        <f t="array" ref="AB20:AB38">IF(ISERROR(AH20:AH38/$Y20:$Y38),"",AH20:AH38/$Y20:$Y38)</f>
        <v/>
      </c>
      <c r="AC20" s="1149" t="str">
        <f t="array" ref="AC20:AC38">IF(ISERROR(AI20:AI38/$Y20:$Y38),"",AI20:AI38/$Y20:$Y38)</f>
        <v/>
      </c>
      <c r="AD20" s="1149" t="str">
        <f t="array" ref="AD20:AD38">IF(ISERROR(AJ20:AJ38/$Y20:$Y38),"",AJ20:AJ38/$Y20:$Y38)</f>
        <v/>
      </c>
      <c r="AE20" s="191" t="str">
        <f t="array" ref="AE20:AE38">IF(ISERROR(AK20:AK38/$Y20:$Y38),"",AK20:AK38/$Y20:$Y38)</f>
        <v/>
      </c>
      <c r="AF20" s="1277" t="str">
        <f t="array" ref="AF20:AF38">IF(X20:X38&gt;0,IF(ISBLANK($C20:$C38),"",IF(IF($V20:$V38,IF($W$8&lt;&gt;0,IF($AF$8=1,FALSE,TRUE),TRUE),TRUE),VLOOKUP($I20:$I38,D_Tierb!$A$8:$U$80,18,FALSE)*$Q20:$Q38*$G20:$G38-VLOOKUP($I20:$I38,D_Tierb!$A$8:$U$80,18,FALSE)*$E20:$E38*0.05,$W$8/D_Tierb!$BI$72*VLOOKUP($I20:$I38,D_Tierb!$A$8:$BJ$80,18,FALSE)*$G20:$G38*$Q20:$Q38-VLOOKUP($I20:$I38,D_Tierb!$A$8:$U$80,18,FALSE)*$E20:$E38*0.05)),0)</f>
        <v/>
      </c>
      <c r="AG20" s="1150" t="str">
        <f t="array" ref="AG20:AG38">IF(ISBLANK($C20:$C38),"",$AF20:$AF38*INDEX(TG!Verfügbar,$P20:$P38,1)/100)</f>
        <v/>
      </c>
      <c r="AH20" s="1150" t="str">
        <f t="array" ref="AH20:AH38">IF(ISBLANK($C20:$C38),"",$AF20:$AF38*INDEX(TG!Verfügbar,$P20:$P38,2)/100)</f>
        <v/>
      </c>
      <c r="AI20" s="1150" t="str">
        <f t="array" ref="AI20:AI38">IF(ISBLANK($C20:$C38),"",IF(IF($V20:$V38,IF($Z$8&lt;&gt;0,IF($AF$8=1,FALSE,TRUE),TRUE),TRUE),VLOOKUP($I20:$I38,D_Tierb!$A$8:$U$80,19,FALSE)*$R20:$R38*$G20:$G38,$Z$8/D_Tierb!$BJ$72*VLOOKUP($I20:$I38,D_Tierb!$A$8:$BJ$80,19,FALSE)*$G20:$G38*$R20:$R38))</f>
        <v/>
      </c>
      <c r="AJ20" s="1150" t="str">
        <f t="array" ref="AJ20:AJ38">IF(ISBLANK($C20:$C38),"",VLOOKUP($I20:$I38,D_Tierb!$A$8:$U$80,20,FALSE)*$S20:$S38*$G20:$G38)</f>
        <v/>
      </c>
      <c r="AK20" s="1150" t="str">
        <f t="array" ref="AK20:AK38">IF(ISBLANK($C20:$C38),"",VLOOKUP($I20:$I38,D_Tierb!$A$8:$U$80,21,FALSE)*$T20:$T38*$G20:$G38)</f>
        <v/>
      </c>
      <c r="AL20" s="1151" t="str">
        <f t="array" ref="AL20:AL38">IF(ISBLANK($C20:$C38),"", $W20:$W38 * ($AP$18*$M20:$M38 + $AP$19*$N20:$N38 + IF($U20:$U38=Texte!A5045,$AQ$16,0)) * HDA!$C$6)</f>
        <v/>
      </c>
      <c r="AN20"/>
      <c r="AO20"/>
    </row>
    <row r="21" spans="2:44" ht="13.5">
      <c r="B21" s="1152"/>
      <c r="C21" s="1153"/>
      <c r="D21" s="1154"/>
      <c r="E21" s="1154"/>
      <c r="F21" s="1154"/>
      <c r="G21" s="1154" t="str">
        <v/>
      </c>
      <c r="H21" s="1155"/>
      <c r="I21" s="1156"/>
      <c r="J21" s="1159"/>
      <c r="K21" s="1159"/>
      <c r="L21" s="1159"/>
      <c r="M21" s="1159"/>
      <c r="N21" s="1159"/>
      <c r="O21" s="1153"/>
      <c r="P21" s="1153"/>
      <c r="Q21" s="2362">
        <v>0</v>
      </c>
      <c r="R21" s="2363">
        <v>0</v>
      </c>
      <c r="S21" s="2363">
        <v>0</v>
      </c>
      <c r="T21" s="2364">
        <v>0</v>
      </c>
      <c r="U21" s="1157"/>
      <c r="V21" s="1158"/>
      <c r="W21" s="1154" t="str">
        <v/>
      </c>
      <c r="X21" s="1159" t="str">
        <v/>
      </c>
      <c r="Y21" s="1153" t="str">
        <v/>
      </c>
      <c r="Z21" s="1160" t="str">
        <v/>
      </c>
      <c r="AA21" s="1160" t="str">
        <v/>
      </c>
      <c r="AB21" s="1160" t="str">
        <v/>
      </c>
      <c r="AC21" s="1160" t="str">
        <v/>
      </c>
      <c r="AD21" s="1160" t="str">
        <v/>
      </c>
      <c r="AE21" s="1276" t="str">
        <v/>
      </c>
      <c r="AF21" s="1278" t="str">
        <v/>
      </c>
      <c r="AG21" s="1161" t="str">
        <v/>
      </c>
      <c r="AH21" s="1161" t="str">
        <v/>
      </c>
      <c r="AI21" s="1161" t="str">
        <v/>
      </c>
      <c r="AJ21" s="1161" t="str">
        <v/>
      </c>
      <c r="AK21" s="1161" t="str">
        <v/>
      </c>
      <c r="AL21" s="1162" t="str">
        <v/>
      </c>
      <c r="AN21"/>
      <c r="AO21"/>
    </row>
    <row r="22" spans="2:44" ht="13.5">
      <c r="B22" s="1152"/>
      <c r="C22" s="1153"/>
      <c r="D22" s="1154"/>
      <c r="E22" s="1154"/>
      <c r="F22" s="1154"/>
      <c r="G22" s="1154" t="str">
        <v/>
      </c>
      <c r="H22" s="1155"/>
      <c r="I22" s="1156"/>
      <c r="J22" s="1159"/>
      <c r="K22" s="1159"/>
      <c r="L22" s="1159"/>
      <c r="M22" s="1159"/>
      <c r="N22" s="1159"/>
      <c r="O22" s="1153"/>
      <c r="P22" s="1153"/>
      <c r="Q22" s="2362">
        <v>0</v>
      </c>
      <c r="R22" s="2363">
        <v>0</v>
      </c>
      <c r="S22" s="2363">
        <v>0</v>
      </c>
      <c r="T22" s="2364">
        <v>0</v>
      </c>
      <c r="U22" s="1157"/>
      <c r="V22" s="1158"/>
      <c r="W22" s="1154" t="str">
        <v/>
      </c>
      <c r="X22" s="1159" t="str">
        <v/>
      </c>
      <c r="Y22" s="1153" t="str">
        <v/>
      </c>
      <c r="Z22" s="1160" t="str">
        <v/>
      </c>
      <c r="AA22" s="1160" t="str">
        <v/>
      </c>
      <c r="AB22" s="1160" t="str">
        <v/>
      </c>
      <c r="AC22" s="1160" t="str">
        <v/>
      </c>
      <c r="AD22" s="1160" t="str">
        <v/>
      </c>
      <c r="AE22" s="1276" t="str">
        <v/>
      </c>
      <c r="AF22" s="1278" t="str">
        <v/>
      </c>
      <c r="AG22" s="1161" t="str">
        <v/>
      </c>
      <c r="AH22" s="1161" t="str">
        <v/>
      </c>
      <c r="AI22" s="1161" t="str">
        <v/>
      </c>
      <c r="AJ22" s="1161" t="str">
        <v/>
      </c>
      <c r="AK22" s="1161" t="str">
        <v/>
      </c>
      <c r="AL22" s="1162" t="str">
        <v/>
      </c>
    </row>
    <row r="23" spans="2:44" ht="13.5">
      <c r="B23" s="1152"/>
      <c r="C23" s="1153"/>
      <c r="D23" s="1154"/>
      <c r="E23" s="1154"/>
      <c r="F23" s="1154"/>
      <c r="G23" s="1154" t="str">
        <v/>
      </c>
      <c r="H23" s="1155"/>
      <c r="I23" s="1156"/>
      <c r="J23" s="1159"/>
      <c r="K23" s="1159"/>
      <c r="L23" s="1159"/>
      <c r="M23" s="1159"/>
      <c r="N23" s="1159"/>
      <c r="O23" s="1153"/>
      <c r="P23" s="1153"/>
      <c r="Q23" s="2362">
        <v>0</v>
      </c>
      <c r="R23" s="2363">
        <v>0</v>
      </c>
      <c r="S23" s="2363">
        <v>0</v>
      </c>
      <c r="T23" s="2364">
        <v>0</v>
      </c>
      <c r="U23" s="1157"/>
      <c r="V23" s="1158"/>
      <c r="W23" s="1154" t="str">
        <v/>
      </c>
      <c r="X23" s="1159" t="str">
        <v/>
      </c>
      <c r="Y23" s="1153" t="str">
        <v/>
      </c>
      <c r="Z23" s="1160" t="str">
        <v/>
      </c>
      <c r="AA23" s="1160" t="str">
        <v/>
      </c>
      <c r="AB23" s="1160" t="str">
        <v/>
      </c>
      <c r="AC23" s="1160" t="str">
        <v/>
      </c>
      <c r="AD23" s="1160" t="str">
        <v/>
      </c>
      <c r="AE23" s="1276" t="str">
        <v/>
      </c>
      <c r="AF23" s="1278" t="str">
        <v/>
      </c>
      <c r="AG23" s="1161" t="str">
        <v/>
      </c>
      <c r="AH23" s="1161" t="str">
        <v/>
      </c>
      <c r="AI23" s="1161" t="str">
        <v/>
      </c>
      <c r="AJ23" s="1161" t="str">
        <v/>
      </c>
      <c r="AK23" s="1161" t="str">
        <v/>
      </c>
      <c r="AL23" s="1162" t="str">
        <v/>
      </c>
      <c r="AO23" s="1235"/>
    </row>
    <row r="24" spans="2:44" ht="13.5">
      <c r="B24" s="1152"/>
      <c r="C24" s="1153"/>
      <c r="D24" s="1154"/>
      <c r="E24" s="1154"/>
      <c r="F24" s="1154"/>
      <c r="G24" s="1154" t="str">
        <v/>
      </c>
      <c r="H24" s="1155"/>
      <c r="I24" s="1156"/>
      <c r="J24" s="1159"/>
      <c r="K24" s="1159"/>
      <c r="L24" s="1159"/>
      <c r="M24" s="1159"/>
      <c r="N24" s="1159"/>
      <c r="O24" s="1153"/>
      <c r="P24" s="1153"/>
      <c r="Q24" s="2362">
        <v>0</v>
      </c>
      <c r="R24" s="2363">
        <v>0</v>
      </c>
      <c r="S24" s="2363">
        <v>0</v>
      </c>
      <c r="T24" s="2364">
        <v>0</v>
      </c>
      <c r="U24" s="1157"/>
      <c r="V24" s="1158"/>
      <c r="W24" s="1154" t="str">
        <v/>
      </c>
      <c r="X24" s="1159" t="str">
        <v/>
      </c>
      <c r="Y24" s="1153" t="str">
        <v/>
      </c>
      <c r="Z24" s="1160" t="str">
        <v/>
      </c>
      <c r="AA24" s="1160" t="str">
        <v/>
      </c>
      <c r="AB24" s="1160" t="str">
        <v/>
      </c>
      <c r="AC24" s="1160" t="str">
        <v/>
      </c>
      <c r="AD24" s="1160" t="str">
        <v/>
      </c>
      <c r="AE24" s="1276" t="str">
        <v/>
      </c>
      <c r="AF24" s="1278" t="str">
        <v/>
      </c>
      <c r="AG24" s="1161" t="str">
        <v/>
      </c>
      <c r="AH24" s="1161" t="str">
        <v/>
      </c>
      <c r="AI24" s="1161" t="str">
        <v/>
      </c>
      <c r="AJ24" s="1161" t="str">
        <v/>
      </c>
      <c r="AK24" s="1161" t="str">
        <v/>
      </c>
      <c r="AL24" s="1162" t="str">
        <v/>
      </c>
    </row>
    <row r="25" spans="2:44" ht="13.5">
      <c r="B25" s="1152"/>
      <c r="C25" s="1153"/>
      <c r="D25" s="1154"/>
      <c r="E25" s="1154"/>
      <c r="F25" s="1154"/>
      <c r="G25" s="1154" t="str">
        <v/>
      </c>
      <c r="H25" s="1155"/>
      <c r="I25" s="1156"/>
      <c r="J25" s="1159"/>
      <c r="K25" s="1159"/>
      <c r="L25" s="1159"/>
      <c r="M25" s="1159"/>
      <c r="N25" s="1159"/>
      <c r="O25" s="1153"/>
      <c r="P25" s="1153"/>
      <c r="Q25" s="2362">
        <v>0</v>
      </c>
      <c r="R25" s="2363">
        <v>0</v>
      </c>
      <c r="S25" s="2363">
        <v>0</v>
      </c>
      <c r="T25" s="2364">
        <v>0</v>
      </c>
      <c r="U25" s="1157"/>
      <c r="V25" s="1158"/>
      <c r="W25" s="1154" t="str">
        <v/>
      </c>
      <c r="X25" s="1159" t="str">
        <v/>
      </c>
      <c r="Y25" s="1153" t="str">
        <v/>
      </c>
      <c r="Z25" s="1160" t="str">
        <v/>
      </c>
      <c r="AA25" s="1160" t="str">
        <v/>
      </c>
      <c r="AB25" s="1160" t="str">
        <v/>
      </c>
      <c r="AC25" s="1160" t="str">
        <v/>
      </c>
      <c r="AD25" s="1160" t="str">
        <v/>
      </c>
      <c r="AE25" s="1276" t="str">
        <v/>
      </c>
      <c r="AF25" s="1278" t="str">
        <v/>
      </c>
      <c r="AG25" s="1161" t="str">
        <v/>
      </c>
      <c r="AH25" s="1161" t="str">
        <v/>
      </c>
      <c r="AI25" s="1161" t="str">
        <v/>
      </c>
      <c r="AJ25" s="1161" t="str">
        <v/>
      </c>
      <c r="AK25" s="1161" t="str">
        <v/>
      </c>
      <c r="AL25" s="1162" t="str">
        <v/>
      </c>
    </row>
    <row r="26" spans="2:44" ht="13.5">
      <c r="B26" s="1152"/>
      <c r="C26" s="1153"/>
      <c r="D26" s="1154"/>
      <c r="E26" s="1154"/>
      <c r="F26" s="1154"/>
      <c r="G26" s="1154" t="str">
        <v/>
      </c>
      <c r="H26" s="1155"/>
      <c r="I26" s="1156"/>
      <c r="J26" s="1159"/>
      <c r="K26" s="1159"/>
      <c r="L26" s="1159"/>
      <c r="M26" s="1159"/>
      <c r="N26" s="1159"/>
      <c r="O26" s="1153"/>
      <c r="P26" s="1153"/>
      <c r="Q26" s="2362">
        <v>0</v>
      </c>
      <c r="R26" s="2363">
        <v>0</v>
      </c>
      <c r="S26" s="2363">
        <v>0</v>
      </c>
      <c r="T26" s="2364">
        <v>0</v>
      </c>
      <c r="U26" s="1157"/>
      <c r="V26" s="1158"/>
      <c r="W26" s="1154" t="str">
        <v/>
      </c>
      <c r="X26" s="1159" t="str">
        <v/>
      </c>
      <c r="Y26" s="1153" t="str">
        <v/>
      </c>
      <c r="Z26" s="1160" t="str">
        <v/>
      </c>
      <c r="AA26" s="1160" t="str">
        <v/>
      </c>
      <c r="AB26" s="1160" t="str">
        <v/>
      </c>
      <c r="AC26" s="1160" t="str">
        <v/>
      </c>
      <c r="AD26" s="1160" t="str">
        <v/>
      </c>
      <c r="AE26" s="1276" t="str">
        <v/>
      </c>
      <c r="AF26" s="1278" t="str">
        <v/>
      </c>
      <c r="AG26" s="1161" t="str">
        <v/>
      </c>
      <c r="AH26" s="1161" t="str">
        <v/>
      </c>
      <c r="AI26" s="1161" t="str">
        <v/>
      </c>
      <c r="AJ26" s="1161" t="str">
        <v/>
      </c>
      <c r="AK26" s="1161" t="str">
        <v/>
      </c>
      <c r="AL26" s="1162" t="str">
        <v/>
      </c>
    </row>
    <row r="27" spans="2:44" ht="13.5">
      <c r="B27" s="1152"/>
      <c r="C27" s="1153"/>
      <c r="D27" s="1154"/>
      <c r="E27" s="1154"/>
      <c r="F27" s="1154"/>
      <c r="G27" s="1154" t="str">
        <v/>
      </c>
      <c r="H27" s="1155"/>
      <c r="I27" s="1156"/>
      <c r="J27" s="1159"/>
      <c r="K27" s="1159"/>
      <c r="L27" s="1159"/>
      <c r="M27" s="1159"/>
      <c r="N27" s="1159"/>
      <c r="O27" s="1153"/>
      <c r="P27" s="1153"/>
      <c r="Q27" s="2362">
        <v>0</v>
      </c>
      <c r="R27" s="2363">
        <v>0</v>
      </c>
      <c r="S27" s="2363">
        <v>0</v>
      </c>
      <c r="T27" s="2364">
        <v>0</v>
      </c>
      <c r="U27" s="1157"/>
      <c r="V27" s="1158"/>
      <c r="W27" s="1154" t="str">
        <v/>
      </c>
      <c r="X27" s="1159" t="str">
        <v/>
      </c>
      <c r="Y27" s="1153" t="str">
        <v/>
      </c>
      <c r="Z27" s="1160" t="str">
        <v/>
      </c>
      <c r="AA27" s="1160" t="str">
        <v/>
      </c>
      <c r="AB27" s="1160" t="str">
        <v/>
      </c>
      <c r="AC27" s="1160" t="str">
        <v/>
      </c>
      <c r="AD27" s="1160" t="str">
        <v/>
      </c>
      <c r="AE27" s="1276" t="str">
        <v/>
      </c>
      <c r="AF27" s="1278" t="str">
        <v/>
      </c>
      <c r="AG27" s="1161" t="str">
        <v/>
      </c>
      <c r="AH27" s="1161" t="str">
        <v/>
      </c>
      <c r="AI27" s="1161" t="str">
        <v/>
      </c>
      <c r="AJ27" s="1161" t="str">
        <v/>
      </c>
      <c r="AK27" s="1161" t="str">
        <v/>
      </c>
      <c r="AL27" s="1162" t="str">
        <v/>
      </c>
    </row>
    <row r="28" spans="2:44" ht="13.5">
      <c r="B28" s="1152"/>
      <c r="C28" s="1153"/>
      <c r="D28" s="1154"/>
      <c r="E28" s="1154"/>
      <c r="F28" s="1154"/>
      <c r="G28" s="1154" t="str">
        <v/>
      </c>
      <c r="H28" s="1155"/>
      <c r="I28" s="1156"/>
      <c r="J28" s="1159"/>
      <c r="K28" s="1159"/>
      <c r="L28" s="1159"/>
      <c r="M28" s="1159"/>
      <c r="N28" s="1159"/>
      <c r="O28" s="1153"/>
      <c r="P28" s="1153"/>
      <c r="Q28" s="2362">
        <v>0</v>
      </c>
      <c r="R28" s="2363">
        <v>0</v>
      </c>
      <c r="S28" s="2363">
        <v>0</v>
      </c>
      <c r="T28" s="2364">
        <v>0</v>
      </c>
      <c r="U28" s="1157"/>
      <c r="V28" s="1158"/>
      <c r="W28" s="1154" t="str">
        <v/>
      </c>
      <c r="X28" s="1159" t="str">
        <v/>
      </c>
      <c r="Y28" s="1153" t="str">
        <v/>
      </c>
      <c r="Z28" s="1160" t="str">
        <v/>
      </c>
      <c r="AA28" s="1160" t="str">
        <v/>
      </c>
      <c r="AB28" s="1160" t="str">
        <v/>
      </c>
      <c r="AC28" s="1160" t="str">
        <v/>
      </c>
      <c r="AD28" s="1160" t="str">
        <v/>
      </c>
      <c r="AE28" s="1276" t="str">
        <v/>
      </c>
      <c r="AF28" s="1278" t="str">
        <v/>
      </c>
      <c r="AG28" s="1161" t="str">
        <v/>
      </c>
      <c r="AH28" s="1161" t="str">
        <v/>
      </c>
      <c r="AI28" s="1161" t="str">
        <v/>
      </c>
      <c r="AJ28" s="1161" t="str">
        <v/>
      </c>
      <c r="AK28" s="1161" t="str">
        <v/>
      </c>
      <c r="AL28" s="1162" t="str">
        <v/>
      </c>
    </row>
    <row r="29" spans="2:44" ht="13.5">
      <c r="B29" s="1152"/>
      <c r="C29" s="1153"/>
      <c r="D29" s="1154"/>
      <c r="E29" s="1154"/>
      <c r="F29" s="1154"/>
      <c r="G29" s="1154" t="str">
        <v/>
      </c>
      <c r="H29" s="1155"/>
      <c r="I29" s="1156"/>
      <c r="J29" s="1159"/>
      <c r="K29" s="1159"/>
      <c r="L29" s="1159"/>
      <c r="M29" s="1159"/>
      <c r="N29" s="1159"/>
      <c r="O29" s="1153"/>
      <c r="P29" s="1153"/>
      <c r="Q29" s="2362">
        <v>0</v>
      </c>
      <c r="R29" s="2363">
        <v>0</v>
      </c>
      <c r="S29" s="2363">
        <v>0</v>
      </c>
      <c r="T29" s="2364">
        <v>0</v>
      </c>
      <c r="U29" s="1157"/>
      <c r="V29" s="1158"/>
      <c r="W29" s="1154" t="str">
        <v/>
      </c>
      <c r="X29" s="1159" t="str">
        <v/>
      </c>
      <c r="Y29" s="1153" t="str">
        <v/>
      </c>
      <c r="Z29" s="1160" t="str">
        <v/>
      </c>
      <c r="AA29" s="1160" t="str">
        <v/>
      </c>
      <c r="AB29" s="1160" t="str">
        <v/>
      </c>
      <c r="AC29" s="1160" t="str">
        <v/>
      </c>
      <c r="AD29" s="1160" t="str">
        <v/>
      </c>
      <c r="AE29" s="1276" t="str">
        <v/>
      </c>
      <c r="AF29" s="1278" t="str">
        <v/>
      </c>
      <c r="AG29" s="1161" t="str">
        <v/>
      </c>
      <c r="AH29" s="1161" t="str">
        <v/>
      </c>
      <c r="AI29" s="1161" t="str">
        <v/>
      </c>
      <c r="AJ29" s="1161" t="str">
        <v/>
      </c>
      <c r="AK29" s="1161" t="str">
        <v/>
      </c>
      <c r="AL29" s="1162" t="str">
        <v/>
      </c>
    </row>
    <row r="30" spans="2:44" ht="13.5">
      <c r="B30" s="1152"/>
      <c r="C30" s="1153"/>
      <c r="D30" s="1154"/>
      <c r="E30" s="1154"/>
      <c r="F30" s="1154"/>
      <c r="G30" s="1154" t="str">
        <v/>
      </c>
      <c r="H30" s="1155"/>
      <c r="I30" s="1156"/>
      <c r="J30" s="1159"/>
      <c r="K30" s="1159"/>
      <c r="L30" s="1159"/>
      <c r="M30" s="1159"/>
      <c r="N30" s="1159"/>
      <c r="O30" s="1153"/>
      <c r="P30" s="1153"/>
      <c r="Q30" s="2362">
        <v>0</v>
      </c>
      <c r="R30" s="2363">
        <v>0</v>
      </c>
      <c r="S30" s="2363">
        <v>0</v>
      </c>
      <c r="T30" s="2364">
        <v>0</v>
      </c>
      <c r="U30" s="1157"/>
      <c r="V30" s="1158"/>
      <c r="W30" s="1154" t="str">
        <v/>
      </c>
      <c r="X30" s="1159" t="str">
        <v/>
      </c>
      <c r="Y30" s="1153" t="str">
        <v/>
      </c>
      <c r="Z30" s="1160" t="str">
        <v/>
      </c>
      <c r="AA30" s="1160" t="str">
        <v/>
      </c>
      <c r="AB30" s="1160" t="str">
        <v/>
      </c>
      <c r="AC30" s="1160" t="str">
        <v/>
      </c>
      <c r="AD30" s="1160" t="str">
        <v/>
      </c>
      <c r="AE30" s="1276" t="str">
        <v/>
      </c>
      <c r="AF30" s="1278" t="str">
        <v/>
      </c>
      <c r="AG30" s="1161" t="str">
        <v/>
      </c>
      <c r="AH30" s="1161" t="str">
        <v/>
      </c>
      <c r="AI30" s="1161" t="str">
        <v/>
      </c>
      <c r="AJ30" s="1161" t="str">
        <v/>
      </c>
      <c r="AK30" s="1161" t="str">
        <v/>
      </c>
      <c r="AL30" s="1162" t="str">
        <v/>
      </c>
    </row>
    <row r="31" spans="2:44" ht="13.5">
      <c r="B31" s="1163" t="str">
        <f>Texte!A1668</f>
        <v>Aufstallungssystem 2</v>
      </c>
      <c r="C31" s="1153"/>
      <c r="D31" s="1154"/>
      <c r="E31" s="1154"/>
      <c r="F31" s="1154"/>
      <c r="G31" s="1154" t="str">
        <v/>
      </c>
      <c r="H31" s="1155"/>
      <c r="I31" s="1156"/>
      <c r="J31" s="1159"/>
      <c r="K31" s="1159"/>
      <c r="L31" s="1159"/>
      <c r="M31" s="1159"/>
      <c r="N31" s="1159"/>
      <c r="O31" s="1153"/>
      <c r="P31" s="1153"/>
      <c r="Q31" s="2362">
        <v>0</v>
      </c>
      <c r="R31" s="2363">
        <v>0</v>
      </c>
      <c r="S31" s="2363">
        <v>0</v>
      </c>
      <c r="T31" s="2364">
        <v>0</v>
      </c>
      <c r="U31" s="1157"/>
      <c r="V31" s="1158"/>
      <c r="W31" s="1154" t="str">
        <v/>
      </c>
      <c r="X31" s="1159" t="str">
        <v/>
      </c>
      <c r="Y31" s="1153" t="str">
        <v/>
      </c>
      <c r="Z31" s="1160" t="str">
        <v/>
      </c>
      <c r="AA31" s="1160" t="str">
        <v/>
      </c>
      <c r="AB31" s="1160" t="str">
        <v/>
      </c>
      <c r="AC31" s="1160" t="str">
        <v/>
      </c>
      <c r="AD31" s="1160" t="str">
        <v/>
      </c>
      <c r="AE31" s="1276" t="str">
        <v/>
      </c>
      <c r="AF31" s="1278" t="str">
        <v/>
      </c>
      <c r="AG31" s="1161" t="str">
        <v/>
      </c>
      <c r="AH31" s="1161" t="str">
        <v/>
      </c>
      <c r="AI31" s="1161" t="str">
        <v/>
      </c>
      <c r="AJ31" s="1161" t="str">
        <v/>
      </c>
      <c r="AK31" s="1161" t="str">
        <v/>
      </c>
      <c r="AL31" s="1162" t="str">
        <v/>
      </c>
    </row>
    <row r="32" spans="2:44" ht="13.5">
      <c r="B32" s="1152"/>
      <c r="C32" s="1153"/>
      <c r="D32" s="1154"/>
      <c r="E32" s="1154"/>
      <c r="F32" s="1154"/>
      <c r="G32" s="1154" t="str">
        <v/>
      </c>
      <c r="H32" s="1155"/>
      <c r="I32" s="1156"/>
      <c r="J32" s="1159"/>
      <c r="K32" s="1159"/>
      <c r="L32" s="1159"/>
      <c r="M32" s="1159"/>
      <c r="N32" s="1159"/>
      <c r="O32" s="1153"/>
      <c r="P32" s="1153"/>
      <c r="Q32" s="2362">
        <v>0</v>
      </c>
      <c r="R32" s="2363">
        <v>0</v>
      </c>
      <c r="S32" s="2363">
        <v>0</v>
      </c>
      <c r="T32" s="2364">
        <v>0</v>
      </c>
      <c r="U32" s="1157"/>
      <c r="V32" s="1158"/>
      <c r="W32" s="1154" t="str">
        <v/>
      </c>
      <c r="X32" s="1159" t="str">
        <v/>
      </c>
      <c r="Y32" s="1153" t="str">
        <v/>
      </c>
      <c r="Z32" s="1160" t="str">
        <v/>
      </c>
      <c r="AA32" s="1160" t="str">
        <v/>
      </c>
      <c r="AB32" s="1160" t="str">
        <v/>
      </c>
      <c r="AC32" s="1160" t="str">
        <v/>
      </c>
      <c r="AD32" s="1160" t="str">
        <v/>
      </c>
      <c r="AE32" s="1276" t="str">
        <v/>
      </c>
      <c r="AF32" s="1278" t="str">
        <v/>
      </c>
      <c r="AG32" s="1161" t="str">
        <v/>
      </c>
      <c r="AH32" s="1161" t="str">
        <v/>
      </c>
      <c r="AI32" s="1161" t="str">
        <v/>
      </c>
      <c r="AJ32" s="1161" t="str">
        <v/>
      </c>
      <c r="AK32" s="1161" t="str">
        <v/>
      </c>
      <c r="AL32" s="1162" t="str">
        <v/>
      </c>
    </row>
    <row r="33" spans="2:40" ht="13.5">
      <c r="B33" s="1152"/>
      <c r="C33" s="1153"/>
      <c r="D33" s="1154"/>
      <c r="E33" s="1154"/>
      <c r="F33" s="1154"/>
      <c r="G33" s="1154" t="str">
        <v/>
      </c>
      <c r="H33" s="1155"/>
      <c r="I33" s="1156"/>
      <c r="J33" s="1159"/>
      <c r="K33" s="1159"/>
      <c r="L33" s="1159"/>
      <c r="M33" s="1159"/>
      <c r="N33" s="1159"/>
      <c r="O33" s="1153"/>
      <c r="P33" s="1153"/>
      <c r="Q33" s="2362">
        <v>0</v>
      </c>
      <c r="R33" s="2363">
        <v>0</v>
      </c>
      <c r="S33" s="2363">
        <v>0</v>
      </c>
      <c r="T33" s="2364">
        <v>0</v>
      </c>
      <c r="U33" s="1157"/>
      <c r="V33" s="1158"/>
      <c r="W33" s="1154" t="str">
        <v/>
      </c>
      <c r="X33" s="1159" t="str">
        <v/>
      </c>
      <c r="Y33" s="1153" t="str">
        <v/>
      </c>
      <c r="Z33" s="1160" t="str">
        <v/>
      </c>
      <c r="AA33" s="1160" t="str">
        <v/>
      </c>
      <c r="AB33" s="1160" t="str">
        <v/>
      </c>
      <c r="AC33" s="1160" t="str">
        <v/>
      </c>
      <c r="AD33" s="1160" t="str">
        <v/>
      </c>
      <c r="AE33" s="1276" t="str">
        <v/>
      </c>
      <c r="AF33" s="1278" t="str">
        <v/>
      </c>
      <c r="AG33" s="1161" t="str">
        <v/>
      </c>
      <c r="AH33" s="1161" t="str">
        <v/>
      </c>
      <c r="AI33" s="1161" t="str">
        <v/>
      </c>
      <c r="AJ33" s="1161" t="str">
        <v/>
      </c>
      <c r="AK33" s="1161" t="str">
        <v/>
      </c>
      <c r="AL33" s="1162" t="str">
        <v/>
      </c>
    </row>
    <row r="34" spans="2:40" ht="13.5">
      <c r="B34" s="1152"/>
      <c r="C34" s="1153"/>
      <c r="D34" s="1154"/>
      <c r="E34" s="1154"/>
      <c r="F34" s="1154"/>
      <c r="G34" s="1154" t="str">
        <v/>
      </c>
      <c r="H34" s="1155"/>
      <c r="I34" s="1156"/>
      <c r="J34" s="1159"/>
      <c r="K34" s="1159"/>
      <c r="L34" s="1159"/>
      <c r="M34" s="1159"/>
      <c r="N34" s="1159"/>
      <c r="O34" s="1153"/>
      <c r="P34" s="1153"/>
      <c r="Q34" s="2362">
        <v>0</v>
      </c>
      <c r="R34" s="2363">
        <v>0</v>
      </c>
      <c r="S34" s="2363">
        <v>0</v>
      </c>
      <c r="T34" s="2364">
        <v>0</v>
      </c>
      <c r="U34" s="1157"/>
      <c r="V34" s="1158"/>
      <c r="W34" s="1154" t="str">
        <v/>
      </c>
      <c r="X34" s="1159" t="str">
        <v/>
      </c>
      <c r="Y34" s="1153" t="str">
        <v/>
      </c>
      <c r="Z34" s="1160" t="str">
        <v/>
      </c>
      <c r="AA34" s="1160" t="str">
        <v/>
      </c>
      <c r="AB34" s="1160" t="str">
        <v/>
      </c>
      <c r="AC34" s="1160" t="str">
        <v/>
      </c>
      <c r="AD34" s="1160" t="str">
        <v/>
      </c>
      <c r="AE34" s="1276" t="str">
        <v/>
      </c>
      <c r="AF34" s="1278" t="str">
        <v/>
      </c>
      <c r="AG34" s="1161" t="str">
        <v/>
      </c>
      <c r="AH34" s="1161" t="str">
        <v/>
      </c>
      <c r="AI34" s="1161" t="str">
        <v/>
      </c>
      <c r="AJ34" s="1161" t="str">
        <v/>
      </c>
      <c r="AK34" s="1161" t="str">
        <v/>
      </c>
      <c r="AL34" s="1162" t="str">
        <v/>
      </c>
    </row>
    <row r="35" spans="2:40" ht="13.5">
      <c r="B35" s="1152"/>
      <c r="C35" s="1153"/>
      <c r="D35" s="1154"/>
      <c r="E35" s="1154"/>
      <c r="F35" s="1154"/>
      <c r="G35" s="1154" t="str">
        <v/>
      </c>
      <c r="H35" s="1155"/>
      <c r="I35" s="1156"/>
      <c r="J35" s="1159"/>
      <c r="K35" s="1159"/>
      <c r="L35" s="1159"/>
      <c r="M35" s="1159"/>
      <c r="N35" s="1159"/>
      <c r="O35" s="1153"/>
      <c r="P35" s="1153"/>
      <c r="Q35" s="2362">
        <v>0</v>
      </c>
      <c r="R35" s="2363">
        <v>0</v>
      </c>
      <c r="S35" s="2363">
        <v>0</v>
      </c>
      <c r="T35" s="2364">
        <v>0</v>
      </c>
      <c r="U35" s="1157"/>
      <c r="V35" s="1158"/>
      <c r="W35" s="1154" t="str">
        <v/>
      </c>
      <c r="X35" s="1159" t="str">
        <v/>
      </c>
      <c r="Y35" s="1153" t="str">
        <v/>
      </c>
      <c r="Z35" s="1160" t="str">
        <v/>
      </c>
      <c r="AA35" s="1160" t="str">
        <v/>
      </c>
      <c r="AB35" s="1160" t="str">
        <v/>
      </c>
      <c r="AC35" s="1160" t="str">
        <v/>
      </c>
      <c r="AD35" s="1160" t="str">
        <v/>
      </c>
      <c r="AE35" s="1276" t="str">
        <v/>
      </c>
      <c r="AF35" s="1278" t="str">
        <v/>
      </c>
      <c r="AG35" s="1161" t="str">
        <v/>
      </c>
      <c r="AH35" s="1161" t="str">
        <v/>
      </c>
      <c r="AI35" s="1161" t="str">
        <v/>
      </c>
      <c r="AJ35" s="1161" t="str">
        <v/>
      </c>
      <c r="AK35" s="1161" t="str">
        <v/>
      </c>
      <c r="AL35" s="1162" t="str">
        <v/>
      </c>
    </row>
    <row r="36" spans="2:40" ht="13.5">
      <c r="B36" s="1152"/>
      <c r="C36" s="1153"/>
      <c r="D36" s="1154"/>
      <c r="E36" s="1154"/>
      <c r="F36" s="1154"/>
      <c r="G36" s="1154" t="str">
        <v/>
      </c>
      <c r="H36" s="1155"/>
      <c r="I36" s="1156"/>
      <c r="J36" s="1159"/>
      <c r="K36" s="1159"/>
      <c r="L36" s="1159"/>
      <c r="M36" s="1159"/>
      <c r="N36" s="1159"/>
      <c r="O36" s="1153"/>
      <c r="P36" s="1153"/>
      <c r="Q36" s="2362">
        <v>0</v>
      </c>
      <c r="R36" s="2363">
        <v>0</v>
      </c>
      <c r="S36" s="2363">
        <v>0</v>
      </c>
      <c r="T36" s="2364">
        <v>0</v>
      </c>
      <c r="U36" s="1157"/>
      <c r="V36" s="1158"/>
      <c r="W36" s="1154" t="str">
        <v/>
      </c>
      <c r="X36" s="1159" t="str">
        <v/>
      </c>
      <c r="Y36" s="1153" t="str">
        <v/>
      </c>
      <c r="Z36" s="1160" t="str">
        <v/>
      </c>
      <c r="AA36" s="1160" t="str">
        <v/>
      </c>
      <c r="AB36" s="1160" t="str">
        <v/>
      </c>
      <c r="AC36" s="1160" t="str">
        <v/>
      </c>
      <c r="AD36" s="1160" t="str">
        <v/>
      </c>
      <c r="AE36" s="1276" t="str">
        <v/>
      </c>
      <c r="AF36" s="1278" t="str">
        <v/>
      </c>
      <c r="AG36" s="1161" t="str">
        <v/>
      </c>
      <c r="AH36" s="1161" t="str">
        <v/>
      </c>
      <c r="AI36" s="1161" t="str">
        <v/>
      </c>
      <c r="AJ36" s="1161" t="str">
        <v/>
      </c>
      <c r="AK36" s="1161" t="str">
        <v/>
      </c>
      <c r="AL36" s="1162" t="str">
        <v/>
      </c>
    </row>
    <row r="37" spans="2:40" ht="13.5">
      <c r="B37" s="1152"/>
      <c r="C37" s="1153"/>
      <c r="D37" s="1154"/>
      <c r="E37" s="1154"/>
      <c r="F37" s="1154"/>
      <c r="G37" s="1154" t="str">
        <v/>
      </c>
      <c r="H37" s="1155"/>
      <c r="I37" s="1156"/>
      <c r="J37" s="1159"/>
      <c r="K37" s="1159"/>
      <c r="L37" s="1159"/>
      <c r="M37" s="1159"/>
      <c r="N37" s="1159"/>
      <c r="O37" s="1153"/>
      <c r="P37" s="1153"/>
      <c r="Q37" s="2362">
        <v>0</v>
      </c>
      <c r="R37" s="2363">
        <v>0</v>
      </c>
      <c r="S37" s="2363">
        <v>0</v>
      </c>
      <c r="T37" s="2364">
        <v>0</v>
      </c>
      <c r="U37" s="1157"/>
      <c r="V37" s="1158"/>
      <c r="W37" s="1154" t="str">
        <v/>
      </c>
      <c r="X37" s="1159" t="str">
        <v/>
      </c>
      <c r="Y37" s="1153" t="str">
        <v/>
      </c>
      <c r="Z37" s="1160" t="str">
        <v/>
      </c>
      <c r="AA37" s="1160" t="str">
        <v/>
      </c>
      <c r="AB37" s="1160" t="str">
        <v/>
      </c>
      <c r="AC37" s="1160" t="str">
        <v/>
      </c>
      <c r="AD37" s="1160" t="str">
        <v/>
      </c>
      <c r="AE37" s="1276" t="str">
        <v/>
      </c>
      <c r="AF37" s="1278" t="str">
        <v/>
      </c>
      <c r="AG37" s="1161" t="str">
        <v/>
      </c>
      <c r="AH37" s="1161" t="str">
        <v/>
      </c>
      <c r="AI37" s="1161" t="str">
        <v/>
      </c>
      <c r="AJ37" s="1161" t="str">
        <v/>
      </c>
      <c r="AK37" s="1161" t="str">
        <v/>
      </c>
      <c r="AL37" s="1162" t="str">
        <v/>
      </c>
    </row>
    <row r="38" spans="2:40" ht="13.5">
      <c r="B38" s="1152"/>
      <c r="C38" s="1153"/>
      <c r="D38" s="1154"/>
      <c r="E38" s="1154"/>
      <c r="F38" s="1154"/>
      <c r="G38" s="1154" t="str">
        <v/>
      </c>
      <c r="H38" s="1155"/>
      <c r="I38" s="1156"/>
      <c r="J38" s="1159"/>
      <c r="K38" s="1159"/>
      <c r="L38" s="1159"/>
      <c r="M38" s="1159"/>
      <c r="N38" s="1159"/>
      <c r="O38" s="1153"/>
      <c r="P38" s="1153"/>
      <c r="Q38" s="2365">
        <v>0</v>
      </c>
      <c r="R38" s="2366">
        <v>0</v>
      </c>
      <c r="S38" s="2366">
        <v>0</v>
      </c>
      <c r="T38" s="2367">
        <v>0</v>
      </c>
      <c r="U38" s="1157"/>
      <c r="V38" s="1158"/>
      <c r="W38" s="1154" t="str">
        <v/>
      </c>
      <c r="X38" s="1159" t="str">
        <v/>
      </c>
      <c r="Y38" s="1153" t="str">
        <v/>
      </c>
      <c r="Z38" s="1160" t="str">
        <v/>
      </c>
      <c r="AA38" s="1160" t="str">
        <v/>
      </c>
      <c r="AB38" s="1160" t="str">
        <v/>
      </c>
      <c r="AC38" s="1160" t="str">
        <v/>
      </c>
      <c r="AD38" s="1160" t="str">
        <v/>
      </c>
      <c r="AE38" s="1276" t="str">
        <v/>
      </c>
      <c r="AF38" s="1279" t="str">
        <v/>
      </c>
      <c r="AG38" s="1161" t="str">
        <v/>
      </c>
      <c r="AH38" s="1161" t="str">
        <v/>
      </c>
      <c r="AI38" s="1161" t="str">
        <v/>
      </c>
      <c r="AJ38" s="1161" t="str">
        <v/>
      </c>
      <c r="AK38" s="1161" t="str">
        <v/>
      </c>
      <c r="AL38" s="1162" t="str">
        <v/>
      </c>
    </row>
    <row r="39" spans="2:40">
      <c r="B39" s="191"/>
      <c r="C39" s="1164"/>
      <c r="D39" s="1164"/>
      <c r="E39" s="544"/>
      <c r="F39" s="544"/>
      <c r="G39" s="544"/>
      <c r="H39" s="544"/>
      <c r="I39" s="544"/>
      <c r="J39" s="1165"/>
      <c r="K39" s="1165"/>
      <c r="L39" s="1165"/>
      <c r="M39" s="1165"/>
      <c r="N39" s="1165"/>
      <c r="O39" s="1165"/>
      <c r="P39" s="1165"/>
      <c r="Q39" s="1165"/>
      <c r="R39" s="1165"/>
      <c r="S39" s="1165"/>
      <c r="T39" s="1165"/>
      <c r="U39" s="1165"/>
      <c r="V39" s="544"/>
      <c r="W39" s="544"/>
      <c r="X39" s="544"/>
      <c r="Y39" s="544"/>
      <c r="Z39" s="191"/>
      <c r="AA39" s="191"/>
      <c r="AB39" s="191"/>
      <c r="AC39" s="191"/>
      <c r="AD39" s="191"/>
      <c r="AE39" s="1166" t="str">
        <f>Texte!$A$1669</f>
        <v>Nährstoffmenge total in kg</v>
      </c>
      <c r="AF39" s="1167" t="str">
        <f t="shared" ref="AF39:AL39" si="2">IF(COUNT(AF21:AF38)=0,"",SUM(AF21:AF38))</f>
        <v/>
      </c>
      <c r="AG39" s="1167" t="str">
        <f t="shared" si="2"/>
        <v/>
      </c>
      <c r="AH39" s="1167" t="str">
        <f t="shared" si="2"/>
        <v/>
      </c>
      <c r="AI39" s="1167" t="str">
        <f t="shared" si="2"/>
        <v/>
      </c>
      <c r="AJ39" s="1167" t="str">
        <f t="shared" si="2"/>
        <v/>
      </c>
      <c r="AK39" s="1167" t="str">
        <f t="shared" si="2"/>
        <v/>
      </c>
      <c r="AL39" s="1167" t="str">
        <f t="shared" si="2"/>
        <v/>
      </c>
    </row>
    <row r="40" spans="2:40" ht="14.25" customHeight="1">
      <c r="B40" s="57"/>
      <c r="C40" s="183"/>
      <c r="D40" s="183"/>
      <c r="E40" s="125"/>
      <c r="F40" s="125"/>
      <c r="G40" s="125"/>
      <c r="H40" s="125"/>
      <c r="I40" s="125"/>
      <c r="J40" s="1122"/>
      <c r="K40" s="1122"/>
      <c r="L40" s="1122"/>
      <c r="M40" s="1122"/>
      <c r="N40" s="1122"/>
      <c r="O40" s="1122"/>
      <c r="P40" s="1122"/>
      <c r="Q40" s="1122"/>
      <c r="R40" s="1122"/>
      <c r="S40" s="1122"/>
      <c r="T40" s="1122"/>
      <c r="U40" s="1122"/>
      <c r="V40" s="125"/>
      <c r="W40" s="125"/>
      <c r="X40" s="199" t="str">
        <f>Texte!$A$1670</f>
        <v>Gülleanfall total (unverdünnt) in m³</v>
      </c>
      <c r="Y40" s="1168" t="str">
        <f>IF(COUNT(Y21:Y38)=0,"",SUM(Y21:Y38))</f>
        <v/>
      </c>
      <c r="Z40" s="57"/>
      <c r="AA40" s="57"/>
      <c r="AB40" s="57"/>
      <c r="AC40" s="57"/>
      <c r="AD40" s="57"/>
      <c r="AE40" s="57"/>
      <c r="AF40" s="57"/>
      <c r="AG40" s="57"/>
      <c r="AH40" s="57"/>
      <c r="AI40" s="57"/>
      <c r="AJ40" s="57"/>
      <c r="AK40" s="57"/>
      <c r="AL40" s="57"/>
      <c r="AN40" s="1169" t="str">
        <f>IF(COUNT(Y21:Y38)=0,"",SUMIF(V21:V38,TRUE,Y21:Y38))</f>
        <v/>
      </c>
    </row>
    <row r="41" spans="2:40" ht="14.25" customHeight="1">
      <c r="B41" s="57"/>
      <c r="C41" s="183"/>
      <c r="D41" s="183"/>
      <c r="E41" s="125"/>
      <c r="F41" s="125"/>
      <c r="G41" s="125"/>
      <c r="H41" s="125"/>
      <c r="I41" s="125"/>
      <c r="J41" s="1122"/>
      <c r="K41" s="1122"/>
      <c r="L41" s="1122"/>
      <c r="M41" s="1122"/>
      <c r="N41" s="1122"/>
      <c r="O41" s="1122"/>
      <c r="P41" s="1122"/>
      <c r="Q41" s="1122"/>
      <c r="R41" s="1122"/>
      <c r="S41" s="1122"/>
      <c r="T41" s="1122"/>
      <c r="U41" s="1122"/>
      <c r="V41" s="125"/>
      <c r="W41" s="125"/>
      <c r="X41" s="199" t="str">
        <f>Texte!$A$1671</f>
        <v>Wasserzufluss Tierhaltung</v>
      </c>
      <c r="Y41" s="1167" t="str">
        <f>AL39</f>
        <v/>
      </c>
      <c r="Z41" s="57"/>
      <c r="AA41" s="57"/>
      <c r="AB41" s="57"/>
      <c r="AC41" s="57"/>
      <c r="AD41" s="57"/>
      <c r="AE41" s="57"/>
      <c r="AF41" s="57"/>
      <c r="AG41" s="57"/>
      <c r="AH41" s="57"/>
      <c r="AI41" s="57"/>
      <c r="AJ41" s="57"/>
      <c r="AK41" s="57"/>
      <c r="AL41" s="57"/>
    </row>
    <row r="42" spans="2:40" ht="14.25" customHeight="1">
      <c r="B42" s="57"/>
      <c r="C42" s="183"/>
      <c r="D42" s="183"/>
      <c r="E42" s="125"/>
      <c r="F42" s="125"/>
      <c r="G42" s="125"/>
      <c r="H42" s="125"/>
      <c r="I42" s="125"/>
      <c r="J42" s="1122"/>
      <c r="K42" s="1122"/>
      <c r="L42" s="1122"/>
      <c r="M42" s="1122"/>
      <c r="N42" s="1122"/>
      <c r="O42" s="1122"/>
      <c r="P42" s="1122"/>
      <c r="Q42" s="1122"/>
      <c r="R42" s="1122"/>
      <c r="S42" s="1122"/>
      <c r="T42" s="1122"/>
      <c r="U42" s="1122"/>
      <c r="V42" s="125"/>
      <c r="W42" s="125"/>
      <c r="X42" s="199" t="str">
        <f>Texte!$A$1672</f>
        <v>Wasserzufluss gemäss Formular B in m³</v>
      </c>
      <c r="Y42" s="220" t="str">
        <f>IF(HDB!$J$25="","",HDB!$J$25)</f>
        <v/>
      </c>
      <c r="Z42" s="57"/>
      <c r="AA42" s="57"/>
      <c r="AB42" s="57"/>
      <c r="AC42" s="57"/>
      <c r="AD42" s="57"/>
      <c r="AE42" s="57"/>
      <c r="AF42" s="223" t="str">
        <f>Texte!$A$1675</f>
        <v>Gehalt der verdünnten Mischgülle</v>
      </c>
      <c r="AG42" s="223"/>
      <c r="AH42" s="223"/>
      <c r="AI42" s="223"/>
      <c r="AJ42" s="223"/>
      <c r="AK42" s="223"/>
      <c r="AL42" s="223"/>
    </row>
    <row r="43" spans="2:40" ht="14.25" customHeight="1" thickBot="1">
      <c r="B43" s="57"/>
      <c r="C43" s="183"/>
      <c r="D43" s="183"/>
      <c r="E43" s="125"/>
      <c r="F43" s="125"/>
      <c r="G43" s="125"/>
      <c r="H43" s="125"/>
      <c r="I43" s="125"/>
      <c r="J43" s="1122"/>
      <c r="K43" s="1122"/>
      <c r="L43" s="1122"/>
      <c r="M43" s="1122"/>
      <c r="N43" s="1122"/>
      <c r="O43" s="1122"/>
      <c r="P43" s="1122"/>
      <c r="Q43" s="1122"/>
      <c r="R43" s="1122"/>
      <c r="S43" s="1122"/>
      <c r="T43" s="1122"/>
      <c r="U43" s="1122"/>
      <c r="V43" s="125"/>
      <c r="W43" s="125"/>
      <c r="X43" s="199" t="str">
        <f>Texte!$A$1673</f>
        <v>Freie Korrektur</v>
      </c>
      <c r="Y43" s="1170"/>
      <c r="Z43" s="57"/>
      <c r="AA43" s="57"/>
      <c r="AB43" s="57"/>
      <c r="AC43" s="57"/>
      <c r="AD43" s="57"/>
      <c r="AE43" s="57"/>
      <c r="AF43" s="223" t="str">
        <f>Texte!$A$1676</f>
        <v>in kg je m³</v>
      </c>
      <c r="AG43" s="223"/>
      <c r="AH43" s="223"/>
      <c r="AI43" s="223"/>
      <c r="AJ43" s="223"/>
      <c r="AK43" s="223"/>
      <c r="AL43" s="223"/>
    </row>
    <row r="44" spans="2:40" ht="14.25" customHeight="1" thickBot="1">
      <c r="B44" s="57"/>
      <c r="C44" s="183"/>
      <c r="D44" s="183"/>
      <c r="E44" s="125"/>
      <c r="F44" s="125"/>
      <c r="G44" s="125"/>
      <c r="H44" s="125"/>
      <c r="I44" s="125"/>
      <c r="J44" s="1122"/>
      <c r="K44" s="1122"/>
      <c r="L44" s="1122"/>
      <c r="M44" s="1122"/>
      <c r="N44" s="1122"/>
      <c r="O44" s="1122"/>
      <c r="P44" s="1122"/>
      <c r="Q44" s="1122"/>
      <c r="R44" s="1122"/>
      <c r="S44" s="1122"/>
      <c r="T44" s="1122"/>
      <c r="U44" s="1122"/>
      <c r="V44" s="125"/>
      <c r="W44" s="125"/>
      <c r="X44" s="199" t="str">
        <f>Texte!$A$1674</f>
        <v>Güllemenge total verdünnt in m³</v>
      </c>
      <c r="Y44" s="335" t="str">
        <f>IF(COUNT(Y40:Y43)=0,"",SUM(Y40:Y43))</f>
        <v/>
      </c>
      <c r="Z44" s="57"/>
      <c r="AA44" s="57"/>
      <c r="AB44" s="57"/>
      <c r="AC44" s="57"/>
      <c r="AD44" s="57"/>
      <c r="AE44" s="57"/>
      <c r="AF44" s="1171" t="str">
        <f t="shared" ref="AF44:AK44" si="3">IF(OR(AF39="",SUM($Y44)=0,SUM($AF39:$AK39)=0),"",ROUND(AF39/$Y44,1))</f>
        <v/>
      </c>
      <c r="AG44" s="1172" t="str">
        <f t="shared" si="3"/>
        <v/>
      </c>
      <c r="AH44" s="1172" t="str">
        <f t="shared" si="3"/>
        <v/>
      </c>
      <c r="AI44" s="1172" t="str">
        <f t="shared" si="3"/>
        <v/>
      </c>
      <c r="AJ44" s="1172" t="str">
        <f t="shared" si="3"/>
        <v/>
      </c>
      <c r="AK44" s="1172" t="str">
        <f t="shared" si="3"/>
        <v/>
      </c>
      <c r="AL44" s="509"/>
    </row>
    <row r="45" spans="2:40" ht="6" customHeight="1">
      <c r="B45" s="57"/>
      <c r="C45" s="183"/>
      <c r="D45" s="183"/>
      <c r="E45" s="125"/>
      <c r="F45" s="125"/>
      <c r="G45" s="125"/>
      <c r="H45" s="125"/>
      <c r="I45" s="125"/>
      <c r="J45" s="1122"/>
      <c r="K45" s="1122"/>
      <c r="L45" s="1122"/>
      <c r="M45" s="1122"/>
      <c r="N45" s="1122"/>
      <c r="O45" s="1122"/>
      <c r="P45" s="1122"/>
      <c r="Q45" s="1122"/>
      <c r="R45" s="1122"/>
      <c r="S45" s="1122"/>
      <c r="T45" s="1122"/>
      <c r="U45" s="1122"/>
      <c r="V45" s="125"/>
      <c r="W45" s="125"/>
      <c r="X45" s="125"/>
      <c r="Y45" s="125"/>
      <c r="Z45" s="57"/>
      <c r="AA45" s="57"/>
      <c r="AB45" s="57"/>
      <c r="AC45" s="57"/>
      <c r="AD45" s="57"/>
      <c r="AE45" s="57"/>
      <c r="AF45" s="57"/>
      <c r="AG45" s="57"/>
      <c r="AH45" s="57"/>
      <c r="AI45" s="57"/>
      <c r="AJ45" s="57"/>
      <c r="AK45" s="57"/>
      <c r="AL45" s="57"/>
    </row>
    <row r="46" spans="2:40">
      <c r="B46" s="414" t="str">
        <f>Texte!A1677</f>
        <v>Güllegrube 2</v>
      </c>
      <c r="C46" s="183"/>
      <c r="D46" s="183"/>
      <c r="E46" s="125"/>
      <c r="F46" s="125"/>
      <c r="G46" s="125"/>
      <c r="H46" s="125"/>
      <c r="I46" s="125"/>
      <c r="J46" s="1122"/>
      <c r="K46" s="1122"/>
      <c r="L46" s="1122"/>
      <c r="M46" s="1122"/>
      <c r="N46" s="1122"/>
      <c r="O46" s="1122"/>
      <c r="P46" s="1122"/>
      <c r="Q46" s="1122"/>
      <c r="R46" s="1122"/>
      <c r="S46" s="1122"/>
      <c r="T46" s="1122"/>
      <c r="U46" s="1122"/>
      <c r="V46" s="125"/>
      <c r="W46" s="125"/>
      <c r="X46" s="125"/>
      <c r="Y46" s="125"/>
      <c r="Z46" s="57"/>
      <c r="AA46" s="57"/>
      <c r="AB46" s="57"/>
      <c r="AC46" s="57"/>
      <c r="AD46" s="57"/>
      <c r="AE46" s="57"/>
      <c r="AF46" s="57"/>
      <c r="AG46" s="57"/>
      <c r="AH46" s="57"/>
      <c r="AI46" s="57"/>
      <c r="AJ46" s="57"/>
      <c r="AK46" s="57"/>
      <c r="AL46" s="57"/>
    </row>
    <row r="47" spans="2:40" ht="6" customHeight="1">
      <c r="B47" s="57"/>
      <c r="C47" s="183"/>
      <c r="D47" s="183"/>
      <c r="E47" s="125"/>
      <c r="F47" s="125"/>
      <c r="G47" s="125"/>
      <c r="H47" s="125"/>
      <c r="I47" s="125"/>
      <c r="J47" s="1122"/>
      <c r="K47" s="1122"/>
      <c r="L47" s="1122"/>
      <c r="M47" s="1122"/>
      <c r="N47" s="1122"/>
      <c r="O47" s="1122"/>
      <c r="P47" s="1122"/>
      <c r="Q47" s="1122"/>
      <c r="R47" s="1122"/>
      <c r="S47" s="1122"/>
      <c r="T47" s="1122"/>
      <c r="U47" s="1122"/>
      <c r="V47" s="125"/>
      <c r="W47" s="125"/>
      <c r="X47" s="125"/>
      <c r="Y47" s="125"/>
      <c r="Z47" s="57"/>
      <c r="AA47" s="57"/>
      <c r="AB47" s="57"/>
      <c r="AC47" s="57"/>
      <c r="AD47" s="57"/>
      <c r="AE47" s="57"/>
      <c r="AF47" s="57"/>
      <c r="AG47" s="57"/>
      <c r="AH47" s="57"/>
      <c r="AI47" s="57"/>
      <c r="AJ47" s="57"/>
      <c r="AK47" s="57"/>
      <c r="AL47" s="57"/>
    </row>
    <row r="48" spans="2:40" ht="13.5">
      <c r="B48" s="1123"/>
      <c r="C48" s="1124" t="str">
        <f>Texte!$A$1593</f>
        <v>Anzahl</v>
      </c>
      <c r="D48" s="1124"/>
      <c r="E48" s="1125"/>
      <c r="F48" s="1125"/>
      <c r="G48" s="1125" t="str">
        <f>Texte!$A$1602</f>
        <v>Anzahl</v>
      </c>
      <c r="H48" s="1125"/>
      <c r="I48" s="1125" t="str">
        <f>Texte!$A$1611</f>
        <v>Tier-</v>
      </c>
      <c r="J48" s="1127" t="str">
        <f>Texte!$A$1614</f>
        <v>Strohbed.</v>
      </c>
      <c r="K48" s="1127" t="str">
        <f>Texte!$A$1618</f>
        <v>Mistanf.</v>
      </c>
      <c r="L48" s="1127" t="str">
        <f>Texte!$A$1622</f>
        <v>Gülleanf.</v>
      </c>
      <c r="M48" s="1127" t="str">
        <f>Texte!$A$1626</f>
        <v>Wasser im</v>
      </c>
      <c r="N48" s="1127" t="str">
        <f>Texte!$A$1626</f>
        <v>Wasser im</v>
      </c>
      <c r="O48" s="1127"/>
      <c r="P48" s="1127"/>
      <c r="Q48" s="191"/>
      <c r="R48" s="191"/>
      <c r="S48" s="191"/>
      <c r="T48" s="564"/>
      <c r="U48" s="1126" t="str">
        <f>Texte!$A$1636</f>
        <v>Sch-</v>
      </c>
      <c r="V48" s="1125" t="str">
        <f>Texte!$A$1640</f>
        <v>Sch-</v>
      </c>
      <c r="W48" s="1125" t="str">
        <f>Texte!$A$1643</f>
        <v>Einh.</v>
      </c>
      <c r="X48" s="1127" t="str">
        <f>Texte!$A$1647</f>
        <v>Gülleanf.</v>
      </c>
      <c r="Y48" s="1125" t="str">
        <f>Texte!$A$1651</f>
        <v>Gülleanfall</v>
      </c>
      <c r="Z48" s="191"/>
      <c r="AA48" s="191"/>
      <c r="AB48" s="191"/>
      <c r="AC48" s="191"/>
      <c r="AD48" s="191"/>
      <c r="AE48" s="564"/>
      <c r="AF48" s="191"/>
      <c r="AG48" s="191"/>
      <c r="AH48" s="191"/>
      <c r="AI48" s="191"/>
      <c r="AJ48" s="191"/>
      <c r="AK48" s="564"/>
      <c r="AL48" s="1128" t="str">
        <f>Texte!$A$1660</f>
        <v>Wasser</v>
      </c>
    </row>
    <row r="49" spans="1:38" ht="13.5">
      <c r="B49" s="541" t="str">
        <f>Texte!$A$1592</f>
        <v>Tierart, Tierplatzkategorie</v>
      </c>
      <c r="C49" s="1129" t="str">
        <f>Texte!$A$1594</f>
        <v>Tiere /</v>
      </c>
      <c r="D49" s="1129" t="str">
        <f>Texte!$A$1596</f>
        <v>Zuschlag</v>
      </c>
      <c r="E49" s="1130" t="str">
        <f>Texte!$A$1598</f>
        <v>Laufhof-</v>
      </c>
      <c r="F49" s="1130" t="str">
        <f>Texte!$A$1600</f>
        <v>Weide-</v>
      </c>
      <c r="G49" s="1130" t="str">
        <f>Texte!$A$1603</f>
        <v>Tiere /</v>
      </c>
      <c r="H49" s="1130" t="str">
        <f>Texte!$A$1606</f>
        <v>Faktor</v>
      </c>
      <c r="I49" s="1130" t="str">
        <f>Texte!$A$1612</f>
        <v>art-</v>
      </c>
      <c r="J49" s="1132" t="str">
        <f>Texte!$A$1615</f>
        <v>pro</v>
      </c>
      <c r="K49" s="1132" t="str">
        <f>Texte!$A$1619</f>
        <v>pro</v>
      </c>
      <c r="L49" s="1132" t="str">
        <f>Texte!$A$1623</f>
        <v>pro</v>
      </c>
      <c r="M49" s="1132" t="str">
        <f>Texte!$A$1627</f>
        <v>Sommer/</v>
      </c>
      <c r="N49" s="1132" t="str">
        <f>Texte!$A$1628</f>
        <v>Winter/</v>
      </c>
      <c r="O49" s="1132" t="str">
        <f>Texte!$A$1630</f>
        <v>Mist-</v>
      </c>
      <c r="P49" s="1132" t="str">
        <f>Texte!$A$1632</f>
        <v>Gülle-</v>
      </c>
      <c r="Q49" s="223" t="str">
        <f>Texte!$A$1634</f>
        <v>Gülleanteil an Nährstoffen</v>
      </c>
      <c r="R49" s="223"/>
      <c r="S49" s="223"/>
      <c r="T49" s="1133"/>
      <c r="U49" s="1131" t="str">
        <f>Texte!$A$1637</f>
        <v>wemm-</v>
      </c>
      <c r="V49" s="1130" t="str">
        <f>Texte!$A$1641</f>
        <v>weine</v>
      </c>
      <c r="W49" s="1130" t="str">
        <f>Texte!$A$1644</f>
        <v>total</v>
      </c>
      <c r="X49" s="1132" t="str">
        <f>Texte!$A$1648</f>
        <v>pro</v>
      </c>
      <c r="Y49" s="1130" t="str">
        <f>Texte!$A$1652</f>
        <v>total</v>
      </c>
      <c r="Z49" s="223" t="str">
        <f>Texte!$A$1654</f>
        <v>Gehalte in kg je m³ Gülle</v>
      </c>
      <c r="AA49" s="223"/>
      <c r="AB49" s="223"/>
      <c r="AC49" s="223"/>
      <c r="AD49" s="223"/>
      <c r="AE49" s="1133"/>
      <c r="AF49" s="223" t="str">
        <f>Texte!$A$1659</f>
        <v>Nährstoffanfall in der Gülle</v>
      </c>
      <c r="AG49" s="223"/>
      <c r="AH49" s="223"/>
      <c r="AI49" s="223"/>
      <c r="AJ49" s="223"/>
      <c r="AK49" s="1133"/>
      <c r="AL49" s="1134" t="str">
        <f>Texte!$A$1661</f>
        <v>Stall-</v>
      </c>
    </row>
    <row r="50" spans="1:38" ht="13.5">
      <c r="B50" s="541"/>
      <c r="C50" s="1129" t="str">
        <f>Texte!$A$1595</f>
        <v>Plätze</v>
      </c>
      <c r="D50" s="1129" t="str">
        <f>Texte!$A$1597</f>
        <v>/ Abzug</v>
      </c>
      <c r="E50" s="1130" t="str">
        <f>Texte!$A$1599</f>
        <v>abzug</v>
      </c>
      <c r="F50" s="1130" t="str">
        <f>Texte!$A$1601</f>
        <v>abzug</v>
      </c>
      <c r="G50" s="1130" t="str">
        <f>Texte!$A$1604</f>
        <v>Plätze</v>
      </c>
      <c r="H50" s="1130"/>
      <c r="I50" s="1130" t="str">
        <f>Texte!$A$1613</f>
        <v>Index</v>
      </c>
      <c r="J50" s="1132" t="str">
        <f>Texte!$A$1616</f>
        <v>Tier/Platz</v>
      </c>
      <c r="K50" s="1132" t="str">
        <f>Texte!$A$1620</f>
        <v>Tier/Platz</v>
      </c>
      <c r="L50" s="1132" t="str">
        <f>Texte!$A$1624</f>
        <v>Tier/Platz</v>
      </c>
      <c r="M50" s="1132" t="str">
        <f>Texte!$A$1629</f>
        <v>GVE/MSP/LHP</v>
      </c>
      <c r="N50" s="1132" t="str">
        <f>Texte!$A$1629</f>
        <v>GVE/MSP/LHP</v>
      </c>
      <c r="O50" s="1132" t="str">
        <f>Texte!$A$1631</f>
        <v>Typ</v>
      </c>
      <c r="P50" s="1132" t="str">
        <f>Texte!$A$1633</f>
        <v>Typ</v>
      </c>
      <c r="Q50" s="57"/>
      <c r="R50" s="1135"/>
      <c r="S50" s="1135"/>
      <c r="T50" s="548"/>
      <c r="U50" s="1131" t="str">
        <f>Texte!$A$1638</f>
        <v>ent-</v>
      </c>
      <c r="V50" s="1130" t="str">
        <f>Texte!$A$1642</f>
        <v>Gülle</v>
      </c>
      <c r="W50" s="1132" t="str">
        <f>Texte!$A$1645</f>
        <v>GVE/</v>
      </c>
      <c r="X50" s="1132" t="str">
        <f>Texte!$A$1649</f>
        <v>Tier/Platz</v>
      </c>
      <c r="Y50" s="1130" t="str">
        <f>Texte!$A$1653</f>
        <v>in</v>
      </c>
      <c r="Z50" s="57"/>
      <c r="AA50" s="1135" t="str">
        <f>Texte!$A$1655</f>
        <v>(Ack.b.)</v>
      </c>
      <c r="AB50" s="1135" t="str">
        <f>Texte!$A$1657</f>
        <v>(Fu.b.)</v>
      </c>
      <c r="AC50" s="57"/>
      <c r="AD50" s="57"/>
      <c r="AE50" s="548"/>
      <c r="AF50" s="57"/>
      <c r="AG50" s="1135" t="str">
        <f>Texte!$A$1655</f>
        <v>(Ack.b.)</v>
      </c>
      <c r="AH50" s="1135" t="str">
        <f>Texte!$A$1657</f>
        <v>(Fu.b.)</v>
      </c>
      <c r="AI50" s="57"/>
      <c r="AJ50" s="57"/>
      <c r="AK50" s="548"/>
      <c r="AL50" s="1134" t="str">
        <f>Texte!$A$1662</f>
        <v>reinigung</v>
      </c>
    </row>
    <row r="51" spans="1:38" ht="13.5">
      <c r="B51" s="541"/>
      <c r="C51" s="1129"/>
      <c r="D51" s="1129"/>
      <c r="E51" s="1130"/>
      <c r="F51" s="1130"/>
      <c r="G51" s="1130" t="str">
        <f>Texte!$A$1605</f>
        <v>korr.</v>
      </c>
      <c r="H51" s="1130"/>
      <c r="I51" s="1130"/>
      <c r="J51" s="1132" t="str">
        <f>Texte!$A$1617</f>
        <v>pro Mt.</v>
      </c>
      <c r="K51" s="1132" t="str">
        <f>Texte!$A$1621</f>
        <v>pro Mt.</v>
      </c>
      <c r="L51" s="1132" t="str">
        <f>Texte!$A$1625</f>
        <v>pro Mt.</v>
      </c>
      <c r="M51" s="1132" t="str">
        <f>Texte!$A$1625</f>
        <v>pro Mt.</v>
      </c>
      <c r="N51" s="1132" t="str">
        <f>Texte!$A$1625</f>
        <v>pro Mt.</v>
      </c>
      <c r="O51" s="1132"/>
      <c r="P51" s="1132"/>
      <c r="Q51" s="1136" t="str">
        <f>Texte!$A$1635</f>
        <v>Nges</v>
      </c>
      <c r="R51" s="1136" t="s">
        <v>3461</v>
      </c>
      <c r="S51" s="1136" t="s">
        <v>3462</v>
      </c>
      <c r="T51" s="1138" t="s">
        <v>7031</v>
      </c>
      <c r="U51" s="1131" t="str">
        <f>Texte!$A$1639</f>
        <v>mistung</v>
      </c>
      <c r="V51" s="1130"/>
      <c r="W51" s="1132" t="str">
        <f>Texte!$A$1646</f>
        <v>MSP/LHP</v>
      </c>
      <c r="X51" s="1132" t="str">
        <f>Texte!$A$1650</f>
        <v>pro Mt.</v>
      </c>
      <c r="Y51" s="1130" t="s">
        <v>5218</v>
      </c>
      <c r="Z51" s="1136" t="str">
        <f>Texte!$A$1656</f>
        <v>Nges</v>
      </c>
      <c r="AA51" s="1137" t="str">
        <f>Texte!$A$1658</f>
        <v>Nverf</v>
      </c>
      <c r="AB51" s="1137" t="str">
        <f>Texte!$A$1658</f>
        <v>Nverf</v>
      </c>
      <c r="AC51" s="1136" t="s">
        <v>3461</v>
      </c>
      <c r="AD51" s="1136" t="s">
        <v>3462</v>
      </c>
      <c r="AE51" s="1138" t="s">
        <v>7031</v>
      </c>
      <c r="AF51" s="1139" t="str">
        <f>Texte!$A$1656</f>
        <v>Nges</v>
      </c>
      <c r="AG51" s="1140" t="str">
        <f>Texte!$A$1658</f>
        <v>Nverf</v>
      </c>
      <c r="AH51" s="1140" t="str">
        <f>Texte!$A$1658</f>
        <v>Nverf</v>
      </c>
      <c r="AI51" s="1141" t="s">
        <v>3461</v>
      </c>
      <c r="AJ51" s="1141" t="s">
        <v>3462</v>
      </c>
      <c r="AK51" s="1142" t="s">
        <v>7031</v>
      </c>
      <c r="AL51" s="1143" t="str">
        <f>Texte!$A$1663</f>
        <v>Tierpflege</v>
      </c>
    </row>
    <row r="52" spans="1:38" ht="13.5">
      <c r="B52" s="1145" t="str">
        <f>Texte!A1667</f>
        <v>Aufstallungssystem 1</v>
      </c>
      <c r="C52" s="1124"/>
      <c r="D52" s="1146"/>
      <c r="E52" s="1146"/>
      <c r="F52" s="1146"/>
      <c r="G52" s="1125" t="str">
        <f t="array" ref="G52:G63">IF(ISBLANK($C52:$C63),"",$C52:$C63+$D52:$D63-$F52:$F63)</f>
        <v/>
      </c>
      <c r="H52" s="1125"/>
      <c r="I52" s="1125"/>
      <c r="J52" s="1148"/>
      <c r="K52" s="1148"/>
      <c r="L52" s="1148"/>
      <c r="M52" s="1148"/>
      <c r="N52" s="1148"/>
      <c r="O52" s="1124"/>
      <c r="P52" s="1124"/>
      <c r="Q52" s="2368">
        <f t="array" ref="Q52:Q63">IF(((INDEX(TG!Gülle,$O52:$O63,1)*$K52:$K63)+(INDEX(TG!Gülle,$P52:$P63,1)*$L52:$L63))=0,0,(INDEX(TG!Gülle,$P52:$P63,1)*$L52:$L63)/((INDEX(TG!Gülle,$O52:$O63,1)*$K52:$K63)+(INDEX(TG!Gülle,$P52:$P63,1)*$L52:$L63)))</f>
        <v>0</v>
      </c>
      <c r="R52" s="2368">
        <f t="array" ref="R52:R63">IF(((INDEX(TG!Gülle,$O52:$O63,4)*$K52:$K63)+(INDEX(TG!Gülle,$P52:$P63,4)*$L52:$L63))=0,0,(INDEX(TG!Gülle,$P52:$P63,4)*$L52:$L63)/((INDEX(TG!Gülle,$O52:$O63,4)*$K52:$K63)+(INDEX(TG!Gülle,$P52:$P63,4)*$L52:$L63)))</f>
        <v>0</v>
      </c>
      <c r="S52" s="2368">
        <f t="array" ref="S52:S63">IF(((INDEX(TG!Gülle,$O52:$O63,5)*$K52:$K63)+(INDEX(TG!Gülle,$P52:$P63,5)*$L52:$L63))=0,0,(INDEX(TG!Gülle,$P52:$P63,5)*$L52:$L63)/((INDEX(TG!Gülle,$O52:$O63,5)*$K52:$K63)+(INDEX(TG!Gülle,$P52:$P63,5)*$L52:$L63)))</f>
        <v>0</v>
      </c>
      <c r="T52" s="2368">
        <f t="array" ref="T52:T63">IF(((INDEX(TG!Gülle,$O52:$O63,6)*$K52:$K63)+(INDEX(TG!Gülle,$P52:$P63,6)*$L52:$L63))=0,0,(INDEX(TG!Gülle,$P52:$P63,6)*$L52:$L63)/((INDEX(TG!Gülle,$O52:$O63,6)*$K52:$K63)+(INDEX(TG!Gülle,$P52:$P63,6)*$L52:$L63)))</f>
        <v>0</v>
      </c>
      <c r="U52" s="1126"/>
      <c r="V52" s="1147"/>
      <c r="W52" s="1125" t="str">
        <f t="array" ref="W52:W63">IF(ISBLANK($C52:$C63),"",($G52:$G63+$F52:$F63)*($H52:$H63))</f>
        <v/>
      </c>
      <c r="X52" s="1148" t="str">
        <f t="array" ref="X52:X63">IF(ISBLANK($C52:$C63),"",($L52:$L63))</f>
        <v/>
      </c>
      <c r="Y52" s="1125" t="str">
        <f t="array" ref="Y52:Y63">IF(ISBLANK($C52:$C63),"",$G52:$G63*$X52:$X63*HDA!$C$6)</f>
        <v/>
      </c>
      <c r="Z52" s="1149" t="str">
        <f t="array" ref="Z52:Z63">IF(ISERROR(AF52:AF63/$Y52:$Y63),"",AF52:AF63/$Y52:$Y63)</f>
        <v/>
      </c>
      <c r="AA52" s="1149" t="str">
        <f t="array" ref="AA52:AA63">IF(ISERROR(AG52:AG63/$Y52:$Y63),"",AG52:AG63/$Y52:$Y63)</f>
        <v/>
      </c>
      <c r="AB52" s="1149" t="str">
        <f t="array" ref="AB52:AB63">IF(ISERROR(AH52:AH63/$Y52:$Y63),"",AH52:AH63/$Y52:$Y63)</f>
        <v/>
      </c>
      <c r="AC52" s="1149" t="str">
        <f t="array" ref="AC52:AC63">IF(ISERROR(AI52:AI63/$Y52:$Y63),"",AI52:AI63/$Y52:$Y63)</f>
        <v/>
      </c>
      <c r="AD52" s="1149" t="str">
        <f t="array" ref="AD52:AD63">IF(ISERROR(AJ52:AJ63/$Y52:$Y63),"",AJ52:AJ63/$Y52:$Y63)</f>
        <v/>
      </c>
      <c r="AE52" s="564" t="str">
        <f t="array" ref="AE52:AE63">IF(ISERROR(AK52:AK63/$Y52:$Y63),"",AK52:AK63/$Y52:$Y63)</f>
        <v/>
      </c>
      <c r="AF52" s="1149" t="str">
        <f t="array" ref="AF52:AF63">IF(X52:X63&gt;0,IF(ISBLANK($C52:$C63),"",IF(IF($V52:$V63,IF($W$8&lt;&gt;0,IF($AF$8=2,FALSE,TRUE),TRUE),TRUE),VLOOKUP($I52:$I63,D_Tierb!$A$8:$U$80,18,FALSE)*$Q52:$Q63*$G52:$G63-VLOOKUP($I52:$I63,D_Tierb!$A$8:$U$80,18,FALSE)*$E52:$E63*0.05,$W$8/D_Tierb!$BI$72*VLOOKUP($I52:$I63,D_Tierb!$A$8:$BJ$80,18,FALSE)*$G52:$G63*$Q52:$Q63-VLOOKUP($I52:$I63,D_Tierb!$A$8:$U$80,18,FALSE)*$E52:$E63*0.05)),0)</f>
        <v/>
      </c>
      <c r="AG52" s="1149" t="str">
        <f t="array" ref="AG52:AG63">IF(ISBLANK($C52:$C63),"",$AF52:$AF63*INDEX(TG!Verfügbar,$P52:$P63,1)/100)</f>
        <v/>
      </c>
      <c r="AH52" s="1149" t="str">
        <f t="array" ref="AH52:AH63">IF(ISBLANK($C52:$C63),"",$AF52:$AF63*INDEX(TG!Verfügbar,$P52:$P63,2)/100)</f>
        <v/>
      </c>
      <c r="AI52" s="1149" t="str">
        <f t="array" ref="AI52:AI63">IF(ISBLANK($C52:$C63),"",IF(IF($V52:$V63,IF($Z$8&lt;&gt;0,IF($AF$8=2,FALSE,TRUE),TRUE),TRUE),VLOOKUP($I52:$I63,D_Tierb!$A$8:$U$80,19,FALSE)*$R52:$R63*$G52:$G63,$Z$8/D_Tierb!$BJ$72*VLOOKUP($I52:$I63,D_Tierb!$A$8:$BJ$80,19,FALSE)*$G52:$G63*$R52:$R63))</f>
        <v/>
      </c>
      <c r="AJ52" s="1149" t="str">
        <f t="array" ref="AJ52:AJ63">IF(ISBLANK($C52:$C63),"",VLOOKUP($I52:$I63,D_Tierb!$A$8:$U$80,20,FALSE)*$S52:$S63*$G52:$G63)</f>
        <v/>
      </c>
      <c r="AK52" s="1149" t="str">
        <f t="array" ref="AK52:AK63">IF(ISBLANK($C52:$C63),"",VLOOKUP($I52:$I63,D_Tierb!$A$8:$U$80,21,FALSE)*$T52:$T63*$G52:$G63)</f>
        <v/>
      </c>
      <c r="AL52" s="1151" t="str">
        <f t="array" ref="AL52:AL63">IF(ISBLANK($C52:$C63),"", $W52:$W63 * ($AP$18*$M52:$M63 + $AP$19*$N52:$N63 + IF(OR($U52:$U63="Ja",$U52:$U63="Oui"),$AQ$16,0)) * HDA!$C$6)</f>
        <v/>
      </c>
    </row>
    <row r="53" spans="1:38" ht="13.5">
      <c r="B53" s="1152"/>
      <c r="C53" s="1153"/>
      <c r="D53" s="1154"/>
      <c r="E53" s="1154"/>
      <c r="F53" s="1154"/>
      <c r="G53" s="1154" t="str">
        <v/>
      </c>
      <c r="H53" s="1155"/>
      <c r="I53" s="1156"/>
      <c r="J53" s="1159"/>
      <c r="K53" s="1159"/>
      <c r="L53" s="1159"/>
      <c r="M53" s="1159"/>
      <c r="N53" s="1159"/>
      <c r="O53" s="1153"/>
      <c r="P53" s="1153"/>
      <c r="Q53" s="2369">
        <v>0</v>
      </c>
      <c r="R53" s="2369">
        <v>0</v>
      </c>
      <c r="S53" s="2369">
        <v>0</v>
      </c>
      <c r="T53" s="2369">
        <v>0</v>
      </c>
      <c r="U53" s="1157"/>
      <c r="V53" s="1158"/>
      <c r="W53" s="1154" t="str">
        <v/>
      </c>
      <c r="X53" s="1159" t="str">
        <v/>
      </c>
      <c r="Y53" s="1153" t="str">
        <v/>
      </c>
      <c r="Z53" s="1160" t="str">
        <v/>
      </c>
      <c r="AA53" s="1160" t="str">
        <v/>
      </c>
      <c r="AB53" s="1160" t="str">
        <v/>
      </c>
      <c r="AC53" s="1160" t="str">
        <v/>
      </c>
      <c r="AD53" s="1160" t="str">
        <v/>
      </c>
      <c r="AE53" s="1154" t="str">
        <v/>
      </c>
      <c r="AF53" s="1161" t="str">
        <v/>
      </c>
      <c r="AG53" s="1161" t="str">
        <v/>
      </c>
      <c r="AH53" s="1161" t="str">
        <v/>
      </c>
      <c r="AI53" s="1161" t="str">
        <v/>
      </c>
      <c r="AJ53" s="1161" t="str">
        <v/>
      </c>
      <c r="AK53" s="1161" t="str">
        <v/>
      </c>
      <c r="AL53" s="1162" t="str">
        <v/>
      </c>
    </row>
    <row r="54" spans="1:38" ht="13.5">
      <c r="B54" s="1152"/>
      <c r="C54" s="1153"/>
      <c r="D54" s="1154"/>
      <c r="E54" s="1154"/>
      <c r="F54" s="1154"/>
      <c r="G54" s="1154" t="str">
        <v/>
      </c>
      <c r="H54" s="1155"/>
      <c r="I54" s="1156"/>
      <c r="J54" s="1159"/>
      <c r="K54" s="1159"/>
      <c r="L54" s="1159"/>
      <c r="M54" s="1159"/>
      <c r="N54" s="1159"/>
      <c r="O54" s="1153"/>
      <c r="P54" s="1153"/>
      <c r="Q54" s="2369">
        <v>0</v>
      </c>
      <c r="R54" s="2369">
        <v>0</v>
      </c>
      <c r="S54" s="2369">
        <v>0</v>
      </c>
      <c r="T54" s="2369">
        <v>0</v>
      </c>
      <c r="U54" s="1157"/>
      <c r="V54" s="1158"/>
      <c r="W54" s="1154" t="str">
        <v/>
      </c>
      <c r="X54" s="1159" t="str">
        <v/>
      </c>
      <c r="Y54" s="1153" t="str">
        <v/>
      </c>
      <c r="Z54" s="1160" t="str">
        <v/>
      </c>
      <c r="AA54" s="1160" t="str">
        <v/>
      </c>
      <c r="AB54" s="1160" t="str">
        <v/>
      </c>
      <c r="AC54" s="1160" t="str">
        <v/>
      </c>
      <c r="AD54" s="1160" t="str">
        <v/>
      </c>
      <c r="AE54" s="1154" t="str">
        <v/>
      </c>
      <c r="AF54" s="1161" t="str">
        <v/>
      </c>
      <c r="AG54" s="1161" t="str">
        <v/>
      </c>
      <c r="AH54" s="1161" t="str">
        <v/>
      </c>
      <c r="AI54" s="1161" t="str">
        <v/>
      </c>
      <c r="AJ54" s="1161" t="str">
        <v/>
      </c>
      <c r="AK54" s="1161" t="str">
        <v/>
      </c>
      <c r="AL54" s="1162" t="str">
        <v/>
      </c>
    </row>
    <row r="55" spans="1:38" ht="13.5">
      <c r="B55" s="1152"/>
      <c r="C55" s="1153"/>
      <c r="D55" s="1154"/>
      <c r="E55" s="1154"/>
      <c r="F55" s="1154"/>
      <c r="G55" s="1154" t="str">
        <v/>
      </c>
      <c r="H55" s="1155"/>
      <c r="I55" s="1156"/>
      <c r="J55" s="1159"/>
      <c r="K55" s="1159"/>
      <c r="L55" s="1159"/>
      <c r="M55" s="1159"/>
      <c r="N55" s="1159"/>
      <c r="O55" s="1153"/>
      <c r="P55" s="1153"/>
      <c r="Q55" s="2369">
        <v>0</v>
      </c>
      <c r="R55" s="2369">
        <v>0</v>
      </c>
      <c r="S55" s="2369">
        <v>0</v>
      </c>
      <c r="T55" s="2369">
        <v>0</v>
      </c>
      <c r="U55" s="1157"/>
      <c r="V55" s="1158"/>
      <c r="W55" s="1154" t="str">
        <v/>
      </c>
      <c r="X55" s="1159" t="str">
        <v/>
      </c>
      <c r="Y55" s="1153" t="str">
        <v/>
      </c>
      <c r="Z55" s="1160" t="str">
        <v/>
      </c>
      <c r="AA55" s="1160" t="str">
        <v/>
      </c>
      <c r="AB55" s="1160" t="str">
        <v/>
      </c>
      <c r="AC55" s="1160" t="str">
        <v/>
      </c>
      <c r="AD55" s="1160" t="str">
        <v/>
      </c>
      <c r="AE55" s="1154" t="str">
        <v/>
      </c>
      <c r="AF55" s="1161" t="str">
        <v/>
      </c>
      <c r="AG55" s="1161" t="str">
        <v/>
      </c>
      <c r="AH55" s="1161" t="str">
        <v/>
      </c>
      <c r="AI55" s="1161" t="str">
        <v/>
      </c>
      <c r="AJ55" s="1161" t="str">
        <v/>
      </c>
      <c r="AK55" s="1161" t="str">
        <v/>
      </c>
      <c r="AL55" s="1162" t="str">
        <v/>
      </c>
    </row>
    <row r="56" spans="1:38" ht="13.5">
      <c r="B56" s="1152"/>
      <c r="C56" s="1153"/>
      <c r="D56" s="1154"/>
      <c r="E56" s="1154"/>
      <c r="F56" s="1154"/>
      <c r="G56" s="1154" t="str">
        <v/>
      </c>
      <c r="H56" s="1155"/>
      <c r="I56" s="1156"/>
      <c r="J56" s="1159"/>
      <c r="K56" s="1159"/>
      <c r="L56" s="1159"/>
      <c r="M56" s="1159"/>
      <c r="N56" s="1159"/>
      <c r="O56" s="1153"/>
      <c r="P56" s="1153"/>
      <c r="Q56" s="2369">
        <v>0</v>
      </c>
      <c r="R56" s="2369">
        <v>0</v>
      </c>
      <c r="S56" s="2369">
        <v>0</v>
      </c>
      <c r="T56" s="2369">
        <v>0</v>
      </c>
      <c r="U56" s="1157"/>
      <c r="V56" s="1158"/>
      <c r="W56" s="1154" t="str">
        <v/>
      </c>
      <c r="X56" s="1159" t="str">
        <v/>
      </c>
      <c r="Y56" s="1153" t="str">
        <v/>
      </c>
      <c r="Z56" s="1160" t="str">
        <v/>
      </c>
      <c r="AA56" s="1160" t="str">
        <v/>
      </c>
      <c r="AB56" s="1160" t="str">
        <v/>
      </c>
      <c r="AC56" s="1160" t="str">
        <v/>
      </c>
      <c r="AD56" s="1160" t="str">
        <v/>
      </c>
      <c r="AE56" s="1154" t="str">
        <v/>
      </c>
      <c r="AF56" s="1161" t="str">
        <v/>
      </c>
      <c r="AG56" s="1161" t="str">
        <v/>
      </c>
      <c r="AH56" s="1161" t="str">
        <v/>
      </c>
      <c r="AI56" s="1161" t="str">
        <v/>
      </c>
      <c r="AJ56" s="1161" t="str">
        <v/>
      </c>
      <c r="AK56" s="1161" t="str">
        <v/>
      </c>
      <c r="AL56" s="1162" t="str">
        <v/>
      </c>
    </row>
    <row r="57" spans="1:38" ht="13.5">
      <c r="B57" s="1152"/>
      <c r="C57" s="1153"/>
      <c r="D57" s="1154"/>
      <c r="E57" s="1154"/>
      <c r="F57" s="1154"/>
      <c r="G57" s="1154" t="str">
        <v/>
      </c>
      <c r="H57" s="1155"/>
      <c r="I57" s="1156"/>
      <c r="J57" s="1159"/>
      <c r="K57" s="1159"/>
      <c r="L57" s="1159"/>
      <c r="M57" s="1159"/>
      <c r="N57" s="1159"/>
      <c r="O57" s="1153"/>
      <c r="P57" s="1153"/>
      <c r="Q57" s="2369">
        <v>0</v>
      </c>
      <c r="R57" s="2369">
        <v>0</v>
      </c>
      <c r="S57" s="2369">
        <v>0</v>
      </c>
      <c r="T57" s="2369">
        <v>0</v>
      </c>
      <c r="U57" s="1157"/>
      <c r="V57" s="1158"/>
      <c r="W57" s="1154" t="str">
        <v/>
      </c>
      <c r="X57" s="1159" t="str">
        <v/>
      </c>
      <c r="Y57" s="1153" t="str">
        <v/>
      </c>
      <c r="Z57" s="1160" t="str">
        <v/>
      </c>
      <c r="AA57" s="1160" t="str">
        <v/>
      </c>
      <c r="AB57" s="1160" t="str">
        <v/>
      </c>
      <c r="AC57" s="1160" t="str">
        <v/>
      </c>
      <c r="AD57" s="1160" t="str">
        <v/>
      </c>
      <c r="AE57" s="1154" t="str">
        <v/>
      </c>
      <c r="AF57" s="1161" t="str">
        <v/>
      </c>
      <c r="AG57" s="1161" t="str">
        <v/>
      </c>
      <c r="AH57" s="1161" t="str">
        <v/>
      </c>
      <c r="AI57" s="1161" t="str">
        <v/>
      </c>
      <c r="AJ57" s="1161" t="str">
        <v/>
      </c>
      <c r="AK57" s="1161" t="str">
        <v/>
      </c>
      <c r="AL57" s="1162" t="str">
        <v/>
      </c>
    </row>
    <row r="58" spans="1:38" ht="13.5">
      <c r="B58" s="1163" t="str">
        <f>Texte!A1668</f>
        <v>Aufstallungssystem 2</v>
      </c>
      <c r="C58" s="1153"/>
      <c r="D58" s="1154"/>
      <c r="E58" s="1154"/>
      <c r="F58" s="1154"/>
      <c r="G58" s="1154" t="str">
        <v/>
      </c>
      <c r="H58" s="1155"/>
      <c r="I58" s="1156"/>
      <c r="J58" s="1159"/>
      <c r="K58" s="1159"/>
      <c r="L58" s="1159"/>
      <c r="M58" s="1159"/>
      <c r="N58" s="1159"/>
      <c r="O58" s="1153"/>
      <c r="P58" s="1153"/>
      <c r="Q58" s="2369">
        <v>0</v>
      </c>
      <c r="R58" s="2369">
        <v>0</v>
      </c>
      <c r="S58" s="2369">
        <v>0</v>
      </c>
      <c r="T58" s="2369">
        <v>0</v>
      </c>
      <c r="U58" s="1157"/>
      <c r="V58" s="1158"/>
      <c r="W58" s="1154" t="str">
        <v/>
      </c>
      <c r="X58" s="1159" t="str">
        <v/>
      </c>
      <c r="Y58" s="1153" t="str">
        <v/>
      </c>
      <c r="Z58" s="1160" t="str">
        <v/>
      </c>
      <c r="AA58" s="1160" t="str">
        <v/>
      </c>
      <c r="AB58" s="1160" t="str">
        <v/>
      </c>
      <c r="AC58" s="1160" t="str">
        <v/>
      </c>
      <c r="AD58" s="1160" t="str">
        <v/>
      </c>
      <c r="AE58" s="1154" t="str">
        <v/>
      </c>
      <c r="AF58" s="1161" t="str">
        <v/>
      </c>
      <c r="AG58" s="1161" t="str">
        <v/>
      </c>
      <c r="AH58" s="1161" t="str">
        <v/>
      </c>
      <c r="AI58" s="1161" t="str">
        <v/>
      </c>
      <c r="AJ58" s="1161" t="str">
        <v/>
      </c>
      <c r="AK58" s="1161" t="str">
        <v/>
      </c>
      <c r="AL58" s="1162" t="str">
        <v/>
      </c>
    </row>
    <row r="59" spans="1:38" ht="13.5">
      <c r="B59" s="1152"/>
      <c r="C59" s="1153"/>
      <c r="D59" s="1154"/>
      <c r="E59" s="1154"/>
      <c r="F59" s="1154"/>
      <c r="G59" s="1154" t="str">
        <v/>
      </c>
      <c r="H59" s="1155"/>
      <c r="I59" s="1156"/>
      <c r="J59" s="1159"/>
      <c r="K59" s="1159"/>
      <c r="L59" s="1159"/>
      <c r="M59" s="1159"/>
      <c r="N59" s="1159"/>
      <c r="O59" s="1153"/>
      <c r="P59" s="1153"/>
      <c r="Q59" s="2369">
        <v>0</v>
      </c>
      <c r="R59" s="2369">
        <v>0</v>
      </c>
      <c r="S59" s="2369">
        <v>0</v>
      </c>
      <c r="T59" s="2369">
        <v>0</v>
      </c>
      <c r="U59" s="1157"/>
      <c r="V59" s="1158"/>
      <c r="W59" s="1154" t="str">
        <v/>
      </c>
      <c r="X59" s="1159" t="str">
        <v/>
      </c>
      <c r="Y59" s="1153" t="str">
        <v/>
      </c>
      <c r="Z59" s="1160" t="str">
        <v/>
      </c>
      <c r="AA59" s="1160" t="str">
        <v/>
      </c>
      <c r="AB59" s="1160" t="str">
        <v/>
      </c>
      <c r="AC59" s="1160" t="str">
        <v/>
      </c>
      <c r="AD59" s="1160" t="str">
        <v/>
      </c>
      <c r="AE59" s="1154" t="str">
        <v/>
      </c>
      <c r="AF59" s="1161" t="str">
        <v/>
      </c>
      <c r="AG59" s="1161" t="str">
        <v/>
      </c>
      <c r="AH59" s="1161" t="str">
        <v/>
      </c>
      <c r="AI59" s="1161" t="str">
        <v/>
      </c>
      <c r="AJ59" s="1161" t="str">
        <v/>
      </c>
      <c r="AK59" s="1161" t="str">
        <v/>
      </c>
      <c r="AL59" s="1162" t="str">
        <v/>
      </c>
    </row>
    <row r="60" spans="1:38" ht="13.5">
      <c r="B60" s="1152"/>
      <c r="C60" s="1153"/>
      <c r="D60" s="1154"/>
      <c r="E60" s="1154"/>
      <c r="F60" s="1154"/>
      <c r="G60" s="1154" t="str">
        <v/>
      </c>
      <c r="H60" s="1155"/>
      <c r="I60" s="1156"/>
      <c r="J60" s="1159"/>
      <c r="K60" s="1159"/>
      <c r="L60" s="1159"/>
      <c r="M60" s="1159"/>
      <c r="N60" s="1159"/>
      <c r="O60" s="1153"/>
      <c r="P60" s="1153"/>
      <c r="Q60" s="2369">
        <v>0</v>
      </c>
      <c r="R60" s="2369">
        <v>0</v>
      </c>
      <c r="S60" s="2369">
        <v>0</v>
      </c>
      <c r="T60" s="2369">
        <v>0</v>
      </c>
      <c r="U60" s="1157"/>
      <c r="V60" s="1158"/>
      <c r="W60" s="1154" t="str">
        <v/>
      </c>
      <c r="X60" s="1159" t="str">
        <v/>
      </c>
      <c r="Y60" s="1153" t="str">
        <v/>
      </c>
      <c r="Z60" s="1160" t="str">
        <v/>
      </c>
      <c r="AA60" s="1160" t="str">
        <v/>
      </c>
      <c r="AB60" s="1160" t="str">
        <v/>
      </c>
      <c r="AC60" s="1160" t="str">
        <v/>
      </c>
      <c r="AD60" s="1160" t="str">
        <v/>
      </c>
      <c r="AE60" s="1154" t="str">
        <v/>
      </c>
      <c r="AF60" s="1161" t="str">
        <v/>
      </c>
      <c r="AG60" s="1161" t="str">
        <v/>
      </c>
      <c r="AH60" s="1161" t="str">
        <v/>
      </c>
      <c r="AI60" s="1161" t="str">
        <v/>
      </c>
      <c r="AJ60" s="1161" t="str">
        <v/>
      </c>
      <c r="AK60" s="1161" t="str">
        <v/>
      </c>
      <c r="AL60" s="1162" t="str">
        <v/>
      </c>
    </row>
    <row r="61" spans="1:38" ht="13.5">
      <c r="B61" s="1152"/>
      <c r="C61" s="1153"/>
      <c r="D61" s="1154"/>
      <c r="E61" s="1154"/>
      <c r="F61" s="1154"/>
      <c r="G61" s="1154" t="str">
        <v/>
      </c>
      <c r="H61" s="1155"/>
      <c r="I61" s="1156"/>
      <c r="J61" s="1159"/>
      <c r="K61" s="1159"/>
      <c r="L61" s="1159"/>
      <c r="M61" s="1159"/>
      <c r="N61" s="1159"/>
      <c r="O61" s="1153"/>
      <c r="P61" s="1153"/>
      <c r="Q61" s="2369">
        <v>0</v>
      </c>
      <c r="R61" s="2369">
        <v>0</v>
      </c>
      <c r="S61" s="2369">
        <v>0</v>
      </c>
      <c r="T61" s="2369">
        <v>0</v>
      </c>
      <c r="U61" s="1157"/>
      <c r="V61" s="1158"/>
      <c r="W61" s="1154" t="str">
        <v/>
      </c>
      <c r="X61" s="1159" t="str">
        <v/>
      </c>
      <c r="Y61" s="1153" t="str">
        <v/>
      </c>
      <c r="Z61" s="1160" t="str">
        <v/>
      </c>
      <c r="AA61" s="1160" t="str">
        <v/>
      </c>
      <c r="AB61" s="1160" t="str">
        <v/>
      </c>
      <c r="AC61" s="1160" t="str">
        <v/>
      </c>
      <c r="AD61" s="1160" t="str">
        <v/>
      </c>
      <c r="AE61" s="1154" t="str">
        <v/>
      </c>
      <c r="AF61" s="1161" t="str">
        <v/>
      </c>
      <c r="AG61" s="1161" t="str">
        <v/>
      </c>
      <c r="AH61" s="1161" t="str">
        <v/>
      </c>
      <c r="AI61" s="1161" t="str">
        <v/>
      </c>
      <c r="AJ61" s="1161" t="str">
        <v/>
      </c>
      <c r="AK61" s="1161" t="str">
        <v/>
      </c>
      <c r="AL61" s="1162" t="str">
        <v/>
      </c>
    </row>
    <row r="62" spans="1:38" ht="13.5">
      <c r="B62" s="1152"/>
      <c r="C62" s="1153"/>
      <c r="D62" s="1154"/>
      <c r="E62" s="1154"/>
      <c r="F62" s="1154"/>
      <c r="G62" s="1154" t="str">
        <v/>
      </c>
      <c r="H62" s="1155"/>
      <c r="I62" s="1156"/>
      <c r="J62" s="1159"/>
      <c r="K62" s="1159"/>
      <c r="L62" s="1159"/>
      <c r="M62" s="1159"/>
      <c r="N62" s="1159"/>
      <c r="O62" s="1153"/>
      <c r="P62" s="1153"/>
      <c r="Q62" s="2369">
        <v>0</v>
      </c>
      <c r="R62" s="2369">
        <v>0</v>
      </c>
      <c r="S62" s="2369">
        <v>0</v>
      </c>
      <c r="T62" s="2369">
        <v>0</v>
      </c>
      <c r="U62" s="1157"/>
      <c r="V62" s="1158"/>
      <c r="W62" s="1154" t="str">
        <v/>
      </c>
      <c r="X62" s="1159" t="str">
        <v/>
      </c>
      <c r="Y62" s="1153" t="str">
        <v/>
      </c>
      <c r="Z62" s="1160" t="str">
        <v/>
      </c>
      <c r="AA62" s="1160" t="str">
        <v/>
      </c>
      <c r="AB62" s="1160" t="str">
        <v/>
      </c>
      <c r="AC62" s="1160" t="str">
        <v/>
      </c>
      <c r="AD62" s="1160" t="str">
        <v/>
      </c>
      <c r="AE62" s="1154" t="str">
        <v/>
      </c>
      <c r="AF62" s="1161" t="str">
        <v/>
      </c>
      <c r="AG62" s="1161" t="str">
        <v/>
      </c>
      <c r="AH62" s="1161" t="str">
        <v/>
      </c>
      <c r="AI62" s="1161" t="str">
        <v/>
      </c>
      <c r="AJ62" s="1161" t="str">
        <v/>
      </c>
      <c r="AK62" s="1161" t="str">
        <v/>
      </c>
      <c r="AL62" s="1162" t="str">
        <v/>
      </c>
    </row>
    <row r="63" spans="1:38" ht="13.5">
      <c r="B63" s="1152"/>
      <c r="C63" s="1153"/>
      <c r="D63" s="1154"/>
      <c r="E63" s="1154"/>
      <c r="F63" s="1154"/>
      <c r="G63" s="1154" t="str">
        <v/>
      </c>
      <c r="H63" s="1155"/>
      <c r="I63" s="1156"/>
      <c r="J63" s="1159"/>
      <c r="K63" s="1159"/>
      <c r="L63" s="1159"/>
      <c r="M63" s="1159"/>
      <c r="N63" s="1159"/>
      <c r="O63" s="1153"/>
      <c r="P63" s="1153"/>
      <c r="Q63" s="2369">
        <v>0</v>
      </c>
      <c r="R63" s="2369">
        <v>0</v>
      </c>
      <c r="S63" s="2369">
        <v>0</v>
      </c>
      <c r="T63" s="2369">
        <v>0</v>
      </c>
      <c r="U63" s="1157"/>
      <c r="V63" s="1158"/>
      <c r="W63" s="1154" t="str">
        <v/>
      </c>
      <c r="X63" s="1159" t="str">
        <v/>
      </c>
      <c r="Y63" s="1153" t="str">
        <v/>
      </c>
      <c r="Z63" s="1160" t="str">
        <v/>
      </c>
      <c r="AA63" s="1160" t="str">
        <v/>
      </c>
      <c r="AB63" s="1160" t="str">
        <v/>
      </c>
      <c r="AC63" s="1160" t="str">
        <v/>
      </c>
      <c r="AD63" s="1160" t="str">
        <v/>
      </c>
      <c r="AE63" s="1154" t="str">
        <v/>
      </c>
      <c r="AF63" s="1161" t="str">
        <v/>
      </c>
      <c r="AG63" s="1161" t="str">
        <v/>
      </c>
      <c r="AH63" s="1161" t="str">
        <v/>
      </c>
      <c r="AI63" s="1161" t="str">
        <v/>
      </c>
      <c r="AJ63" s="1161" t="str">
        <v/>
      </c>
      <c r="AK63" s="1161" t="str">
        <v/>
      </c>
      <c r="AL63" s="1162" t="str">
        <v/>
      </c>
    </row>
    <row r="64" spans="1:38">
      <c r="A64" s="922"/>
      <c r="B64" s="191"/>
      <c r="C64" s="1164"/>
      <c r="D64" s="1164"/>
      <c r="E64" s="544"/>
      <c r="F64" s="544"/>
      <c r="G64" s="544"/>
      <c r="H64" s="544"/>
      <c r="I64" s="544"/>
      <c r="J64" s="1165"/>
      <c r="K64" s="1165"/>
      <c r="L64" s="1165"/>
      <c r="M64" s="1165"/>
      <c r="N64" s="1165"/>
      <c r="O64" s="1165"/>
      <c r="P64" s="1165"/>
      <c r="Q64" s="1165"/>
      <c r="R64" s="1165"/>
      <c r="S64" s="1165"/>
      <c r="T64" s="1165"/>
      <c r="U64" s="1165"/>
      <c r="V64" s="544"/>
      <c r="W64" s="544"/>
      <c r="X64" s="544"/>
      <c r="Y64" s="544"/>
      <c r="Z64" s="191"/>
      <c r="AA64" s="191"/>
      <c r="AB64" s="191"/>
      <c r="AC64" s="191"/>
      <c r="AD64" s="191"/>
      <c r="AE64" s="1166" t="str">
        <f>Texte!$A$1669</f>
        <v>Nährstoffmenge total in kg</v>
      </c>
      <c r="AF64" s="1167" t="str">
        <f>IF(COUNT(AF53:AF63)=0,"",SUM(AF53:AF63))</f>
        <v/>
      </c>
      <c r="AG64" s="1167" t="str">
        <f t="shared" ref="AG64:AL64" si="4">IF(COUNT(AG53:AG63)=0,"",SUM(AG53:AG63))</f>
        <v/>
      </c>
      <c r="AH64" s="1167" t="str">
        <f t="shared" si="4"/>
        <v/>
      </c>
      <c r="AI64" s="1167" t="str">
        <f t="shared" si="4"/>
        <v/>
      </c>
      <c r="AJ64" s="1167" t="str">
        <f t="shared" si="4"/>
        <v/>
      </c>
      <c r="AK64" s="1167" t="str">
        <f t="shared" si="4"/>
        <v/>
      </c>
      <c r="AL64" s="1167" t="str">
        <f t="shared" si="4"/>
        <v/>
      </c>
    </row>
    <row r="65" spans="1:40" ht="14.25" customHeight="1">
      <c r="A65" s="57"/>
      <c r="B65" s="57"/>
      <c r="C65" s="57"/>
      <c r="D65" s="57"/>
      <c r="E65" s="57"/>
      <c r="F65" s="57"/>
      <c r="G65" s="57"/>
      <c r="H65" s="57"/>
      <c r="I65" s="57"/>
      <c r="J65" s="1173"/>
      <c r="K65" s="1173"/>
      <c r="L65" s="1173"/>
      <c r="M65" s="1173"/>
      <c r="N65" s="1173"/>
      <c r="O65" s="1173"/>
      <c r="P65" s="1173"/>
      <c r="Q65" s="1173"/>
      <c r="R65" s="1173"/>
      <c r="S65" s="1173"/>
      <c r="T65" s="1173"/>
      <c r="U65" s="1173"/>
      <c r="V65" s="57"/>
      <c r="W65" s="57"/>
      <c r="X65" s="199" t="str">
        <f>Texte!$A$1670</f>
        <v>Gülleanfall total (unverdünnt) in m³</v>
      </c>
      <c r="Y65" s="1168" t="str">
        <f>IF(COUNT(Y53:Y63)=0,"",SUM(Y53:Y63))</f>
        <v/>
      </c>
      <c r="Z65" s="57"/>
      <c r="AA65" s="57"/>
      <c r="AB65" s="57"/>
      <c r="AC65" s="57"/>
      <c r="AD65" s="57"/>
      <c r="AE65" s="57"/>
      <c r="AF65" s="57"/>
      <c r="AG65" s="57"/>
      <c r="AH65" s="57"/>
      <c r="AI65" s="57"/>
      <c r="AJ65" s="57"/>
      <c r="AK65" s="57"/>
      <c r="AL65" s="57"/>
      <c r="AN65" s="1169" t="str">
        <f>IF(COUNT(Y52:Y63)=0,"",SUMIF(V52:V63,TRUE,Y52:Y63))</f>
        <v/>
      </c>
    </row>
    <row r="66" spans="1:40" ht="14.25" customHeight="1">
      <c r="A66" s="57"/>
      <c r="B66" s="57"/>
      <c r="C66" s="57"/>
      <c r="D66" s="57"/>
      <c r="E66" s="57"/>
      <c r="F66" s="57"/>
      <c r="G66" s="57"/>
      <c r="H66" s="57"/>
      <c r="I66" s="57"/>
      <c r="J66" s="1173"/>
      <c r="K66" s="1173"/>
      <c r="L66" s="1173"/>
      <c r="M66" s="1173"/>
      <c r="N66" s="1173"/>
      <c r="O66" s="1173"/>
      <c r="P66" s="1173"/>
      <c r="Q66" s="1173"/>
      <c r="R66" s="1173"/>
      <c r="S66" s="1173"/>
      <c r="T66" s="1173"/>
      <c r="U66" s="1173"/>
      <c r="V66" s="57"/>
      <c r="W66" s="57"/>
      <c r="X66" s="199" t="str">
        <f>Texte!$A$1671</f>
        <v>Wasserzufluss Tierhaltung</v>
      </c>
      <c r="Y66" s="1167" t="str">
        <f>AL64</f>
        <v/>
      </c>
      <c r="Z66" s="57"/>
      <c r="AA66" s="57"/>
      <c r="AB66" s="57"/>
      <c r="AC66" s="57"/>
      <c r="AD66" s="57"/>
      <c r="AE66" s="57"/>
      <c r="AF66" s="57"/>
      <c r="AG66" s="57"/>
      <c r="AH66" s="57"/>
      <c r="AI66" s="57"/>
      <c r="AJ66" s="57"/>
      <c r="AK66" s="57"/>
      <c r="AL66" s="57"/>
    </row>
    <row r="67" spans="1:40" ht="14.25" customHeight="1">
      <c r="A67" s="57"/>
      <c r="B67" s="57"/>
      <c r="C67" s="57"/>
      <c r="D67" s="57"/>
      <c r="E67" s="57"/>
      <c r="F67" s="57"/>
      <c r="G67" s="57"/>
      <c r="H67" s="57"/>
      <c r="I67" s="57"/>
      <c r="J67" s="1173"/>
      <c r="K67" s="1173"/>
      <c r="L67" s="1173"/>
      <c r="M67" s="1173"/>
      <c r="N67" s="1173"/>
      <c r="O67" s="1173"/>
      <c r="P67" s="1173"/>
      <c r="Q67" s="1173"/>
      <c r="R67" s="1173"/>
      <c r="S67" s="1173"/>
      <c r="T67" s="1173"/>
      <c r="U67" s="1173"/>
      <c r="V67" s="57"/>
      <c r="W67" s="57"/>
      <c r="X67" s="199" t="str">
        <f>Texte!$A$1672</f>
        <v>Wasserzufluss gemäss Formular B in m³</v>
      </c>
      <c r="Y67" s="220" t="str">
        <f>IF(HDB!$K$25="","",HDB!$K$25)</f>
        <v/>
      </c>
      <c r="Z67" s="57"/>
      <c r="AA67" s="57"/>
      <c r="AB67" s="57"/>
      <c r="AC67" s="57"/>
      <c r="AD67" s="57"/>
      <c r="AE67" s="57"/>
      <c r="AF67" s="223" t="str">
        <f>Texte!$A$1675</f>
        <v>Gehalt der verdünnten Mischgülle</v>
      </c>
      <c r="AG67" s="223"/>
      <c r="AH67" s="223"/>
      <c r="AI67" s="223"/>
      <c r="AJ67" s="223"/>
      <c r="AK67" s="223"/>
      <c r="AL67" s="223"/>
    </row>
    <row r="68" spans="1:40" ht="14.25" customHeight="1" thickBot="1">
      <c r="A68" s="57"/>
      <c r="B68" s="57"/>
      <c r="C68" s="57"/>
      <c r="D68" s="57"/>
      <c r="E68" s="57"/>
      <c r="F68" s="57"/>
      <c r="G68" s="57"/>
      <c r="H68" s="57"/>
      <c r="I68" s="57"/>
      <c r="J68" s="1173"/>
      <c r="K68" s="1173"/>
      <c r="L68" s="1173"/>
      <c r="M68" s="1173"/>
      <c r="N68" s="1173"/>
      <c r="O68" s="1173"/>
      <c r="P68" s="1173"/>
      <c r="Q68" s="1173"/>
      <c r="R68" s="1173"/>
      <c r="S68" s="1173"/>
      <c r="T68" s="1173"/>
      <c r="U68" s="1173"/>
      <c r="V68" s="57"/>
      <c r="W68" s="57"/>
      <c r="X68" s="199" t="str">
        <f>Texte!$A$1673</f>
        <v>Freie Korrektur</v>
      </c>
      <c r="Y68" s="1174"/>
      <c r="Z68" s="57"/>
      <c r="AA68" s="57"/>
      <c r="AB68" s="57"/>
      <c r="AC68" s="57"/>
      <c r="AD68" s="57"/>
      <c r="AE68" s="57"/>
      <c r="AF68" s="223" t="str">
        <f>Texte!$A$1676</f>
        <v>in kg je m³</v>
      </c>
      <c r="AG68" s="223"/>
      <c r="AH68" s="223"/>
      <c r="AI68" s="223"/>
      <c r="AJ68" s="223"/>
      <c r="AK68" s="223"/>
      <c r="AL68" s="223"/>
    </row>
    <row r="69" spans="1:40" ht="14.25" customHeight="1" thickBot="1">
      <c r="A69" s="57"/>
      <c r="B69" s="57"/>
      <c r="C69" s="57"/>
      <c r="D69" s="57"/>
      <c r="E69" s="57"/>
      <c r="F69" s="57"/>
      <c r="G69" s="57"/>
      <c r="H69" s="57"/>
      <c r="I69" s="57"/>
      <c r="J69" s="1173"/>
      <c r="K69" s="1173"/>
      <c r="L69" s="1173"/>
      <c r="M69" s="1173"/>
      <c r="N69" s="1173"/>
      <c r="O69" s="1173"/>
      <c r="P69" s="1173"/>
      <c r="Q69" s="1173"/>
      <c r="R69" s="1173"/>
      <c r="S69" s="1173"/>
      <c r="T69" s="1173"/>
      <c r="U69" s="1173"/>
      <c r="V69" s="57"/>
      <c r="W69" s="57"/>
      <c r="X69" s="199" t="str">
        <f>Texte!$A$1674</f>
        <v>Güllemenge total verdünnt in m³</v>
      </c>
      <c r="Y69" s="335" t="str">
        <f>IF(COUNT(Y65:Y68)=0,"",SUM(Y65:Y68))</f>
        <v/>
      </c>
      <c r="Z69" s="57"/>
      <c r="AA69" s="57"/>
      <c r="AB69" s="57"/>
      <c r="AC69" s="57"/>
      <c r="AD69" s="57"/>
      <c r="AE69" s="57"/>
      <c r="AF69" s="1171" t="str">
        <f t="shared" ref="AF69:AK69" si="5">IF(OR(AF64="",SUM($Y69)=0,SUM($AF64:$AK64)=0),"",ROUND(AF64/$Y69,1))</f>
        <v/>
      </c>
      <c r="AG69" s="1172" t="str">
        <f t="shared" si="5"/>
        <v/>
      </c>
      <c r="AH69" s="1172" t="str">
        <f t="shared" si="5"/>
        <v/>
      </c>
      <c r="AI69" s="1172" t="str">
        <f t="shared" si="5"/>
        <v/>
      </c>
      <c r="AJ69" s="1172" t="str">
        <f t="shared" si="5"/>
        <v/>
      </c>
      <c r="AK69" s="1172" t="str">
        <f t="shared" si="5"/>
        <v/>
      </c>
      <c r="AL69" s="509"/>
    </row>
    <row r="70" spans="1:40" ht="6" customHeight="1">
      <c r="B70" s="57"/>
      <c r="C70" s="183"/>
      <c r="D70" s="183"/>
      <c r="E70" s="125"/>
      <c r="F70" s="125"/>
      <c r="G70" s="125"/>
      <c r="H70" s="125"/>
      <c r="I70" s="125"/>
      <c r="J70" s="1122"/>
      <c r="K70" s="1122"/>
      <c r="L70" s="1122"/>
      <c r="M70" s="1122"/>
      <c r="N70" s="1122"/>
      <c r="O70" s="1122"/>
      <c r="P70" s="1122"/>
      <c r="Q70" s="1122"/>
      <c r="R70" s="1122"/>
      <c r="S70" s="1122"/>
      <c r="T70" s="1122"/>
      <c r="U70" s="1122"/>
      <c r="V70" s="125"/>
      <c r="W70" s="125"/>
      <c r="X70" s="125"/>
      <c r="Y70" s="125"/>
      <c r="Z70" s="57"/>
      <c r="AA70" s="57"/>
      <c r="AB70" s="57"/>
      <c r="AC70" s="57"/>
      <c r="AD70" s="57"/>
      <c r="AE70" s="57"/>
      <c r="AF70" s="57"/>
      <c r="AG70" s="57"/>
      <c r="AH70" s="57"/>
      <c r="AI70" s="57"/>
      <c r="AJ70" s="57"/>
      <c r="AK70" s="57"/>
      <c r="AL70" s="57"/>
    </row>
    <row r="71" spans="1:40">
      <c r="B71" s="414" t="str">
        <f>Texte!A1679</f>
        <v>Güllegrube 3</v>
      </c>
      <c r="C71" s="183"/>
      <c r="D71" s="183"/>
      <c r="E71" s="125"/>
      <c r="F71" s="125"/>
      <c r="G71" s="125"/>
      <c r="H71" s="125"/>
      <c r="I71" s="125"/>
      <c r="J71" s="1122"/>
      <c r="K71" s="1122"/>
      <c r="L71" s="1122"/>
      <c r="M71" s="1122"/>
      <c r="N71" s="1122"/>
      <c r="O71" s="1122"/>
      <c r="P71" s="1122"/>
      <c r="Q71" s="1122"/>
      <c r="R71" s="1122"/>
      <c r="S71" s="1122"/>
      <c r="T71" s="1122"/>
      <c r="U71" s="1122"/>
      <c r="V71" s="125"/>
      <c r="W71" s="125"/>
      <c r="X71" s="125"/>
      <c r="Y71" s="125"/>
      <c r="Z71" s="57"/>
      <c r="AA71" s="57"/>
      <c r="AB71" s="57"/>
      <c r="AC71" s="57"/>
      <c r="AD71" s="57"/>
      <c r="AE71" s="57"/>
      <c r="AF71" s="57"/>
      <c r="AG71" s="57"/>
      <c r="AH71" s="57"/>
      <c r="AI71" s="57"/>
      <c r="AJ71" s="57"/>
      <c r="AK71" s="57"/>
      <c r="AL71" s="57"/>
    </row>
    <row r="72" spans="1:40" ht="6" customHeight="1">
      <c r="B72" s="57"/>
      <c r="C72" s="183"/>
      <c r="D72" s="183"/>
      <c r="E72" s="125"/>
      <c r="F72" s="125"/>
      <c r="G72" s="125"/>
      <c r="H72" s="125"/>
      <c r="I72" s="125"/>
      <c r="J72" s="1122"/>
      <c r="K72" s="1122"/>
      <c r="L72" s="1122"/>
      <c r="M72" s="1122"/>
      <c r="N72" s="1122"/>
      <c r="O72" s="1122"/>
      <c r="P72" s="1122"/>
      <c r="Q72" s="1122"/>
      <c r="R72" s="1122"/>
      <c r="S72" s="1122"/>
      <c r="T72" s="1122"/>
      <c r="U72" s="1122"/>
      <c r="V72" s="125"/>
      <c r="W72" s="125"/>
      <c r="X72" s="125"/>
      <c r="Y72" s="125"/>
      <c r="Z72" s="57"/>
      <c r="AA72" s="57"/>
      <c r="AB72" s="57"/>
      <c r="AC72" s="57"/>
      <c r="AD72" s="57"/>
      <c r="AE72" s="57"/>
      <c r="AF72" s="57"/>
      <c r="AG72" s="57"/>
      <c r="AH72" s="57"/>
      <c r="AI72" s="57"/>
      <c r="AJ72" s="57"/>
      <c r="AK72" s="57"/>
      <c r="AL72" s="57"/>
    </row>
    <row r="73" spans="1:40" ht="13.5">
      <c r="B73" s="1123"/>
      <c r="C73" s="1124" t="str">
        <f>Texte!$A$1593</f>
        <v>Anzahl</v>
      </c>
      <c r="D73" s="1124"/>
      <c r="E73" s="1125"/>
      <c r="F73" s="1125"/>
      <c r="G73" s="1125" t="str">
        <f>Texte!$A$1602</f>
        <v>Anzahl</v>
      </c>
      <c r="H73" s="1125"/>
      <c r="I73" s="1125" t="str">
        <f>Texte!$A$1611</f>
        <v>Tier-</v>
      </c>
      <c r="J73" s="1127" t="str">
        <f>Texte!$A$1614</f>
        <v>Strohbed.</v>
      </c>
      <c r="K73" s="1127" t="str">
        <f>Texte!$A$1618</f>
        <v>Mistanf.</v>
      </c>
      <c r="L73" s="1127" t="str">
        <f>Texte!$A$1622</f>
        <v>Gülleanf.</v>
      </c>
      <c r="M73" s="1127" t="str">
        <f>Texte!$A$1626</f>
        <v>Wasser im</v>
      </c>
      <c r="N73" s="1127" t="str">
        <f>Texte!$A$1626</f>
        <v>Wasser im</v>
      </c>
      <c r="O73" s="1127"/>
      <c r="P73" s="1127"/>
      <c r="Q73" s="191"/>
      <c r="R73" s="191"/>
      <c r="S73" s="191"/>
      <c r="T73" s="564"/>
      <c r="U73" s="1126" t="str">
        <f>Texte!$A$1636</f>
        <v>Sch-</v>
      </c>
      <c r="V73" s="1125" t="str">
        <f>Texte!$A$1640</f>
        <v>Sch-</v>
      </c>
      <c r="W73" s="1125" t="str">
        <f>Texte!$A$1643</f>
        <v>Einh.</v>
      </c>
      <c r="X73" s="1127" t="str">
        <f>Texte!$A$1647</f>
        <v>Gülleanf.</v>
      </c>
      <c r="Y73" s="1125" t="str">
        <f>Texte!$A$1651</f>
        <v>Gülleanfall</v>
      </c>
      <c r="Z73" s="191"/>
      <c r="AA73" s="191"/>
      <c r="AB73" s="191"/>
      <c r="AC73" s="191"/>
      <c r="AD73" s="191"/>
      <c r="AE73" s="564"/>
      <c r="AF73" s="191"/>
      <c r="AG73" s="191"/>
      <c r="AH73" s="191"/>
      <c r="AI73" s="191"/>
      <c r="AJ73" s="191"/>
      <c r="AK73" s="564"/>
      <c r="AL73" s="1128" t="str">
        <f>Texte!$A$1660</f>
        <v>Wasser</v>
      </c>
    </row>
    <row r="74" spans="1:40" ht="13.5">
      <c r="B74" s="541" t="str">
        <f>Texte!$A$1592</f>
        <v>Tierart, Tierplatzkategorie</v>
      </c>
      <c r="C74" s="1129" t="str">
        <f>Texte!$A$1594</f>
        <v>Tiere /</v>
      </c>
      <c r="D74" s="1129" t="str">
        <f>Texte!$A$1596</f>
        <v>Zuschlag</v>
      </c>
      <c r="E74" s="1130" t="str">
        <f>Texte!$A$1598</f>
        <v>Laufhof-</v>
      </c>
      <c r="F74" s="1130" t="str">
        <f>Texte!$A$1600</f>
        <v>Weide-</v>
      </c>
      <c r="G74" s="1130" t="str">
        <f>Texte!$A$1603</f>
        <v>Tiere /</v>
      </c>
      <c r="H74" s="1130" t="str">
        <f>Texte!$A$1606</f>
        <v>Faktor</v>
      </c>
      <c r="I74" s="1130" t="str">
        <f>Texte!$A$1612</f>
        <v>art-</v>
      </c>
      <c r="J74" s="1132" t="str">
        <f>Texte!$A$1615</f>
        <v>pro</v>
      </c>
      <c r="K74" s="1132" t="str">
        <f>Texte!$A$1619</f>
        <v>pro</v>
      </c>
      <c r="L74" s="1132" t="str">
        <f>Texte!$A$1623</f>
        <v>pro</v>
      </c>
      <c r="M74" s="1132" t="str">
        <f>Texte!$A$1627</f>
        <v>Sommer/</v>
      </c>
      <c r="N74" s="1132" t="str">
        <f>Texte!$A$1628</f>
        <v>Winter/</v>
      </c>
      <c r="O74" s="1132" t="str">
        <f>Texte!$A$1630</f>
        <v>Mist-</v>
      </c>
      <c r="P74" s="1132" t="str">
        <f>Texte!$A$1632</f>
        <v>Gülle-</v>
      </c>
      <c r="Q74" s="223" t="str">
        <f>Texte!$A$1634</f>
        <v>Gülleanteil an Nährstoffen</v>
      </c>
      <c r="R74" s="223"/>
      <c r="S74" s="223"/>
      <c r="T74" s="1133"/>
      <c r="U74" s="1131" t="str">
        <f>Texte!$A$1637</f>
        <v>wemm-</v>
      </c>
      <c r="V74" s="1130" t="str">
        <f>Texte!$A$1641</f>
        <v>weine</v>
      </c>
      <c r="W74" s="1130" t="str">
        <f>Texte!$A$1644</f>
        <v>total</v>
      </c>
      <c r="X74" s="1132" t="str">
        <f>Texte!$A$1648</f>
        <v>pro</v>
      </c>
      <c r="Y74" s="1130" t="str">
        <f>Texte!$A$1652</f>
        <v>total</v>
      </c>
      <c r="Z74" s="223" t="str">
        <f>Texte!$A$1654</f>
        <v>Gehalte in kg je m³ Gülle</v>
      </c>
      <c r="AA74" s="223"/>
      <c r="AB74" s="223"/>
      <c r="AC74" s="223"/>
      <c r="AD74" s="223"/>
      <c r="AE74" s="1133"/>
      <c r="AF74" s="223" t="str">
        <f>Texte!$A$1659</f>
        <v>Nährstoffanfall in der Gülle</v>
      </c>
      <c r="AG74" s="223"/>
      <c r="AH74" s="223"/>
      <c r="AI74" s="223"/>
      <c r="AJ74" s="223"/>
      <c r="AK74" s="1133"/>
      <c r="AL74" s="1134" t="str">
        <f>Texte!$A$1661</f>
        <v>Stall-</v>
      </c>
    </row>
    <row r="75" spans="1:40" ht="13.5">
      <c r="B75" s="541"/>
      <c r="C75" s="1129" t="str">
        <f>Texte!$A$1595</f>
        <v>Plätze</v>
      </c>
      <c r="D75" s="1129" t="str">
        <f>Texte!$A$1597</f>
        <v>/ Abzug</v>
      </c>
      <c r="E75" s="1130" t="str">
        <f>Texte!$A$1599</f>
        <v>abzug</v>
      </c>
      <c r="F75" s="1130" t="str">
        <f>Texte!$A$1601</f>
        <v>abzug</v>
      </c>
      <c r="G75" s="1130" t="str">
        <f>Texte!$A$1604</f>
        <v>Plätze</v>
      </c>
      <c r="H75" s="1130"/>
      <c r="I75" s="1130" t="str">
        <f>Texte!$A$1613</f>
        <v>Index</v>
      </c>
      <c r="J75" s="1132" t="str">
        <f>Texte!$A$1616</f>
        <v>Tier/Platz</v>
      </c>
      <c r="K75" s="1132" t="str">
        <f>Texte!$A$1620</f>
        <v>Tier/Platz</v>
      </c>
      <c r="L75" s="1132" t="str">
        <f>Texte!$A$1624</f>
        <v>Tier/Platz</v>
      </c>
      <c r="M75" s="1132" t="str">
        <f>Texte!$A$1629</f>
        <v>GVE/MSP/LHP</v>
      </c>
      <c r="N75" s="1132" t="str">
        <f>Texte!$A$1629</f>
        <v>GVE/MSP/LHP</v>
      </c>
      <c r="O75" s="1132" t="str">
        <f>Texte!$A$1631</f>
        <v>Typ</v>
      </c>
      <c r="P75" s="1132" t="str">
        <f>Texte!$A$1633</f>
        <v>Typ</v>
      </c>
      <c r="Q75" s="57"/>
      <c r="R75" s="1135"/>
      <c r="S75" s="1135"/>
      <c r="T75" s="548"/>
      <c r="U75" s="1131" t="str">
        <f>Texte!$A$1638</f>
        <v>ent-</v>
      </c>
      <c r="V75" s="1130" t="str">
        <f>Texte!$A$1642</f>
        <v>Gülle</v>
      </c>
      <c r="W75" s="1132" t="str">
        <f>Texte!$A$1645</f>
        <v>GVE/</v>
      </c>
      <c r="X75" s="1132" t="str">
        <f>Texte!$A$1649</f>
        <v>Tier/Platz</v>
      </c>
      <c r="Y75" s="1130" t="str">
        <f>Texte!$A$1653</f>
        <v>in</v>
      </c>
      <c r="Z75" s="57"/>
      <c r="AA75" s="1135" t="str">
        <f>Texte!$A$1655</f>
        <v>(Ack.b.)</v>
      </c>
      <c r="AB75" s="1135" t="str">
        <f>Texte!$A$1657</f>
        <v>(Fu.b.)</v>
      </c>
      <c r="AC75" s="57"/>
      <c r="AD75" s="57"/>
      <c r="AE75" s="548"/>
      <c r="AF75" s="57"/>
      <c r="AG75" s="1135" t="str">
        <f>Texte!$A$1655</f>
        <v>(Ack.b.)</v>
      </c>
      <c r="AH75" s="1135" t="str">
        <f>Texte!$A$1657</f>
        <v>(Fu.b.)</v>
      </c>
      <c r="AI75" s="57"/>
      <c r="AJ75" s="57"/>
      <c r="AK75" s="548"/>
      <c r="AL75" s="1134" t="str">
        <f>Texte!$A$1662</f>
        <v>reinigung</v>
      </c>
    </row>
    <row r="76" spans="1:40" ht="13.5">
      <c r="B76" s="541"/>
      <c r="C76" s="1129"/>
      <c r="D76" s="1129"/>
      <c r="E76" s="1130"/>
      <c r="F76" s="1130"/>
      <c r="G76" s="1130" t="str">
        <f>Texte!$A$1605</f>
        <v>korr.</v>
      </c>
      <c r="H76" s="1130"/>
      <c r="I76" s="1130"/>
      <c r="J76" s="1132" t="str">
        <f>Texte!$A$1617</f>
        <v>pro Mt.</v>
      </c>
      <c r="K76" s="1132" t="str">
        <f>Texte!$A$1621</f>
        <v>pro Mt.</v>
      </c>
      <c r="L76" s="1132" t="str">
        <f>Texte!$A$1625</f>
        <v>pro Mt.</v>
      </c>
      <c r="M76" s="1132" t="str">
        <f>Texte!$A$1625</f>
        <v>pro Mt.</v>
      </c>
      <c r="N76" s="1132" t="str">
        <f>Texte!$A$1625</f>
        <v>pro Mt.</v>
      </c>
      <c r="O76" s="1132"/>
      <c r="P76" s="1132"/>
      <c r="Q76" s="1136" t="str">
        <f>Texte!$A$1635</f>
        <v>Nges</v>
      </c>
      <c r="R76" s="1136" t="s">
        <v>3461</v>
      </c>
      <c r="S76" s="1136" t="s">
        <v>3462</v>
      </c>
      <c r="T76" s="1138" t="s">
        <v>7031</v>
      </c>
      <c r="U76" s="1131" t="str">
        <f>Texte!$A$1639</f>
        <v>mistung</v>
      </c>
      <c r="V76" s="1130"/>
      <c r="W76" s="1132" t="str">
        <f>Texte!$A$1646</f>
        <v>MSP/LHP</v>
      </c>
      <c r="X76" s="1132" t="str">
        <f>Texte!$A$1650</f>
        <v>pro Mt.</v>
      </c>
      <c r="Y76" s="1130" t="s">
        <v>5218</v>
      </c>
      <c r="Z76" s="1136" t="str">
        <f>Texte!$A$1656</f>
        <v>Nges</v>
      </c>
      <c r="AA76" s="1137" t="str">
        <f>Texte!$A$1658</f>
        <v>Nverf</v>
      </c>
      <c r="AB76" s="1137" t="str">
        <f>Texte!$A$1658</f>
        <v>Nverf</v>
      </c>
      <c r="AC76" s="1136" t="s">
        <v>3461</v>
      </c>
      <c r="AD76" s="1136" t="s">
        <v>3462</v>
      </c>
      <c r="AE76" s="1138" t="s">
        <v>7031</v>
      </c>
      <c r="AF76" s="1139" t="str">
        <f>Texte!$A$1656</f>
        <v>Nges</v>
      </c>
      <c r="AG76" s="1140" t="str">
        <f>Texte!$A$1658</f>
        <v>Nverf</v>
      </c>
      <c r="AH76" s="1140" t="str">
        <f>Texte!$A$1658</f>
        <v>Nverf</v>
      </c>
      <c r="AI76" s="1141" t="s">
        <v>3461</v>
      </c>
      <c r="AJ76" s="1141" t="s">
        <v>3462</v>
      </c>
      <c r="AK76" s="1142" t="s">
        <v>7031</v>
      </c>
      <c r="AL76" s="1143" t="str">
        <f>Texte!$A$1663</f>
        <v>Tierpflege</v>
      </c>
    </row>
    <row r="77" spans="1:40" ht="13.5">
      <c r="B77" s="1145" t="str">
        <f>Texte!A1667</f>
        <v>Aufstallungssystem 1</v>
      </c>
      <c r="C77" s="1124"/>
      <c r="D77" s="1146"/>
      <c r="E77" s="1146"/>
      <c r="F77" s="1146"/>
      <c r="G77" s="1125" t="str">
        <f t="array" ref="G77:G84">IF(ISBLANK($C77:$C84),"",$C77:$C84+$D77:$D84-$F77:$F84)</f>
        <v/>
      </c>
      <c r="H77" s="1125"/>
      <c r="I77" s="1125"/>
      <c r="J77" s="1148"/>
      <c r="K77" s="1148"/>
      <c r="L77" s="1148"/>
      <c r="M77" s="1148"/>
      <c r="N77" s="1148"/>
      <c r="O77" s="1124"/>
      <c r="P77" s="1124"/>
      <c r="Q77" s="2368">
        <f t="array" ref="Q77:Q84">IF(((INDEX(TG!Gülle,$O77:$O84,1)*$K77:$K84)+(INDEX(TG!Gülle,$P77:$P84,1)*$L77:$L84))=0,0,(INDEX(TG!Gülle,$P77:$P84,1)*$L77:$L84)/((INDEX(TG!Gülle,$O77:$O84,1)*$K77:$K84)+(INDEX(TG!Gülle,$P77:$P84,1)*$L77:$L84)))</f>
        <v>0</v>
      </c>
      <c r="R77" s="2368">
        <f t="array" ref="R77:R84">IF(((INDEX(TG!Gülle,$O77:$O84,4)*$K77:$K84)+(INDEX(TG!Gülle,$P77:$P84,4)*$L77:$L84))=0,0,(INDEX(TG!Gülle,$P77:$P84,4)*$L77:$L84)/((INDEX(TG!Gülle,$O77:$O84,4)*$K77:$K84)+(INDEX(TG!Gülle,$P77:$P84,4)*$L77:$L84)))</f>
        <v>0</v>
      </c>
      <c r="S77" s="2368">
        <f t="array" ref="S77:S84">IF(((INDEX(TG!Gülle,$O77:$O84,5)*$K77:$K84)+(INDEX(TG!Gülle,$P77:$P84,5)*$L77:$L84))=0,0,(INDEX(TG!Gülle,$P77:$P84,5)*$L77:$L84)/((INDEX(TG!Gülle,$O77:$O84,5)*$K77:$K84)+(INDEX(TG!Gülle,$P77:$P84,5)*$L77:$L84)))</f>
        <v>0</v>
      </c>
      <c r="T77" s="2368">
        <f t="array" ref="T77:T84">IF(((INDEX(TG!Gülle,$O77:$O84,6)*$K77:$K84)+(INDEX(TG!Gülle,$P77:$P84,6)*$L77:$L84))=0,0,(INDEX(TG!Gülle,$P77:$P84,6)*$L77:$L84)/((INDEX(TG!Gülle,$O77:$O84,6)*$K77:$K84)+(INDEX(TG!Gülle,$P77:$P84,6)*$L77:$L84)))</f>
        <v>0</v>
      </c>
      <c r="U77" s="1126"/>
      <c r="V77" s="1147"/>
      <c r="W77" s="1125" t="str">
        <f t="array" ref="W77:W84">IF(ISBLANK($C77:$C84),"",($G77:$G84+$F77:$F84)*($H77:$H84))</f>
        <v/>
      </c>
      <c r="X77" s="1148" t="str">
        <f t="array" ref="X77:X84">IF(ISBLANK($C77:$C84),"",($L77:$L84))</f>
        <v/>
      </c>
      <c r="Y77" s="1125" t="str">
        <f t="array" ref="Y77:Y84">IF(ISBLANK($C77:$C84),"",$G77:$G84*$X77:$X84*HDA!$C$6)</f>
        <v/>
      </c>
      <c r="Z77" s="1149" t="str">
        <f t="array" ref="Z77:Z84">IF(ISERROR(AF77:AF84/$Y77:$Y84),"",AF77:AF84/$Y77:$Y84)</f>
        <v/>
      </c>
      <c r="AA77" s="1149" t="str">
        <f t="array" ref="AA77:AA84">IF(ISERROR(AG77:AG84/$Y77:$Y84),"",AG77:AG84/$Y77:$Y84)</f>
        <v/>
      </c>
      <c r="AB77" s="1149" t="str">
        <f t="array" ref="AB77:AB84">IF(ISERROR(AH77:AH84/$Y77:$Y84),"",AH77:AH84/$Y77:$Y84)</f>
        <v/>
      </c>
      <c r="AC77" s="1149" t="str">
        <f t="array" ref="AC77:AC84">IF(ISERROR(AI77:AI84/$Y77:$Y84),"",AI77:AI84/$Y77:$Y84)</f>
        <v/>
      </c>
      <c r="AD77" s="1149" t="str">
        <f t="array" ref="AD77:AD84">IF(ISERROR(AJ77:AJ84/$Y77:$Y84),"",AJ77:AJ84/$Y77:$Y84)</f>
        <v/>
      </c>
      <c r="AE77" s="564" t="str">
        <f t="array" ref="AE77:AE84">IF(ISERROR(AK77:AK84/$Y77:$Y84),"",AK77:AK84/$Y77:$Y84)</f>
        <v/>
      </c>
      <c r="AF77" s="1149" t="str">
        <f t="array" ref="AF77:AF84">IF(X77:X84&gt;0,IF(ISBLANK($C77:$C84),"",IF(IF($V77:$V84,IF($W$8&lt;&gt;0,IF($AF$8=3,FALSE,TRUE),TRUE),TRUE),VLOOKUP($I77:$I84,D_Tierb!$A$8:$U$80,18,FALSE)*$Q77:$Q84*$G77:$G84-VLOOKUP($I77:$I84,D_Tierb!$A$8:$U$80,18,FALSE)*$E77:$E84*0.05,$W$8/D_Tierb!$BI$72*VLOOKUP($I77:$I84,D_Tierb!$A$8:$BJ$80,18,FALSE)*$G77:$G84*$Q77:$Q84-VLOOKUP($I77:$I84,D_Tierb!$A$8:$U$80,18,FALSE)*$E77:$E84*0.05)),0)</f>
        <v/>
      </c>
      <c r="AG77" s="1149" t="str">
        <f t="array" ref="AG77:AG84">IF(ISBLANK($C77:$C84),"",$AF77:$AF84*INDEX(TG!Verfügbar,$P77:$P84,1)/100)</f>
        <v/>
      </c>
      <c r="AH77" s="1149" t="str">
        <f t="array" ref="AH77:AH84">IF(ISBLANK($C77:$C84),"",$AF77:$AF84*INDEX(TG!Verfügbar,$P77:$P84,2)/100)</f>
        <v/>
      </c>
      <c r="AI77" s="1149" t="str">
        <f t="array" ref="AI77:AI84">IF(ISBLANK($C77:$C84),"",IF(IF($V77:$V84,IF($Z$8&lt;&gt;0,IF($AF$8=3,FALSE,TRUE),TRUE),TRUE),VLOOKUP($I77:$I84,D_Tierb!$A$8:$U$80,19,FALSE)*$R77:$R84*$G77:$G84,$Z$8/D_Tierb!$BJ$72*VLOOKUP($I77:$I84,D_Tierb!$A$8:$BJ$80,19,FALSE)*$G77:$G84*$R77:$R84))</f>
        <v/>
      </c>
      <c r="AJ77" s="1149" t="str">
        <f t="array" ref="AJ77:AJ84">IF(ISBLANK($C77:$C84),"",VLOOKUP($I77:$I84,D_Tierb!$A$8:$U$80,20,FALSE)*$S77:$S84*$G77:$G84)</f>
        <v/>
      </c>
      <c r="AK77" s="1149" t="str">
        <f t="array" ref="AK77:AK84">IF(ISBLANK($C77:$C84),"",VLOOKUP($I77:$I84,D_Tierb!$A$8:$U$80,21,FALSE)*$T77:$T84*$G77:$G84)</f>
        <v/>
      </c>
      <c r="AL77" s="1151" t="str">
        <f t="array" ref="AL77:AL84">IF(ISBLANK($C77:$C84),"", $W77:$W84 * ($AP$18*$M77:$M84 + $AP$19*$N77:$N84 + IF(OR($U77:$U84="Ja",$U77:$U84="Oui"),$AQ$16,0)) * HDA!$C$6)</f>
        <v/>
      </c>
    </row>
    <row r="78" spans="1:40" ht="13.5">
      <c r="B78" s="1152"/>
      <c r="C78" s="1153"/>
      <c r="D78" s="1154"/>
      <c r="E78" s="1154"/>
      <c r="F78" s="1154"/>
      <c r="G78" s="1154" t="str">
        <v/>
      </c>
      <c r="H78" s="1155"/>
      <c r="I78" s="1156"/>
      <c r="J78" s="1159"/>
      <c r="K78" s="1159"/>
      <c r="L78" s="1159"/>
      <c r="M78" s="1159"/>
      <c r="N78" s="1159"/>
      <c r="O78" s="1153"/>
      <c r="P78" s="1153"/>
      <c r="Q78" s="2369">
        <v>0</v>
      </c>
      <c r="R78" s="2369">
        <v>0</v>
      </c>
      <c r="S78" s="2369">
        <v>0</v>
      </c>
      <c r="T78" s="2369">
        <v>0</v>
      </c>
      <c r="U78" s="1157"/>
      <c r="V78" s="1158"/>
      <c r="W78" s="1154" t="str">
        <v/>
      </c>
      <c r="X78" s="1159" t="str">
        <v/>
      </c>
      <c r="Y78" s="1153" t="str">
        <v/>
      </c>
      <c r="Z78" s="1160" t="str">
        <v/>
      </c>
      <c r="AA78" s="1160" t="str">
        <v/>
      </c>
      <c r="AB78" s="1160" t="str">
        <v/>
      </c>
      <c r="AC78" s="1160" t="str">
        <v/>
      </c>
      <c r="AD78" s="1160" t="str">
        <v/>
      </c>
      <c r="AE78" s="1154" t="str">
        <v/>
      </c>
      <c r="AF78" s="1161" t="str">
        <v/>
      </c>
      <c r="AG78" s="1161" t="str">
        <v/>
      </c>
      <c r="AH78" s="1161" t="str">
        <v/>
      </c>
      <c r="AI78" s="1161" t="str">
        <v/>
      </c>
      <c r="AJ78" s="1161" t="str">
        <v/>
      </c>
      <c r="AK78" s="1161" t="str">
        <v/>
      </c>
      <c r="AL78" s="1162" t="str">
        <v/>
      </c>
    </row>
    <row r="79" spans="1:40" ht="13.5">
      <c r="B79" s="1152"/>
      <c r="C79" s="1153"/>
      <c r="D79" s="1154"/>
      <c r="E79" s="1154"/>
      <c r="F79" s="1154"/>
      <c r="G79" s="1154" t="str">
        <v/>
      </c>
      <c r="H79" s="1155"/>
      <c r="I79" s="1156"/>
      <c r="J79" s="1159"/>
      <c r="K79" s="1159"/>
      <c r="L79" s="1159"/>
      <c r="M79" s="1159"/>
      <c r="N79" s="1159"/>
      <c r="O79" s="1153"/>
      <c r="P79" s="1153"/>
      <c r="Q79" s="2369">
        <v>0</v>
      </c>
      <c r="R79" s="2369">
        <v>0</v>
      </c>
      <c r="S79" s="2369">
        <v>0</v>
      </c>
      <c r="T79" s="2369">
        <v>0</v>
      </c>
      <c r="U79" s="1157"/>
      <c r="V79" s="1158"/>
      <c r="W79" s="1154" t="str">
        <v/>
      </c>
      <c r="X79" s="1159" t="str">
        <v/>
      </c>
      <c r="Y79" s="1153" t="str">
        <v/>
      </c>
      <c r="Z79" s="1160" t="str">
        <v/>
      </c>
      <c r="AA79" s="1160" t="str">
        <v/>
      </c>
      <c r="AB79" s="1160" t="str">
        <v/>
      </c>
      <c r="AC79" s="1160" t="str">
        <v/>
      </c>
      <c r="AD79" s="1160" t="str">
        <v/>
      </c>
      <c r="AE79" s="1154" t="str">
        <v/>
      </c>
      <c r="AF79" s="1161" t="str">
        <v/>
      </c>
      <c r="AG79" s="1161" t="str">
        <v/>
      </c>
      <c r="AH79" s="1161" t="str">
        <v/>
      </c>
      <c r="AI79" s="1161" t="str">
        <v/>
      </c>
      <c r="AJ79" s="1161" t="str">
        <v/>
      </c>
      <c r="AK79" s="1161" t="str">
        <v/>
      </c>
      <c r="AL79" s="1162" t="str">
        <v/>
      </c>
    </row>
    <row r="80" spans="1:40" ht="13.5">
      <c r="B80" s="1152"/>
      <c r="C80" s="1153"/>
      <c r="D80" s="1154"/>
      <c r="E80" s="1154"/>
      <c r="F80" s="1154"/>
      <c r="G80" s="1154" t="str">
        <v/>
      </c>
      <c r="H80" s="1155"/>
      <c r="I80" s="1156"/>
      <c r="J80" s="1159"/>
      <c r="K80" s="1159"/>
      <c r="L80" s="1159"/>
      <c r="M80" s="1159"/>
      <c r="N80" s="1159"/>
      <c r="O80" s="1153"/>
      <c r="P80" s="1153"/>
      <c r="Q80" s="2369">
        <v>0</v>
      </c>
      <c r="R80" s="2369">
        <v>0</v>
      </c>
      <c r="S80" s="2369">
        <v>0</v>
      </c>
      <c r="T80" s="2369">
        <v>0</v>
      </c>
      <c r="U80" s="1157"/>
      <c r="V80" s="1158"/>
      <c r="W80" s="1154" t="str">
        <v/>
      </c>
      <c r="X80" s="1159" t="str">
        <v/>
      </c>
      <c r="Y80" s="1153" t="str">
        <v/>
      </c>
      <c r="Z80" s="1160" t="str">
        <v/>
      </c>
      <c r="AA80" s="1160" t="str">
        <v/>
      </c>
      <c r="AB80" s="1160" t="str">
        <v/>
      </c>
      <c r="AC80" s="1160" t="str">
        <v/>
      </c>
      <c r="AD80" s="1160" t="str">
        <v/>
      </c>
      <c r="AE80" s="1154" t="str">
        <v/>
      </c>
      <c r="AF80" s="1161" t="str">
        <v/>
      </c>
      <c r="AG80" s="1161" t="str">
        <v/>
      </c>
      <c r="AH80" s="1161" t="str">
        <v/>
      </c>
      <c r="AI80" s="1161" t="str">
        <v/>
      </c>
      <c r="AJ80" s="1161" t="str">
        <v/>
      </c>
      <c r="AK80" s="1161" t="str">
        <v/>
      </c>
      <c r="AL80" s="1162" t="str">
        <v/>
      </c>
    </row>
    <row r="81" spans="2:40" ht="13.5">
      <c r="B81" s="1163" t="str">
        <f>Texte!A1668</f>
        <v>Aufstallungssystem 2</v>
      </c>
      <c r="C81" s="1153"/>
      <c r="D81" s="1154"/>
      <c r="E81" s="1154"/>
      <c r="F81" s="1154"/>
      <c r="G81" s="1154" t="str">
        <v/>
      </c>
      <c r="H81" s="1155"/>
      <c r="I81" s="1156"/>
      <c r="J81" s="1159"/>
      <c r="K81" s="1159"/>
      <c r="L81" s="1159"/>
      <c r="M81" s="1159"/>
      <c r="N81" s="1159"/>
      <c r="O81" s="1153"/>
      <c r="P81" s="1153"/>
      <c r="Q81" s="2369">
        <v>0</v>
      </c>
      <c r="R81" s="2369">
        <v>0</v>
      </c>
      <c r="S81" s="2369">
        <v>0</v>
      </c>
      <c r="T81" s="2369">
        <v>0</v>
      </c>
      <c r="U81" s="1157"/>
      <c r="V81" s="1158"/>
      <c r="W81" s="1154" t="str">
        <v/>
      </c>
      <c r="X81" s="1159" t="str">
        <v/>
      </c>
      <c r="Y81" s="1153" t="str">
        <v/>
      </c>
      <c r="Z81" s="1160" t="str">
        <v/>
      </c>
      <c r="AA81" s="1160" t="str">
        <v/>
      </c>
      <c r="AB81" s="1160" t="str">
        <v/>
      </c>
      <c r="AC81" s="1160" t="str">
        <v/>
      </c>
      <c r="AD81" s="1160" t="str">
        <v/>
      </c>
      <c r="AE81" s="1154" t="str">
        <v/>
      </c>
      <c r="AF81" s="1161" t="str">
        <v/>
      </c>
      <c r="AG81" s="1161" t="str">
        <v/>
      </c>
      <c r="AH81" s="1161" t="str">
        <v/>
      </c>
      <c r="AI81" s="1161" t="str">
        <v/>
      </c>
      <c r="AJ81" s="1161" t="str">
        <v/>
      </c>
      <c r="AK81" s="1161" t="str">
        <v/>
      </c>
      <c r="AL81" s="1162" t="str">
        <v/>
      </c>
    </row>
    <row r="82" spans="2:40" ht="13.5">
      <c r="B82" s="1152"/>
      <c r="C82" s="1153"/>
      <c r="D82" s="1154"/>
      <c r="E82" s="1154"/>
      <c r="F82" s="1154"/>
      <c r="G82" s="1154" t="str">
        <v/>
      </c>
      <c r="H82" s="1155"/>
      <c r="I82" s="1156"/>
      <c r="J82" s="1159"/>
      <c r="K82" s="1159"/>
      <c r="L82" s="1159"/>
      <c r="M82" s="1159"/>
      <c r="N82" s="1159"/>
      <c r="O82" s="1153"/>
      <c r="P82" s="1153"/>
      <c r="Q82" s="2369">
        <v>0</v>
      </c>
      <c r="R82" s="2369">
        <v>0</v>
      </c>
      <c r="S82" s="2369">
        <v>0</v>
      </c>
      <c r="T82" s="2369">
        <v>0</v>
      </c>
      <c r="U82" s="1157"/>
      <c r="V82" s="1158"/>
      <c r="W82" s="1154" t="str">
        <v/>
      </c>
      <c r="X82" s="1159" t="str">
        <v/>
      </c>
      <c r="Y82" s="1153" t="str">
        <v/>
      </c>
      <c r="Z82" s="1160" t="str">
        <v/>
      </c>
      <c r="AA82" s="1160" t="str">
        <v/>
      </c>
      <c r="AB82" s="1160" t="str">
        <v/>
      </c>
      <c r="AC82" s="1160" t="str">
        <v/>
      </c>
      <c r="AD82" s="1160" t="str">
        <v/>
      </c>
      <c r="AE82" s="1154" t="str">
        <v/>
      </c>
      <c r="AF82" s="1161" t="str">
        <v/>
      </c>
      <c r="AG82" s="1161" t="str">
        <v/>
      </c>
      <c r="AH82" s="1161" t="str">
        <v/>
      </c>
      <c r="AI82" s="1161" t="str">
        <v/>
      </c>
      <c r="AJ82" s="1161" t="str">
        <v/>
      </c>
      <c r="AK82" s="1161" t="str">
        <v/>
      </c>
      <c r="AL82" s="1162" t="str">
        <v/>
      </c>
    </row>
    <row r="83" spans="2:40" ht="13.5">
      <c r="B83" s="1152"/>
      <c r="C83" s="1153"/>
      <c r="D83" s="1154"/>
      <c r="E83" s="1154"/>
      <c r="F83" s="1154"/>
      <c r="G83" s="1154" t="str">
        <v/>
      </c>
      <c r="H83" s="1155"/>
      <c r="I83" s="1156"/>
      <c r="J83" s="1159"/>
      <c r="K83" s="1159"/>
      <c r="L83" s="1159"/>
      <c r="M83" s="1159"/>
      <c r="N83" s="1159"/>
      <c r="O83" s="1153"/>
      <c r="P83" s="1153"/>
      <c r="Q83" s="2369">
        <v>0</v>
      </c>
      <c r="R83" s="2369">
        <v>0</v>
      </c>
      <c r="S83" s="2369">
        <v>0</v>
      </c>
      <c r="T83" s="2369">
        <v>0</v>
      </c>
      <c r="U83" s="1157"/>
      <c r="V83" s="1158"/>
      <c r="W83" s="1154" t="str">
        <v/>
      </c>
      <c r="X83" s="1159" t="str">
        <v/>
      </c>
      <c r="Y83" s="1153" t="str">
        <v/>
      </c>
      <c r="Z83" s="1160" t="str">
        <v/>
      </c>
      <c r="AA83" s="1160" t="str">
        <v/>
      </c>
      <c r="AB83" s="1160" t="str">
        <v/>
      </c>
      <c r="AC83" s="1160" t="str">
        <v/>
      </c>
      <c r="AD83" s="1160" t="str">
        <v/>
      </c>
      <c r="AE83" s="1154" t="str">
        <v/>
      </c>
      <c r="AF83" s="1161" t="str">
        <v/>
      </c>
      <c r="AG83" s="1161" t="str">
        <v/>
      </c>
      <c r="AH83" s="1161" t="str">
        <v/>
      </c>
      <c r="AI83" s="1161" t="str">
        <v/>
      </c>
      <c r="AJ83" s="1161" t="str">
        <v/>
      </c>
      <c r="AK83" s="1161" t="str">
        <v/>
      </c>
      <c r="AL83" s="1162" t="str">
        <v/>
      </c>
    </row>
    <row r="84" spans="2:40" ht="13.5">
      <c r="B84" s="1152"/>
      <c r="C84" s="1153"/>
      <c r="D84" s="1154"/>
      <c r="E84" s="1154"/>
      <c r="F84" s="1154"/>
      <c r="G84" s="1154" t="str">
        <v/>
      </c>
      <c r="H84" s="1155"/>
      <c r="I84" s="1156"/>
      <c r="J84" s="1159"/>
      <c r="K84" s="1159"/>
      <c r="L84" s="1159"/>
      <c r="M84" s="1159"/>
      <c r="N84" s="1159"/>
      <c r="O84" s="1153"/>
      <c r="P84" s="1153"/>
      <c r="Q84" s="2369">
        <v>0</v>
      </c>
      <c r="R84" s="2369">
        <v>0</v>
      </c>
      <c r="S84" s="2369">
        <v>0</v>
      </c>
      <c r="T84" s="2369">
        <v>0</v>
      </c>
      <c r="U84" s="1157"/>
      <c r="V84" s="1158"/>
      <c r="W84" s="1154" t="str">
        <v/>
      </c>
      <c r="X84" s="1159" t="str">
        <v/>
      </c>
      <c r="Y84" s="1153" t="str">
        <v/>
      </c>
      <c r="Z84" s="1160" t="str">
        <v/>
      </c>
      <c r="AA84" s="1160" t="str">
        <v/>
      </c>
      <c r="AB84" s="1160" t="str">
        <v/>
      </c>
      <c r="AC84" s="1160" t="str">
        <v/>
      </c>
      <c r="AD84" s="1160" t="str">
        <v/>
      </c>
      <c r="AE84" s="1154" t="str">
        <v/>
      </c>
      <c r="AF84" s="1161" t="str">
        <v/>
      </c>
      <c r="AG84" s="1161" t="str">
        <v/>
      </c>
      <c r="AH84" s="1161" t="str">
        <v/>
      </c>
      <c r="AI84" s="1161" t="str">
        <v/>
      </c>
      <c r="AJ84" s="1161" t="str">
        <v/>
      </c>
      <c r="AK84" s="1161" t="str">
        <v/>
      </c>
      <c r="AL84" s="1162" t="str">
        <v/>
      </c>
    </row>
    <row r="85" spans="2:40">
      <c r="B85" s="191"/>
      <c r="C85" s="1164"/>
      <c r="D85" s="1164"/>
      <c r="E85" s="544"/>
      <c r="F85" s="544"/>
      <c r="G85" s="544"/>
      <c r="H85" s="544"/>
      <c r="I85" s="544"/>
      <c r="J85" s="1165"/>
      <c r="K85" s="1165"/>
      <c r="L85" s="1165"/>
      <c r="M85" s="1165"/>
      <c r="N85" s="1165"/>
      <c r="O85" s="1165"/>
      <c r="P85" s="1165"/>
      <c r="Q85" s="1165"/>
      <c r="R85" s="1165"/>
      <c r="S85" s="1165"/>
      <c r="T85" s="1165"/>
      <c r="U85" s="1165"/>
      <c r="V85" s="544"/>
      <c r="W85" s="544"/>
      <c r="X85" s="544"/>
      <c r="Y85" s="544"/>
      <c r="Z85" s="191"/>
      <c r="AA85" s="191"/>
      <c r="AB85" s="191"/>
      <c r="AC85" s="191"/>
      <c r="AD85" s="191"/>
      <c r="AE85" s="1166" t="str">
        <f>Texte!$A$1669</f>
        <v>Nährstoffmenge total in kg</v>
      </c>
      <c r="AF85" s="1167" t="str">
        <f>IF(COUNT(AF78:AF84)=0,"",SUM(AF78:AF84))</f>
        <v/>
      </c>
      <c r="AG85" s="1167" t="str">
        <f t="shared" ref="AG85:AL85" si="6">IF(COUNT(AG78:AG84)=0,"",SUM(AG78:AG84))</f>
        <v/>
      </c>
      <c r="AH85" s="1167" t="str">
        <f t="shared" si="6"/>
        <v/>
      </c>
      <c r="AI85" s="1167" t="str">
        <f t="shared" si="6"/>
        <v/>
      </c>
      <c r="AJ85" s="1167" t="str">
        <f t="shared" si="6"/>
        <v/>
      </c>
      <c r="AK85" s="1167" t="str">
        <f t="shared" si="6"/>
        <v/>
      </c>
      <c r="AL85" s="1167" t="str">
        <f t="shared" si="6"/>
        <v/>
      </c>
    </row>
    <row r="86" spans="2:40" ht="14.25" customHeight="1">
      <c r="B86" s="57"/>
      <c r="C86" s="183"/>
      <c r="D86" s="183"/>
      <c r="E86" s="125"/>
      <c r="F86" s="125"/>
      <c r="G86" s="125"/>
      <c r="H86" s="125"/>
      <c r="I86" s="125"/>
      <c r="J86" s="1122"/>
      <c r="K86" s="1122"/>
      <c r="L86" s="1122"/>
      <c r="M86" s="1122"/>
      <c r="N86" s="1122"/>
      <c r="O86" s="1122"/>
      <c r="P86" s="1122"/>
      <c r="Q86" s="1122"/>
      <c r="R86" s="1122"/>
      <c r="S86" s="1122"/>
      <c r="T86" s="1122"/>
      <c r="U86" s="1122"/>
      <c r="V86" s="125"/>
      <c r="W86" s="125"/>
      <c r="X86" s="199" t="str">
        <f>Texte!$A$1670</f>
        <v>Gülleanfall total (unverdünnt) in m³</v>
      </c>
      <c r="Y86" s="1168" t="str">
        <f>IF(COUNT(Y78:Y84)=0,"",SUM(Y78:Y84))</f>
        <v/>
      </c>
      <c r="Z86" s="57"/>
      <c r="AA86" s="57"/>
      <c r="AB86" s="57"/>
      <c r="AC86" s="57"/>
      <c r="AD86" s="57"/>
      <c r="AE86" s="57"/>
      <c r="AF86" s="57"/>
      <c r="AG86" s="57"/>
      <c r="AH86" s="57"/>
      <c r="AI86" s="57"/>
      <c r="AJ86" s="57"/>
      <c r="AK86" s="57"/>
      <c r="AN86" s="1169" t="str">
        <f>IF(COUNT(Y77:Y84)=0,"",SUMIF(V77:V84,TRUE,Y77:Y84))</f>
        <v/>
      </c>
    </row>
    <row r="87" spans="2:40" ht="14.25" customHeight="1">
      <c r="B87" s="57"/>
      <c r="C87" s="183"/>
      <c r="D87" s="183"/>
      <c r="E87" s="125"/>
      <c r="F87" s="125"/>
      <c r="G87" s="125"/>
      <c r="H87" s="125"/>
      <c r="I87" s="125"/>
      <c r="J87" s="1122"/>
      <c r="K87" s="1122"/>
      <c r="L87" s="1122"/>
      <c r="M87" s="1122"/>
      <c r="N87" s="1122"/>
      <c r="O87" s="1122"/>
      <c r="P87" s="1122"/>
      <c r="Q87" s="1122"/>
      <c r="R87" s="1122"/>
      <c r="S87" s="1122"/>
      <c r="T87" s="1122"/>
      <c r="U87" s="1122"/>
      <c r="V87" s="125"/>
      <c r="W87" s="125"/>
      <c r="X87" s="199" t="str">
        <f>Texte!$A$1671</f>
        <v>Wasserzufluss Tierhaltung</v>
      </c>
      <c r="Y87" s="1167" t="str">
        <f>AL85</f>
        <v/>
      </c>
      <c r="Z87" s="57"/>
      <c r="AA87" s="57"/>
      <c r="AB87" s="57"/>
      <c r="AC87" s="57"/>
      <c r="AD87" s="57"/>
      <c r="AE87" s="57"/>
      <c r="AF87" s="223"/>
      <c r="AG87" s="223"/>
      <c r="AH87" s="223"/>
      <c r="AI87" s="223"/>
      <c r="AJ87" s="223"/>
      <c r="AK87" s="223"/>
    </row>
    <row r="88" spans="2:40" ht="14.25" customHeight="1">
      <c r="B88" s="57"/>
      <c r="C88" s="183"/>
      <c r="D88" s="183"/>
      <c r="E88" s="125"/>
      <c r="F88" s="125"/>
      <c r="G88" s="125"/>
      <c r="H88" s="125"/>
      <c r="I88" s="125"/>
      <c r="J88" s="1122"/>
      <c r="K88" s="1122"/>
      <c r="L88" s="1122"/>
      <c r="M88" s="1122"/>
      <c r="N88" s="1122"/>
      <c r="O88" s="1122"/>
      <c r="P88" s="1122"/>
      <c r="Q88" s="1122"/>
      <c r="R88" s="1122"/>
      <c r="S88" s="1122"/>
      <c r="T88" s="1122"/>
      <c r="U88" s="1122"/>
      <c r="V88" s="125"/>
      <c r="W88" s="125"/>
      <c r="X88" s="199" t="str">
        <f>Texte!$A$1672</f>
        <v>Wasserzufluss gemäss Formular B in m³</v>
      </c>
      <c r="Y88" s="220" t="str">
        <f>IF(HDB!$L$25="","",HDB!$L$25)</f>
        <v/>
      </c>
      <c r="Z88" s="57"/>
      <c r="AA88" s="57"/>
      <c r="AB88" s="57"/>
      <c r="AC88" s="57"/>
      <c r="AD88" s="57"/>
      <c r="AE88" s="57"/>
      <c r="AF88" s="223" t="str">
        <f>Texte!$A$1675</f>
        <v>Gehalt der verdünnten Mischgülle</v>
      </c>
      <c r="AG88" s="223"/>
      <c r="AH88" s="223"/>
      <c r="AI88" s="223"/>
      <c r="AJ88" s="223"/>
      <c r="AK88" s="223"/>
    </row>
    <row r="89" spans="2:40" ht="14.25" customHeight="1" thickBot="1">
      <c r="B89" s="57"/>
      <c r="C89" s="183"/>
      <c r="D89" s="183"/>
      <c r="E89" s="125"/>
      <c r="F89" s="125"/>
      <c r="G89" s="125"/>
      <c r="H89" s="125"/>
      <c r="I89" s="125"/>
      <c r="J89" s="1122"/>
      <c r="K89" s="1122"/>
      <c r="L89" s="1122"/>
      <c r="M89" s="1122"/>
      <c r="N89" s="1122"/>
      <c r="O89" s="1122"/>
      <c r="P89" s="1122"/>
      <c r="Q89" s="1122"/>
      <c r="R89" s="1122"/>
      <c r="S89" s="1122"/>
      <c r="T89" s="1122"/>
      <c r="U89" s="1122"/>
      <c r="V89" s="125"/>
      <c r="W89" s="125"/>
      <c r="X89" s="199" t="str">
        <f>Texte!$A$1673</f>
        <v>Freie Korrektur</v>
      </c>
      <c r="Y89" s="1170"/>
      <c r="Z89" s="57"/>
      <c r="AA89" s="57"/>
      <c r="AB89" s="57"/>
      <c r="AC89" s="57"/>
      <c r="AD89" s="57"/>
      <c r="AE89" s="57"/>
      <c r="AF89" s="223" t="str">
        <f>Texte!$A$1676</f>
        <v>in kg je m³</v>
      </c>
      <c r="AG89" s="223"/>
      <c r="AH89" s="223"/>
      <c r="AI89" s="223"/>
      <c r="AJ89" s="223"/>
      <c r="AK89" s="223"/>
    </row>
    <row r="90" spans="2:40" ht="14.25" customHeight="1" thickBot="1">
      <c r="B90" s="57"/>
      <c r="C90" s="183"/>
      <c r="D90" s="183"/>
      <c r="E90" s="125"/>
      <c r="F90" s="125"/>
      <c r="G90" s="125"/>
      <c r="H90" s="125"/>
      <c r="I90" s="125"/>
      <c r="J90" s="1122"/>
      <c r="K90" s="1122"/>
      <c r="L90" s="1122"/>
      <c r="M90" s="1122"/>
      <c r="N90" s="1122"/>
      <c r="O90" s="1122"/>
      <c r="P90" s="1122"/>
      <c r="Q90" s="1122"/>
      <c r="R90" s="1122"/>
      <c r="S90" s="1122"/>
      <c r="T90" s="1122"/>
      <c r="U90" s="1122"/>
      <c r="V90" s="125"/>
      <c r="W90" s="125"/>
      <c r="X90" s="199" t="str">
        <f>Texte!$A$1674</f>
        <v>Güllemenge total verdünnt in m³</v>
      </c>
      <c r="Y90" s="335" t="str">
        <f>IF(COUNT(Y86:Y89)=0,"",SUM(Y86:Y89))</f>
        <v/>
      </c>
      <c r="Z90" s="57"/>
      <c r="AA90" s="57"/>
      <c r="AB90" s="57"/>
      <c r="AC90" s="57"/>
      <c r="AD90" s="57"/>
      <c r="AE90" s="1175"/>
      <c r="AF90" s="1172" t="str">
        <f t="shared" ref="AF90:AK90" si="7">IF(OR(AF85="",SUM($Y90)=0,SUM($AF85:$AK85)=0),"",ROUND(AF85/$Y90,1))</f>
        <v/>
      </c>
      <c r="AG90" s="1172" t="str">
        <f t="shared" si="7"/>
        <v/>
      </c>
      <c r="AH90" s="1172" t="str">
        <f t="shared" si="7"/>
        <v/>
      </c>
      <c r="AI90" s="1172" t="str">
        <f t="shared" si="7"/>
        <v/>
      </c>
      <c r="AJ90" s="1172" t="str">
        <f t="shared" si="7"/>
        <v/>
      </c>
      <c r="AK90" s="1172" t="str">
        <f t="shared" si="7"/>
        <v/>
      </c>
    </row>
    <row r="91" spans="2:40" ht="12.75" customHeight="1">
      <c r="B91" s="57"/>
      <c r="C91" s="183"/>
      <c r="D91" s="183"/>
      <c r="E91" s="125"/>
      <c r="F91" s="125"/>
      <c r="G91" s="125"/>
      <c r="H91" s="125"/>
      <c r="I91" s="125"/>
      <c r="J91" s="1122"/>
      <c r="K91" s="1122"/>
      <c r="L91" s="1122"/>
      <c r="M91" s="1122"/>
      <c r="N91" s="1122"/>
      <c r="O91" s="1122"/>
      <c r="P91" s="1122"/>
      <c r="Q91" s="1122"/>
      <c r="R91" s="1122"/>
      <c r="S91" s="1122"/>
      <c r="T91" s="1122"/>
      <c r="U91" s="1122"/>
      <c r="V91" s="125"/>
      <c r="W91" s="125"/>
      <c r="X91" s="125"/>
      <c r="Y91" s="125"/>
      <c r="Z91" s="57"/>
      <c r="AA91" s="57"/>
      <c r="AB91" s="57"/>
      <c r="AC91" s="57"/>
      <c r="AD91" s="57"/>
      <c r="AE91" s="57"/>
      <c r="AF91" s="57"/>
      <c r="AG91" s="57"/>
      <c r="AH91" s="57"/>
      <c r="AI91" s="57"/>
      <c r="AJ91" s="57"/>
      <c r="AK91" s="57"/>
      <c r="AL91" s="57"/>
    </row>
    <row r="92" spans="2:40">
      <c r="B92" s="414" t="str">
        <f>Texte!A1680</f>
        <v>Mistplatz 1</v>
      </c>
      <c r="C92" s="183"/>
      <c r="D92" s="183"/>
      <c r="E92" s="125"/>
      <c r="F92" s="125"/>
      <c r="G92" s="125"/>
      <c r="H92" s="125"/>
      <c r="I92" s="125"/>
      <c r="J92" s="1122"/>
      <c r="K92" s="1122"/>
      <c r="L92" s="1122"/>
      <c r="M92" s="1122"/>
      <c r="N92" s="1122"/>
      <c r="O92" s="1122"/>
      <c r="P92" s="1122"/>
      <c r="Q92" s="1122"/>
      <c r="R92" s="1122"/>
      <c r="S92" s="1122"/>
      <c r="T92" s="1122"/>
      <c r="U92" s="1122"/>
      <c r="V92" s="125"/>
      <c r="W92" s="125"/>
      <c r="X92" s="125"/>
      <c r="Y92" s="125"/>
      <c r="Z92" s="57"/>
      <c r="AA92" s="57"/>
      <c r="AB92" s="57"/>
      <c r="AC92" s="57"/>
      <c r="AD92" s="57"/>
      <c r="AE92" s="57"/>
      <c r="AF92" s="57"/>
      <c r="AG92" s="57"/>
      <c r="AH92" s="57"/>
      <c r="AI92" s="57"/>
      <c r="AJ92" s="57"/>
      <c r="AK92" s="57"/>
      <c r="AL92" s="57"/>
    </row>
    <row r="93" spans="2:40" ht="6" customHeight="1">
      <c r="B93" s="57"/>
      <c r="C93" s="183"/>
      <c r="D93" s="183"/>
      <c r="E93" s="125"/>
      <c r="F93" s="125"/>
      <c r="G93" s="125"/>
      <c r="H93" s="125"/>
      <c r="I93" s="125"/>
      <c r="J93" s="1122"/>
      <c r="K93" s="1122"/>
      <c r="L93" s="1122"/>
      <c r="M93" s="1122"/>
      <c r="N93" s="1122"/>
      <c r="O93" s="1122"/>
      <c r="P93" s="1122"/>
      <c r="Q93" s="1122"/>
      <c r="R93" s="1122"/>
      <c r="S93" s="1122"/>
      <c r="T93" s="1122"/>
      <c r="U93" s="1122"/>
      <c r="V93" s="125"/>
      <c r="W93" s="125"/>
      <c r="X93" s="125"/>
      <c r="Y93" s="125"/>
      <c r="Z93" s="57"/>
      <c r="AA93" s="57"/>
      <c r="AB93" s="57"/>
      <c r="AC93" s="57"/>
      <c r="AD93" s="57"/>
      <c r="AE93" s="57"/>
      <c r="AF93" s="57"/>
      <c r="AG93" s="57"/>
      <c r="AH93" s="57"/>
      <c r="AI93" s="57"/>
      <c r="AJ93" s="57"/>
      <c r="AK93" s="57"/>
      <c r="AL93" s="57"/>
    </row>
    <row r="94" spans="2:40">
      <c r="B94" s="1123"/>
      <c r="C94" s="1124" t="str">
        <f>Texte!$A$1593</f>
        <v>Anzahl</v>
      </c>
      <c r="D94" s="1124"/>
      <c r="E94" s="1125"/>
      <c r="F94" s="1125"/>
      <c r="G94" s="1125" t="str">
        <f>Texte!$A$1602</f>
        <v>Anzahl</v>
      </c>
      <c r="H94" s="1125"/>
      <c r="I94" s="1125" t="str">
        <f>Texte!$A$1611</f>
        <v>Tier-</v>
      </c>
      <c r="J94" s="1127" t="str">
        <f>Texte!$A$1614</f>
        <v>Strohbed.</v>
      </c>
      <c r="K94" s="1127" t="str">
        <f>Texte!$A$1618</f>
        <v>Mistanf.</v>
      </c>
      <c r="L94" s="1127" t="str">
        <f>Texte!$A$1622</f>
        <v>Gülleanf.</v>
      </c>
      <c r="M94" s="1127" t="str">
        <f>Texte!$A$1626</f>
        <v>Wasser im</v>
      </c>
      <c r="N94" s="1127" t="str">
        <f>Texte!$A$1626</f>
        <v>Wasser im</v>
      </c>
      <c r="O94" s="1127"/>
      <c r="P94" s="1127"/>
      <c r="Q94" s="191"/>
      <c r="R94" s="191"/>
      <c r="S94" s="191"/>
      <c r="T94" s="564"/>
      <c r="U94" s="1126" t="str">
        <f>Texte!$A$1636</f>
        <v>Sch-</v>
      </c>
      <c r="V94" s="1125" t="str">
        <f>Texte!$A$1640</f>
        <v>Sch-</v>
      </c>
      <c r="W94" s="1125" t="str">
        <f>Texte!$A$1643</f>
        <v>Einh.</v>
      </c>
      <c r="X94" s="1127" t="str">
        <f>Texte!$A$1681</f>
        <v>Mistanf.</v>
      </c>
      <c r="Y94" s="1125" t="str">
        <f>Texte!$A$1685</f>
        <v>Mistanfall</v>
      </c>
      <c r="Z94" s="191"/>
      <c r="AA94" s="191"/>
      <c r="AB94" s="191"/>
      <c r="AC94" s="191"/>
      <c r="AD94" s="191"/>
      <c r="AE94" s="564"/>
      <c r="AF94" s="191"/>
      <c r="AG94" s="191"/>
      <c r="AH94" s="191"/>
      <c r="AI94" s="191"/>
      <c r="AJ94" s="191"/>
      <c r="AK94" s="564"/>
    </row>
    <row r="95" spans="2:40">
      <c r="B95" s="541" t="str">
        <f>Texte!$A$1592</f>
        <v>Tierart, Tierplatzkategorie</v>
      </c>
      <c r="C95" s="1129" t="str">
        <f>Texte!$A$1594</f>
        <v>Tiere /</v>
      </c>
      <c r="D95" s="1129" t="str">
        <f>Texte!$A$1596</f>
        <v>Zuschlag</v>
      </c>
      <c r="E95" s="1130" t="str">
        <f>Texte!$A$1598</f>
        <v>Laufhof-</v>
      </c>
      <c r="F95" s="1130" t="str">
        <f>Texte!$A$1600</f>
        <v>Weide-</v>
      </c>
      <c r="G95" s="1130" t="str">
        <f>Texte!$A$1603</f>
        <v>Tiere /</v>
      </c>
      <c r="H95" s="1130" t="str">
        <f>Texte!$A$1606</f>
        <v>Faktor</v>
      </c>
      <c r="I95" s="1130" t="str">
        <f>Texte!$A$1612</f>
        <v>art-</v>
      </c>
      <c r="J95" s="1132" t="str">
        <f>Texte!$A$1615</f>
        <v>pro</v>
      </c>
      <c r="K95" s="1132" t="str">
        <f>Texte!$A$1619</f>
        <v>pro</v>
      </c>
      <c r="L95" s="1132" t="str">
        <f>Texte!$A$1623</f>
        <v>pro</v>
      </c>
      <c r="M95" s="1132" t="str">
        <f>Texte!$A$1627</f>
        <v>Sommer/</v>
      </c>
      <c r="N95" s="1132" t="str">
        <f>Texte!$A$1628</f>
        <v>Winter/</v>
      </c>
      <c r="O95" s="1132" t="str">
        <f>Texte!$A$1630</f>
        <v>Mist-</v>
      </c>
      <c r="P95" s="1132" t="str">
        <f>Texte!$A$1632</f>
        <v>Gülle-</v>
      </c>
      <c r="Q95" s="223" t="str">
        <f>Texte!$A$1634</f>
        <v>Gülleanteil an Nährstoffen</v>
      </c>
      <c r="R95" s="223"/>
      <c r="S95" s="223"/>
      <c r="T95" s="1133"/>
      <c r="U95" s="1131" t="str">
        <f>Texte!$A$1637</f>
        <v>wemm-</v>
      </c>
      <c r="V95" s="1130" t="str">
        <f>Texte!$A$1641</f>
        <v>weine</v>
      </c>
      <c r="W95" s="1130" t="str">
        <f>Texte!$A$1644</f>
        <v>total</v>
      </c>
      <c r="X95" s="1132" t="str">
        <f>Texte!$A$1682</f>
        <v>pro</v>
      </c>
      <c r="Y95" s="1130" t="str">
        <f>Texte!$A$1686</f>
        <v>total</v>
      </c>
      <c r="Z95" s="223" t="str">
        <f>Texte!$A$1688</f>
        <v>Gehalte in kg je t Mist</v>
      </c>
      <c r="AA95" s="223"/>
      <c r="AB95" s="223"/>
      <c r="AC95" s="223"/>
      <c r="AD95" s="223"/>
      <c r="AE95" s="1133"/>
      <c r="AF95" s="223" t="str">
        <f>Texte!$A$1689</f>
        <v>Nährstoffanfall im Mist</v>
      </c>
      <c r="AG95" s="223"/>
      <c r="AH95" s="223"/>
      <c r="AI95" s="223"/>
      <c r="AJ95" s="223"/>
      <c r="AK95" s="1133"/>
    </row>
    <row r="96" spans="2:40">
      <c r="B96" s="541"/>
      <c r="C96" s="1129" t="str">
        <f>Texte!$A$1595</f>
        <v>Plätze</v>
      </c>
      <c r="D96" s="1129" t="str">
        <f>Texte!$A$1597</f>
        <v>/ Abzug</v>
      </c>
      <c r="E96" s="1130" t="str">
        <f>Texte!$A$1599</f>
        <v>abzug</v>
      </c>
      <c r="F96" s="1130" t="str">
        <f>Texte!$A$1601</f>
        <v>abzug</v>
      </c>
      <c r="G96" s="1130" t="str">
        <f>Texte!$A$1604</f>
        <v>Plätze</v>
      </c>
      <c r="H96" s="1130"/>
      <c r="I96" s="1130" t="str">
        <f>Texte!$A$1613</f>
        <v>Index</v>
      </c>
      <c r="J96" s="1132" t="str">
        <f>Texte!$A$1616</f>
        <v>Tier/Platz</v>
      </c>
      <c r="K96" s="1132" t="str">
        <f>Texte!$A$1620</f>
        <v>Tier/Platz</v>
      </c>
      <c r="L96" s="1132" t="str">
        <f>Texte!$A$1624</f>
        <v>Tier/Platz</v>
      </c>
      <c r="M96" s="1132" t="str">
        <f>Texte!$A$1629</f>
        <v>GVE/MSP/LHP</v>
      </c>
      <c r="N96" s="1132" t="str">
        <f>Texte!$A$1629</f>
        <v>GVE/MSP/LHP</v>
      </c>
      <c r="O96" s="1132" t="str">
        <f>Texte!$A$1631</f>
        <v>Typ</v>
      </c>
      <c r="P96" s="1132" t="str">
        <f>Texte!$A$1633</f>
        <v>Typ</v>
      </c>
      <c r="Q96" s="57"/>
      <c r="R96" s="1135"/>
      <c r="S96" s="1135"/>
      <c r="T96" s="548"/>
      <c r="U96" s="1131" t="str">
        <f>Texte!$A$1638</f>
        <v>ent-</v>
      </c>
      <c r="V96" s="1130" t="str">
        <f>Texte!$A$1642</f>
        <v>Gülle</v>
      </c>
      <c r="W96" s="1132" t="str">
        <f>Texte!$A$1645</f>
        <v>GVE/</v>
      </c>
      <c r="X96" s="1132" t="str">
        <f>Texte!$A$1683</f>
        <v>Einheit</v>
      </c>
      <c r="Y96" s="1130" t="str">
        <f>Texte!$A$1687</f>
        <v>in</v>
      </c>
      <c r="Z96" s="57"/>
      <c r="AA96" s="1135" t="str">
        <f>Texte!$A$1655</f>
        <v>(Ack.b.)</v>
      </c>
      <c r="AB96" s="1135" t="str">
        <f>Texte!$A$1657</f>
        <v>(Fu.b.)</v>
      </c>
      <c r="AC96" s="57"/>
      <c r="AD96" s="57"/>
      <c r="AE96" s="548"/>
      <c r="AF96" s="57"/>
      <c r="AG96" s="1135" t="str">
        <f>Texte!$A$1655</f>
        <v>(Ack.b.)</v>
      </c>
      <c r="AH96" s="1135" t="str">
        <f>Texte!$A$1657</f>
        <v>(Fu.b.)</v>
      </c>
      <c r="AI96" s="57"/>
      <c r="AJ96" s="57"/>
      <c r="AK96" s="548"/>
    </row>
    <row r="97" spans="2:39" ht="13.5">
      <c r="B97" s="541"/>
      <c r="C97" s="1129"/>
      <c r="D97" s="1129"/>
      <c r="E97" s="1130"/>
      <c r="F97" s="1130"/>
      <c r="G97" s="1130" t="str">
        <f>Texte!$A$1605</f>
        <v>korr.</v>
      </c>
      <c r="H97" s="1130"/>
      <c r="I97" s="1130"/>
      <c r="J97" s="1132" t="str">
        <f>Texte!$A$1617</f>
        <v>pro Mt.</v>
      </c>
      <c r="K97" s="1132" t="str">
        <f>Texte!$A$1621</f>
        <v>pro Mt.</v>
      </c>
      <c r="L97" s="1132" t="str">
        <f>Texte!$A$1625</f>
        <v>pro Mt.</v>
      </c>
      <c r="M97" s="1132" t="str">
        <f>Texte!$A$1625</f>
        <v>pro Mt.</v>
      </c>
      <c r="N97" s="1132" t="str">
        <f>Texte!$A$1625</f>
        <v>pro Mt.</v>
      </c>
      <c r="O97" s="1132"/>
      <c r="P97" s="1132"/>
      <c r="Q97" s="1136" t="str">
        <f>Texte!$A$1635</f>
        <v>Nges</v>
      </c>
      <c r="R97" s="1136" t="s">
        <v>3461</v>
      </c>
      <c r="S97" s="1136" t="s">
        <v>3462</v>
      </c>
      <c r="T97" s="1138" t="s">
        <v>7031</v>
      </c>
      <c r="U97" s="1131" t="str">
        <f>Texte!$A$1639</f>
        <v>mistung</v>
      </c>
      <c r="V97" s="1130"/>
      <c r="W97" s="1132" t="str">
        <f>Texte!$A$1646</f>
        <v>MSP/LHP</v>
      </c>
      <c r="X97" s="1132" t="str">
        <f>Texte!$A$1684</f>
        <v>pro Mt.</v>
      </c>
      <c r="Y97" s="1130" t="s">
        <v>4111</v>
      </c>
      <c r="Z97" s="1136" t="str">
        <f>Texte!$A$1656</f>
        <v>Nges</v>
      </c>
      <c r="AA97" s="1137" t="str">
        <f>Texte!$A$1658</f>
        <v>Nverf</v>
      </c>
      <c r="AB97" s="1137" t="str">
        <f>Texte!$A$1658</f>
        <v>Nverf</v>
      </c>
      <c r="AC97" s="1136" t="s">
        <v>3461</v>
      </c>
      <c r="AD97" s="1136" t="s">
        <v>3462</v>
      </c>
      <c r="AE97" s="1138" t="s">
        <v>7031</v>
      </c>
      <c r="AF97" s="1139" t="str">
        <f>Texte!$A$1656</f>
        <v>Nges</v>
      </c>
      <c r="AG97" s="1140" t="str">
        <f>Texte!$A$1658</f>
        <v>Nverf</v>
      </c>
      <c r="AH97" s="1140" t="str">
        <f>Texte!$A$1658</f>
        <v>Nverf</v>
      </c>
      <c r="AI97" s="1141" t="s">
        <v>3461</v>
      </c>
      <c r="AJ97" s="1141" t="s">
        <v>3462</v>
      </c>
      <c r="AK97" s="1142" t="s">
        <v>7031</v>
      </c>
    </row>
    <row r="98" spans="2:39" ht="13.5">
      <c r="B98" s="1145" t="str">
        <f>Texte!A1667</f>
        <v>Aufstallungssystem 1</v>
      </c>
      <c r="C98" s="1124"/>
      <c r="D98" s="1146"/>
      <c r="E98" s="1146"/>
      <c r="F98" s="1146"/>
      <c r="G98" s="1125" t="str">
        <f t="array" ref="G98:G109">IF(ISBLANK($C98:$C109),"",$C98:$C109+$D98:$D109-$F98:$F109)</f>
        <v/>
      </c>
      <c r="H98" s="1125"/>
      <c r="I98" s="1125"/>
      <c r="J98" s="1148"/>
      <c r="K98" s="1148"/>
      <c r="L98" s="1148"/>
      <c r="M98" s="1148"/>
      <c r="N98" s="1148"/>
      <c r="O98" s="1124"/>
      <c r="P98" s="1124"/>
      <c r="Q98" s="2368">
        <f t="array" ref="Q98:Q109">IF(((INDEX(TG!Gülle,$O98:$O109,1)*$K98:$K109)+(INDEX(TG!Gülle,$P98:$P109,1)*$L98:$L109))=0,0,(INDEX(TG!Gülle,$P98:$P109,1)*$L98:$L109)/((INDEX(TG!Gülle,$O98:$O109,1)*$K98:$K109)+(INDEX(TG!Gülle,$P98:$P109,1)*$L98:$L109)))</f>
        <v>0</v>
      </c>
      <c r="R98" s="2368">
        <f t="array" ref="R98:R109">IF(((INDEX(TG!Gülle,$O98:$O109,4)*$K98:$K109)+(INDEX(TG!Gülle,$P98:$P109,4)*$L98:$L109))=0,0,(INDEX(TG!Gülle,$P98:$P109,4)*$L98:$L109)/((INDEX(TG!Gülle,$O98:$O109,4)*$K98:$K109)+(INDEX(TG!Gülle,$P98:$P109,4)*$L98:$L109)))</f>
        <v>0</v>
      </c>
      <c r="S98" s="2368">
        <f t="array" ref="S98:S109">IF(((INDEX(TG!Gülle,$O98:$O109,5)*$K98:$K109)+(INDEX(TG!Gülle,$P98:$P109,5)*$L98:$L109))=0,0,(INDEX(TG!Gülle,$P98:$P109,5)*$L98:$L109)/((INDEX(TG!Gülle,$O98:$O109,5)*$K98:$K109)+(INDEX(TG!Gülle,$P98:$P109,5)*$L98:$L109)))</f>
        <v>0</v>
      </c>
      <c r="T98" s="2368">
        <f t="array" ref="T98:T109">IF(((INDEX(TG!Gülle,$O98:$O109,6)*$K98:$K109)+(INDEX(TG!Gülle,$P98:$P109,6)*$L98:$L109))=0,0,(INDEX(TG!Gülle,$P98:$P109,6)*$L98:$L109)/((INDEX(TG!Gülle,$O98:$O109,6)*$K98:$K109)+(INDEX(TG!Gülle,$P98:$P109,6)*$L98:$L109)))</f>
        <v>0</v>
      </c>
      <c r="U98" s="1126"/>
      <c r="V98" s="1147"/>
      <c r="W98" s="1125" t="str">
        <f t="array" ref="W98:W109">IF(ISBLANK($C98:$C109),"",($G98:$G109+$F98:$F109)*($H98:$H109))</f>
        <v/>
      </c>
      <c r="X98" s="1148" t="str">
        <f t="array" ref="X98:X109">IF(ISBLANK($C98:$C109),"",($K98:$K109))</f>
        <v/>
      </c>
      <c r="Y98" s="1125" t="str">
        <f t="array" ref="Y98:Y109">IF(ISBLANK($C98:$C109),"",$G98:$G109*$X98:$X109*HDA!$C$6)</f>
        <v/>
      </c>
      <c r="Z98" s="1149" t="str">
        <f t="array" ref="Z98:Z109">IF(ISBLANK($C98:$C109),"",AF98:AF109/$Y98:$Y109)</f>
        <v/>
      </c>
      <c r="AA98" s="1149" t="str">
        <f t="array" ref="AA98:AA109">IF(ISBLANK($C98:$C109),"",AG98:AG109/$Y98:$Y109)</f>
        <v/>
      </c>
      <c r="AB98" s="1149" t="str">
        <f t="array" ref="AB98:AB109">IF(ISBLANK($C98:$C109),"",AH98:AH109/$Y98:$Y109)</f>
        <v/>
      </c>
      <c r="AC98" s="1149" t="str">
        <f t="array" ref="AC98:AC109">IF(ISBLANK($C98:$C109),"",AI98:AI109/$Y98:$Y109)</f>
        <v/>
      </c>
      <c r="AD98" s="1149" t="str">
        <f t="array" ref="AD98:AD109">IF(ISBLANK($C98:$C109),"",AJ98:AJ109/$Y98:$Y109)</f>
        <v/>
      </c>
      <c r="AE98" s="564" t="str">
        <f t="array" ref="AE98:AE109">IF(ISBLANK($C98:$C109),"",AK98:AK109/$Y98:$Y109)</f>
        <v/>
      </c>
      <c r="AF98" s="1149" t="str">
        <f t="array" ref="AF98:AF109">IF(ISBLANK($C98:$C109),"",IF(IF($V98:$V109,IF(OR($W$8&lt;&gt;0,$W$9&lt;&gt;0),IF($AH$8=1,FALSE,TRUE),TRUE),TRUE),VLOOKUP($I98:$I109,D_Tierb!$A$8:$U$80,18,FALSE)*(1-$Q98:$Q109)*$G98:$G109,IF($W$8&lt;&gt;0,$W$8/D_Tierb!$BI$72*VLOOKUP($I98:$I109,D_Tierb!$A$8:$BJ$80,18,FALSE)*$G98:$G109*(1-$Q98:$Q109),$W$9/D_Tierb!$BI$62*VLOOKUP($I98:$I109,D_Tierb!$A$8:$BJ$80,18,FALSE)*$G98:$G109*(1-$Q98:$Q109))))</f>
        <v/>
      </c>
      <c r="AG98" s="1149" t="str">
        <f t="array" ref="AG98:AG109">IF(ISBLANK($C98:$C109),"",$AF98:$AF109*INDEX(TG!Verfügbar,$O98:$O109,1)/100)</f>
        <v/>
      </c>
      <c r="AH98" s="1149" t="str">
        <f t="array" ref="AH98:AH109">IF(ISBLANK($C98:$C109),"",$AF98:$AF109*INDEX(TG!Verfügbar,$O98:$O109,2)/100)</f>
        <v/>
      </c>
      <c r="AI98" s="1149" t="str">
        <f t="array" ref="AI98:AI109">IF(ISBLANK($C98:$C109),"",IF(IF($V98:$V109,IF(OR($Z$8&lt;&gt;0,$Z$9&lt;&gt;0),IF($AH$8=1,FALSE,TRUE),TRUE),TRUE),(VLOOKUP($I98:$I109,D_Tierb!$A$8:$U$80,19,FALSE)*(1-$R98:$R109)+J98:J109*HDA!$C$6*'SB2'!$O$88)*$G98:$G109,IF($Z$8&lt;&gt;0,$Z$8/D_Tierb!$BJ$72*VLOOKUP($I98:$I109,D_Tierb!$A$8:$BJ$80,19,FALSE)*$G98:$G109*(1-$R98:$R109)+J98:J109*HDA!$C$6*'SB2'!$O$88*$G98:$G109,$Z$9/D_Tierb!$BJ$62*VLOOKUP($I98:$I109,D_Tierb!$A$8:$BJ$80,19,FALSE)*$G98:$G109*(1-$R98:$R109)+J98:J109*HDA!$C$6*'SB2'!$O$88*$G98:$G109)))</f>
        <v/>
      </c>
      <c r="AJ98" s="1149" t="str">
        <f t="array" ref="AJ98:AJ109">IF(ISBLANK($C98:$C109),"",(VLOOKUP($I98:$I109,D_Tierb!$A$8:$U$80,20,FALSE)*(1-$S98:$S109)+J98:J109*HDA!$C$6*'SB2'!$P$88)*$G98:$G109)</f>
        <v/>
      </c>
      <c r="AK98" s="1176" t="str">
        <f t="array" ref="AK98:AK109">IF(ISBLANK($C98:$C109),"",(VLOOKUP($I98:$I109,D_Tierb!$A$8:$U$80,21,FALSE)*(1-$T98:$T109)+J98:J109*HDA!$C$6*'SB2'!$Q$88)*$G98:$G109)</f>
        <v/>
      </c>
    </row>
    <row r="99" spans="2:39" ht="13.5">
      <c r="B99" s="1152"/>
      <c r="C99" s="1153"/>
      <c r="D99" s="1154"/>
      <c r="E99" s="1154"/>
      <c r="F99" s="1154"/>
      <c r="G99" s="1154" t="str">
        <v/>
      </c>
      <c r="H99" s="1155"/>
      <c r="I99" s="1156"/>
      <c r="J99" s="1159"/>
      <c r="K99" s="1159"/>
      <c r="L99" s="1159"/>
      <c r="M99" s="1159"/>
      <c r="N99" s="1159"/>
      <c r="O99" s="1153"/>
      <c r="P99" s="1153"/>
      <c r="Q99" s="2369">
        <v>0</v>
      </c>
      <c r="R99" s="2369">
        <v>0</v>
      </c>
      <c r="S99" s="2369">
        <v>0</v>
      </c>
      <c r="T99" s="2369">
        <v>0</v>
      </c>
      <c r="U99" s="1157"/>
      <c r="V99" s="1158"/>
      <c r="W99" s="1154" t="str">
        <v/>
      </c>
      <c r="X99" s="1159" t="str">
        <v/>
      </c>
      <c r="Y99" s="1153" t="str">
        <v/>
      </c>
      <c r="Z99" s="1160" t="str">
        <v/>
      </c>
      <c r="AA99" s="1160" t="str">
        <v/>
      </c>
      <c r="AB99" s="1160" t="str">
        <v/>
      </c>
      <c r="AC99" s="1160" t="str">
        <v/>
      </c>
      <c r="AD99" s="1160" t="str">
        <v/>
      </c>
      <c r="AE99" s="1154" t="str">
        <v/>
      </c>
      <c r="AF99" s="1161" t="str">
        <v/>
      </c>
      <c r="AG99" s="1161" t="str">
        <v/>
      </c>
      <c r="AH99" s="1161" t="str">
        <v/>
      </c>
      <c r="AI99" s="1161" t="str">
        <v/>
      </c>
      <c r="AJ99" s="1161" t="str">
        <v/>
      </c>
      <c r="AK99" s="1177" t="str">
        <v/>
      </c>
    </row>
    <row r="100" spans="2:39" ht="13.5">
      <c r="B100" s="1152"/>
      <c r="C100" s="1153"/>
      <c r="D100" s="1154"/>
      <c r="E100" s="1154"/>
      <c r="F100" s="1154"/>
      <c r="G100" s="1154" t="str">
        <v/>
      </c>
      <c r="H100" s="1155"/>
      <c r="I100" s="1156"/>
      <c r="J100" s="1159"/>
      <c r="K100" s="1159"/>
      <c r="L100" s="1159"/>
      <c r="M100" s="1159"/>
      <c r="N100" s="1159"/>
      <c r="O100" s="1153"/>
      <c r="P100" s="1153"/>
      <c r="Q100" s="2369">
        <v>0</v>
      </c>
      <c r="R100" s="2369">
        <v>0</v>
      </c>
      <c r="S100" s="2369">
        <v>0</v>
      </c>
      <c r="T100" s="2369">
        <v>0</v>
      </c>
      <c r="U100" s="1157"/>
      <c r="V100" s="1158"/>
      <c r="W100" s="1154" t="str">
        <v/>
      </c>
      <c r="X100" s="1159" t="str">
        <v/>
      </c>
      <c r="Y100" s="1153" t="str">
        <v/>
      </c>
      <c r="Z100" s="1160" t="str">
        <v/>
      </c>
      <c r="AA100" s="1160" t="str">
        <v/>
      </c>
      <c r="AB100" s="1160" t="str">
        <v/>
      </c>
      <c r="AC100" s="1160" t="str">
        <v/>
      </c>
      <c r="AD100" s="1160" t="str">
        <v/>
      </c>
      <c r="AE100" s="1154" t="str">
        <v/>
      </c>
      <c r="AF100" s="1161" t="str">
        <v/>
      </c>
      <c r="AG100" s="1161" t="str">
        <v/>
      </c>
      <c r="AH100" s="1161" t="str">
        <v/>
      </c>
      <c r="AI100" s="1161" t="str">
        <v/>
      </c>
      <c r="AJ100" s="1161" t="str">
        <v/>
      </c>
      <c r="AK100" s="1177" t="str">
        <v/>
      </c>
    </row>
    <row r="101" spans="2:39" ht="13.5">
      <c r="B101" s="1152"/>
      <c r="C101" s="1153"/>
      <c r="D101" s="1154"/>
      <c r="E101" s="1154"/>
      <c r="F101" s="1154"/>
      <c r="G101" s="1154" t="str">
        <v/>
      </c>
      <c r="H101" s="1155"/>
      <c r="I101" s="1156"/>
      <c r="J101" s="1159"/>
      <c r="K101" s="1159"/>
      <c r="L101" s="1159"/>
      <c r="M101" s="1159"/>
      <c r="N101" s="1159"/>
      <c r="O101" s="1153"/>
      <c r="P101" s="1153"/>
      <c r="Q101" s="2369">
        <v>0</v>
      </c>
      <c r="R101" s="2369">
        <v>0</v>
      </c>
      <c r="S101" s="2369">
        <v>0</v>
      </c>
      <c r="T101" s="2369">
        <v>0</v>
      </c>
      <c r="U101" s="1157"/>
      <c r="V101" s="1158"/>
      <c r="W101" s="1154" t="str">
        <v/>
      </c>
      <c r="X101" s="1159" t="str">
        <v/>
      </c>
      <c r="Y101" s="1153" t="str">
        <v/>
      </c>
      <c r="Z101" s="1160" t="str">
        <v/>
      </c>
      <c r="AA101" s="1160" t="str">
        <v/>
      </c>
      <c r="AB101" s="1160" t="str">
        <v/>
      </c>
      <c r="AC101" s="1160" t="str">
        <v/>
      </c>
      <c r="AD101" s="1160" t="str">
        <v/>
      </c>
      <c r="AE101" s="1154" t="str">
        <v/>
      </c>
      <c r="AF101" s="1161" t="str">
        <v/>
      </c>
      <c r="AG101" s="1161" t="str">
        <v/>
      </c>
      <c r="AH101" s="1161" t="str">
        <v/>
      </c>
      <c r="AI101" s="1161" t="str">
        <v/>
      </c>
      <c r="AJ101" s="1161" t="str">
        <v/>
      </c>
      <c r="AK101" s="1177" t="str">
        <v/>
      </c>
    </row>
    <row r="102" spans="2:39" ht="13.5">
      <c r="B102" s="1152"/>
      <c r="C102" s="1153"/>
      <c r="D102" s="1154"/>
      <c r="E102" s="1154"/>
      <c r="F102" s="1154"/>
      <c r="G102" s="1154" t="str">
        <v/>
      </c>
      <c r="H102" s="1155"/>
      <c r="I102" s="1156"/>
      <c r="J102" s="1159"/>
      <c r="K102" s="1159"/>
      <c r="L102" s="1159"/>
      <c r="M102" s="1159"/>
      <c r="N102" s="1159"/>
      <c r="O102" s="1153"/>
      <c r="P102" s="1153"/>
      <c r="Q102" s="2369">
        <v>0</v>
      </c>
      <c r="R102" s="2369">
        <v>0</v>
      </c>
      <c r="S102" s="2369">
        <v>0</v>
      </c>
      <c r="T102" s="2369">
        <v>0</v>
      </c>
      <c r="U102" s="1157"/>
      <c r="V102" s="1158"/>
      <c r="W102" s="1154" t="str">
        <v/>
      </c>
      <c r="X102" s="1159" t="str">
        <v/>
      </c>
      <c r="Y102" s="1153" t="str">
        <v/>
      </c>
      <c r="Z102" s="1160" t="str">
        <v/>
      </c>
      <c r="AA102" s="1160" t="str">
        <v/>
      </c>
      <c r="AB102" s="1160" t="str">
        <v/>
      </c>
      <c r="AC102" s="1160" t="str">
        <v/>
      </c>
      <c r="AD102" s="1160" t="str">
        <v/>
      </c>
      <c r="AE102" s="1154" t="str">
        <v/>
      </c>
      <c r="AF102" s="1161" t="str">
        <v/>
      </c>
      <c r="AG102" s="1161" t="str">
        <v/>
      </c>
      <c r="AH102" s="1161" t="str">
        <v/>
      </c>
      <c r="AI102" s="1161" t="str">
        <v/>
      </c>
      <c r="AJ102" s="1161" t="str">
        <v/>
      </c>
      <c r="AK102" s="1177" t="str">
        <v/>
      </c>
    </row>
    <row r="103" spans="2:39" ht="13.5">
      <c r="B103" s="1152"/>
      <c r="C103" s="1153"/>
      <c r="D103" s="1154"/>
      <c r="E103" s="1154"/>
      <c r="F103" s="1154"/>
      <c r="G103" s="1154" t="str">
        <v/>
      </c>
      <c r="H103" s="1155"/>
      <c r="I103" s="1156"/>
      <c r="J103" s="1159"/>
      <c r="K103" s="1159"/>
      <c r="L103" s="1159"/>
      <c r="M103" s="1159"/>
      <c r="N103" s="1159"/>
      <c r="O103" s="1153"/>
      <c r="P103" s="1153"/>
      <c r="Q103" s="2369">
        <v>0</v>
      </c>
      <c r="R103" s="2369">
        <v>0</v>
      </c>
      <c r="S103" s="2369">
        <v>0</v>
      </c>
      <c r="T103" s="2369">
        <v>0</v>
      </c>
      <c r="U103" s="1157"/>
      <c r="V103" s="1158"/>
      <c r="W103" s="1154" t="str">
        <v/>
      </c>
      <c r="X103" s="1159" t="str">
        <v/>
      </c>
      <c r="Y103" s="1153" t="str">
        <v/>
      </c>
      <c r="Z103" s="1160" t="str">
        <v/>
      </c>
      <c r="AA103" s="1160" t="str">
        <v/>
      </c>
      <c r="AB103" s="1160" t="str">
        <v/>
      </c>
      <c r="AC103" s="1160" t="str">
        <v/>
      </c>
      <c r="AD103" s="1160" t="str">
        <v/>
      </c>
      <c r="AE103" s="1154" t="str">
        <v/>
      </c>
      <c r="AF103" s="1161" t="str">
        <v/>
      </c>
      <c r="AG103" s="1161" t="str">
        <v/>
      </c>
      <c r="AH103" s="1161" t="str">
        <v/>
      </c>
      <c r="AI103" s="1161" t="str">
        <v/>
      </c>
      <c r="AJ103" s="1161" t="str">
        <v/>
      </c>
      <c r="AK103" s="1177" t="str">
        <v/>
      </c>
    </row>
    <row r="104" spans="2:39" ht="13.5">
      <c r="B104" s="1163" t="str">
        <f>Texte!A1668</f>
        <v>Aufstallungssystem 2</v>
      </c>
      <c r="C104" s="1153"/>
      <c r="D104" s="1154"/>
      <c r="E104" s="1154"/>
      <c r="F104" s="1154"/>
      <c r="G104" s="1154" t="str">
        <v/>
      </c>
      <c r="H104" s="1155"/>
      <c r="I104" s="1156"/>
      <c r="J104" s="1159"/>
      <c r="K104" s="1159"/>
      <c r="L104" s="1159"/>
      <c r="M104" s="1159"/>
      <c r="N104" s="1159"/>
      <c r="O104" s="1153"/>
      <c r="P104" s="1153"/>
      <c r="Q104" s="2369">
        <v>0</v>
      </c>
      <c r="R104" s="2369">
        <v>0</v>
      </c>
      <c r="S104" s="2369">
        <v>0</v>
      </c>
      <c r="T104" s="2369">
        <v>0</v>
      </c>
      <c r="U104" s="1157"/>
      <c r="V104" s="1158"/>
      <c r="W104" s="1154" t="str">
        <v/>
      </c>
      <c r="X104" s="1159" t="str">
        <v/>
      </c>
      <c r="Y104" s="1153" t="str">
        <v/>
      </c>
      <c r="Z104" s="1160" t="str">
        <v/>
      </c>
      <c r="AA104" s="1160" t="str">
        <v/>
      </c>
      <c r="AB104" s="1160" t="str">
        <v/>
      </c>
      <c r="AC104" s="1160" t="str">
        <v/>
      </c>
      <c r="AD104" s="1160" t="str">
        <v/>
      </c>
      <c r="AE104" s="1154" t="str">
        <v/>
      </c>
      <c r="AF104" s="1161" t="str">
        <v/>
      </c>
      <c r="AG104" s="1161" t="str">
        <v/>
      </c>
      <c r="AH104" s="1161" t="str">
        <v/>
      </c>
      <c r="AI104" s="1161" t="str">
        <v/>
      </c>
      <c r="AJ104" s="1161" t="str">
        <v/>
      </c>
      <c r="AK104" s="1177" t="str">
        <v/>
      </c>
    </row>
    <row r="105" spans="2:39" ht="13.5">
      <c r="B105" s="1152"/>
      <c r="C105" s="1153"/>
      <c r="D105" s="1154"/>
      <c r="E105" s="1154"/>
      <c r="F105" s="1154"/>
      <c r="G105" s="1154" t="str">
        <v/>
      </c>
      <c r="H105" s="1155"/>
      <c r="I105" s="1156"/>
      <c r="J105" s="1159"/>
      <c r="K105" s="1159"/>
      <c r="L105" s="1159"/>
      <c r="M105" s="1159"/>
      <c r="N105" s="1159"/>
      <c r="O105" s="1153"/>
      <c r="P105" s="1153"/>
      <c r="Q105" s="2369">
        <v>0</v>
      </c>
      <c r="R105" s="2369">
        <v>0</v>
      </c>
      <c r="S105" s="2369">
        <v>0</v>
      </c>
      <c r="T105" s="2369">
        <v>0</v>
      </c>
      <c r="U105" s="1157"/>
      <c r="V105" s="1158"/>
      <c r="W105" s="1154" t="str">
        <v/>
      </c>
      <c r="X105" s="1159" t="str">
        <v/>
      </c>
      <c r="Y105" s="1153" t="str">
        <v/>
      </c>
      <c r="Z105" s="1160" t="str">
        <v/>
      </c>
      <c r="AA105" s="1160" t="str">
        <v/>
      </c>
      <c r="AB105" s="1160" t="str">
        <v/>
      </c>
      <c r="AC105" s="1160" t="str">
        <v/>
      </c>
      <c r="AD105" s="1160" t="str">
        <v/>
      </c>
      <c r="AE105" s="1154" t="str">
        <v/>
      </c>
      <c r="AF105" s="1161" t="str">
        <v/>
      </c>
      <c r="AG105" s="1161" t="str">
        <v/>
      </c>
      <c r="AH105" s="1161" t="str">
        <v/>
      </c>
      <c r="AI105" s="1161" t="str">
        <v/>
      </c>
      <c r="AJ105" s="1161" t="str">
        <v/>
      </c>
      <c r="AK105" s="1177" t="str">
        <v/>
      </c>
    </row>
    <row r="106" spans="2:39" ht="13.5">
      <c r="B106" s="1152"/>
      <c r="C106" s="1153"/>
      <c r="D106" s="1154"/>
      <c r="E106" s="1154"/>
      <c r="F106" s="1154"/>
      <c r="G106" s="1154" t="str">
        <v/>
      </c>
      <c r="H106" s="1155"/>
      <c r="I106" s="1156"/>
      <c r="J106" s="1159"/>
      <c r="K106" s="1159"/>
      <c r="L106" s="1159"/>
      <c r="M106" s="1159"/>
      <c r="N106" s="1159"/>
      <c r="O106" s="1153"/>
      <c r="P106" s="1153"/>
      <c r="Q106" s="2369">
        <v>0</v>
      </c>
      <c r="R106" s="2369">
        <v>0</v>
      </c>
      <c r="S106" s="2369">
        <v>0</v>
      </c>
      <c r="T106" s="2369">
        <v>0</v>
      </c>
      <c r="U106" s="1157"/>
      <c r="V106" s="1158"/>
      <c r="W106" s="1154" t="str">
        <v/>
      </c>
      <c r="X106" s="1159" t="str">
        <v/>
      </c>
      <c r="Y106" s="1153" t="str">
        <v/>
      </c>
      <c r="Z106" s="1160" t="str">
        <v/>
      </c>
      <c r="AA106" s="1160" t="str">
        <v/>
      </c>
      <c r="AB106" s="1160" t="str">
        <v/>
      </c>
      <c r="AC106" s="1160" t="str">
        <v/>
      </c>
      <c r="AD106" s="1160" t="str">
        <v/>
      </c>
      <c r="AE106" s="1154" t="str">
        <v/>
      </c>
      <c r="AF106" s="1161" t="str">
        <v/>
      </c>
      <c r="AG106" s="1161" t="str">
        <v/>
      </c>
      <c r="AH106" s="1161" t="str">
        <v/>
      </c>
      <c r="AI106" s="1161" t="str">
        <v/>
      </c>
      <c r="AJ106" s="1161" t="str">
        <v/>
      </c>
      <c r="AK106" s="1177" t="str">
        <v/>
      </c>
    </row>
    <row r="107" spans="2:39" ht="13.5">
      <c r="B107" s="1152"/>
      <c r="C107" s="1153"/>
      <c r="D107" s="1154"/>
      <c r="E107" s="1154"/>
      <c r="F107" s="1154"/>
      <c r="G107" s="1154" t="str">
        <v/>
      </c>
      <c r="H107" s="1155"/>
      <c r="I107" s="1156"/>
      <c r="J107" s="1159"/>
      <c r="K107" s="1159"/>
      <c r="L107" s="1159"/>
      <c r="M107" s="1159"/>
      <c r="N107" s="1159"/>
      <c r="O107" s="1153"/>
      <c r="P107" s="1153"/>
      <c r="Q107" s="2369">
        <v>0</v>
      </c>
      <c r="R107" s="2369">
        <v>0</v>
      </c>
      <c r="S107" s="2369">
        <v>0</v>
      </c>
      <c r="T107" s="2369">
        <v>0</v>
      </c>
      <c r="U107" s="1157"/>
      <c r="V107" s="1158"/>
      <c r="W107" s="1154" t="str">
        <v/>
      </c>
      <c r="X107" s="1159" t="str">
        <v/>
      </c>
      <c r="Y107" s="1153" t="str">
        <v/>
      </c>
      <c r="Z107" s="1160" t="str">
        <v/>
      </c>
      <c r="AA107" s="1160" t="str">
        <v/>
      </c>
      <c r="AB107" s="1160" t="str">
        <v/>
      </c>
      <c r="AC107" s="1160" t="str">
        <v/>
      </c>
      <c r="AD107" s="1160" t="str">
        <v/>
      </c>
      <c r="AE107" s="1154" t="str">
        <v/>
      </c>
      <c r="AF107" s="1161" t="str">
        <v/>
      </c>
      <c r="AG107" s="1161" t="str">
        <v/>
      </c>
      <c r="AH107" s="1161" t="str">
        <v/>
      </c>
      <c r="AI107" s="1161" t="str">
        <v/>
      </c>
      <c r="AJ107" s="1161" t="str">
        <v/>
      </c>
      <c r="AK107" s="1177" t="str">
        <v/>
      </c>
    </row>
    <row r="108" spans="2:39" ht="13.5">
      <c r="B108" s="1152"/>
      <c r="C108" s="1153"/>
      <c r="D108" s="1154"/>
      <c r="E108" s="1154"/>
      <c r="F108" s="1154"/>
      <c r="G108" s="1154" t="str">
        <v/>
      </c>
      <c r="H108" s="1155"/>
      <c r="I108" s="1156"/>
      <c r="J108" s="1159"/>
      <c r="K108" s="1159"/>
      <c r="L108" s="1159"/>
      <c r="M108" s="1159"/>
      <c r="N108" s="1159"/>
      <c r="O108" s="1153"/>
      <c r="P108" s="1153"/>
      <c r="Q108" s="2369">
        <v>0</v>
      </c>
      <c r="R108" s="2369">
        <v>0</v>
      </c>
      <c r="S108" s="2369">
        <v>0</v>
      </c>
      <c r="T108" s="2369">
        <v>0</v>
      </c>
      <c r="U108" s="1157"/>
      <c r="V108" s="1158"/>
      <c r="W108" s="1154" t="str">
        <v/>
      </c>
      <c r="X108" s="1159" t="str">
        <v/>
      </c>
      <c r="Y108" s="1153" t="str">
        <v/>
      </c>
      <c r="Z108" s="1160" t="str">
        <v/>
      </c>
      <c r="AA108" s="1160" t="str">
        <v/>
      </c>
      <c r="AB108" s="1160" t="str">
        <v/>
      </c>
      <c r="AC108" s="1160" t="str">
        <v/>
      </c>
      <c r="AD108" s="1160" t="str">
        <v/>
      </c>
      <c r="AE108" s="1154" t="str">
        <v/>
      </c>
      <c r="AF108" s="1161" t="str">
        <v/>
      </c>
      <c r="AG108" s="1161" t="str">
        <v/>
      </c>
      <c r="AH108" s="1161" t="str">
        <v/>
      </c>
      <c r="AI108" s="1161" t="str">
        <v/>
      </c>
      <c r="AJ108" s="1161" t="str">
        <v/>
      </c>
      <c r="AK108" s="1177" t="str">
        <v/>
      </c>
    </row>
    <row r="109" spans="2:39" ht="13.5">
      <c r="B109" s="1152"/>
      <c r="C109" s="1153"/>
      <c r="D109" s="1154"/>
      <c r="E109" s="1154"/>
      <c r="F109" s="1154"/>
      <c r="G109" s="1154" t="str">
        <v/>
      </c>
      <c r="H109" s="1155"/>
      <c r="I109" s="1156"/>
      <c r="J109" s="1159"/>
      <c r="K109" s="1159"/>
      <c r="L109" s="1159"/>
      <c r="M109" s="1159"/>
      <c r="N109" s="1159"/>
      <c r="O109" s="1153"/>
      <c r="P109" s="1153"/>
      <c r="Q109" s="2369">
        <v>0</v>
      </c>
      <c r="R109" s="2369">
        <v>0</v>
      </c>
      <c r="S109" s="2369">
        <v>0</v>
      </c>
      <c r="T109" s="2369">
        <v>0</v>
      </c>
      <c r="U109" s="1157"/>
      <c r="V109" s="1158"/>
      <c r="W109" s="1154" t="str">
        <v/>
      </c>
      <c r="X109" s="1159" t="str">
        <v/>
      </c>
      <c r="Y109" s="1153" t="str">
        <v/>
      </c>
      <c r="Z109" s="1160" t="str">
        <v/>
      </c>
      <c r="AA109" s="1160" t="str">
        <v/>
      </c>
      <c r="AB109" s="1160" t="str">
        <v/>
      </c>
      <c r="AC109" s="1160" t="str">
        <v/>
      </c>
      <c r="AD109" s="1160" t="str">
        <v/>
      </c>
      <c r="AE109" s="1154" t="str">
        <v/>
      </c>
      <c r="AF109" s="1161" t="str">
        <v/>
      </c>
      <c r="AG109" s="1161" t="str">
        <v/>
      </c>
      <c r="AH109" s="1161" t="str">
        <v/>
      </c>
      <c r="AI109" s="1161" t="str">
        <v/>
      </c>
      <c r="AJ109" s="1161" t="str">
        <v/>
      </c>
      <c r="AK109" s="1178" t="str">
        <v/>
      </c>
    </row>
    <row r="110" spans="2:39">
      <c r="B110" s="191"/>
      <c r="C110" s="1164"/>
      <c r="D110" s="1164"/>
      <c r="E110" s="544"/>
      <c r="F110" s="544"/>
      <c r="G110" s="544"/>
      <c r="H110" s="544"/>
      <c r="I110" s="544"/>
      <c r="J110" s="1165"/>
      <c r="K110" s="1165"/>
      <c r="L110" s="1165"/>
      <c r="M110" s="1165"/>
      <c r="N110" s="1165"/>
      <c r="O110" s="1165"/>
      <c r="P110" s="1165"/>
      <c r="Q110" s="1165"/>
      <c r="R110" s="1165"/>
      <c r="S110" s="1165"/>
      <c r="T110" s="1165"/>
      <c r="U110" s="1165"/>
      <c r="V110" s="544"/>
      <c r="W110" s="544"/>
      <c r="X110" s="544"/>
      <c r="Y110" s="544"/>
      <c r="Z110" s="191"/>
      <c r="AA110" s="191"/>
      <c r="AB110" s="191"/>
      <c r="AC110" s="191"/>
      <c r="AD110" s="191"/>
      <c r="AE110" s="1166" t="str">
        <f>Texte!$A$1669</f>
        <v>Nährstoffmenge total in kg</v>
      </c>
      <c r="AF110" s="1167" t="str">
        <f t="shared" ref="AF110:AK110" si="8">IF(COUNT(AF99:AF109)=0,"",SUM(AF99:AF109))</f>
        <v/>
      </c>
      <c r="AG110" s="1167" t="str">
        <f t="shared" si="8"/>
        <v/>
      </c>
      <c r="AH110" s="1167" t="str">
        <f t="shared" si="8"/>
        <v/>
      </c>
      <c r="AI110" s="1167" t="str">
        <f t="shared" si="8"/>
        <v/>
      </c>
      <c r="AJ110" s="1167" t="str">
        <f t="shared" si="8"/>
        <v/>
      </c>
      <c r="AK110" s="1167" t="str">
        <f t="shared" si="8"/>
        <v/>
      </c>
      <c r="AL110" s="1288"/>
      <c r="AM110" s="675"/>
    </row>
    <row r="111" spans="2:39" ht="14.25" customHeight="1">
      <c r="B111" s="57"/>
      <c r="C111" s="183"/>
      <c r="D111" s="183"/>
      <c r="E111" s="125"/>
      <c r="F111" s="125"/>
      <c r="G111" s="125"/>
      <c r="H111" s="125"/>
      <c r="I111" s="125"/>
      <c r="J111" s="1122"/>
      <c r="K111" s="1122"/>
      <c r="L111" s="1122"/>
      <c r="M111" s="1122"/>
      <c r="N111" s="1122"/>
      <c r="O111" s="1122"/>
      <c r="P111" s="1122"/>
      <c r="Q111" s="1122"/>
      <c r="R111" s="1122"/>
      <c r="S111" s="1122"/>
      <c r="T111" s="1122"/>
      <c r="U111" s="1122"/>
      <c r="V111" s="125"/>
      <c r="W111" s="125"/>
      <c r="X111" s="199" t="str">
        <f>Texte!$A$1690</f>
        <v>Mistmenge total in t</v>
      </c>
      <c r="Y111" s="1168" t="str">
        <f>IF(COUNT(Y99:Y109)=0,"",SUM(Y99:Y109))</f>
        <v/>
      </c>
      <c r="Z111" s="57"/>
      <c r="AA111" s="57"/>
      <c r="AB111" s="57"/>
      <c r="AC111" s="57"/>
      <c r="AD111" s="57"/>
      <c r="AE111" s="57"/>
      <c r="AF111" s="57"/>
      <c r="AG111" s="57"/>
      <c r="AH111" s="57"/>
      <c r="AI111" s="57"/>
      <c r="AJ111" s="57"/>
      <c r="AK111" s="57"/>
    </row>
    <row r="112" spans="2:39" ht="14.25" customHeight="1">
      <c r="B112" s="57"/>
      <c r="C112" s="183"/>
      <c r="D112" s="183"/>
      <c r="E112" s="125"/>
      <c r="F112" s="125"/>
      <c r="G112" s="125"/>
      <c r="H112" s="125"/>
      <c r="I112" s="125"/>
      <c r="J112" s="1122"/>
      <c r="K112" s="1122"/>
      <c r="L112" s="1122"/>
      <c r="M112" s="1122"/>
      <c r="N112" s="1122"/>
      <c r="O112" s="1122"/>
      <c r="P112" s="1122"/>
      <c r="Q112" s="1122"/>
      <c r="R112" s="1122"/>
      <c r="S112" s="1122"/>
      <c r="T112" s="1122"/>
      <c r="U112" s="1122"/>
      <c r="V112" s="125"/>
      <c r="W112" s="125"/>
      <c r="X112" s="199" t="str">
        <f>Texte!$A$1691</f>
        <v>Zufuhr von Futterresten in t</v>
      </c>
      <c r="Y112" s="1174"/>
      <c r="Z112" s="57"/>
      <c r="AA112" s="57"/>
      <c r="AB112" s="57"/>
      <c r="AC112" s="57"/>
      <c r="AD112" s="57"/>
      <c r="AE112" s="57"/>
      <c r="AF112" s="223" t="str">
        <f>Texte!$A$1694</f>
        <v>Gehalt des gemischten Mistes</v>
      </c>
      <c r="AG112" s="223"/>
      <c r="AH112" s="223"/>
      <c r="AI112" s="223"/>
      <c r="AJ112" s="223"/>
      <c r="AK112" s="223"/>
    </row>
    <row r="113" spans="2:37" ht="14.25" customHeight="1" thickBot="1">
      <c r="B113" s="57"/>
      <c r="C113" s="183"/>
      <c r="D113" s="183"/>
      <c r="E113" s="125"/>
      <c r="F113" s="125"/>
      <c r="G113" s="125"/>
      <c r="H113" s="125"/>
      <c r="I113" s="125"/>
      <c r="J113" s="1122"/>
      <c r="K113" s="1122"/>
      <c r="L113" s="1122"/>
      <c r="M113" s="1122"/>
      <c r="N113" s="1122"/>
      <c r="O113" s="1122"/>
      <c r="P113" s="1122"/>
      <c r="Q113" s="1122"/>
      <c r="R113" s="1122"/>
      <c r="S113" s="1122"/>
      <c r="T113" s="1122"/>
      <c r="U113" s="1122"/>
      <c r="V113" s="125"/>
      <c r="W113" s="125"/>
      <c r="X113" s="199" t="str">
        <f>Texte!$A$1692</f>
        <v>Freie Korrektur</v>
      </c>
      <c r="Y113" s="1170"/>
      <c r="Z113" s="57"/>
      <c r="AA113" s="57"/>
      <c r="AB113" s="57"/>
      <c r="AC113" s="57"/>
      <c r="AD113" s="57"/>
      <c r="AE113" s="57"/>
      <c r="AF113" s="223" t="str">
        <f>Texte!$A$1695</f>
        <v>in kg je t</v>
      </c>
      <c r="AG113" s="223"/>
      <c r="AH113" s="223"/>
      <c r="AI113" s="223"/>
      <c r="AJ113" s="223"/>
      <c r="AK113" s="223"/>
    </row>
    <row r="114" spans="2:37" ht="14.25" customHeight="1" thickBot="1">
      <c r="B114" s="57"/>
      <c r="C114" s="183"/>
      <c r="D114" s="183"/>
      <c r="E114" s="125"/>
      <c r="F114" s="125"/>
      <c r="G114" s="125"/>
      <c r="H114" s="125"/>
      <c r="I114" s="125"/>
      <c r="J114" s="1122"/>
      <c r="K114" s="1122"/>
      <c r="L114" s="1122"/>
      <c r="M114" s="1122"/>
      <c r="N114" s="1122"/>
      <c r="O114" s="1122"/>
      <c r="P114" s="1122"/>
      <c r="Q114" s="1122"/>
      <c r="R114" s="1122"/>
      <c r="S114" s="1122"/>
      <c r="T114" s="1122"/>
      <c r="U114" s="1122"/>
      <c r="V114" s="125"/>
      <c r="W114" s="125"/>
      <c r="X114" s="199" t="str">
        <f>Texte!$A$1693</f>
        <v>Mistmenge total inkl. Futterresten in t</v>
      </c>
      <c r="Y114" s="335" t="str">
        <f>IF(COUNT(Y111:Y113)=0,"",SUM(Y111:Y113))</f>
        <v/>
      </c>
      <c r="Z114" s="57"/>
      <c r="AA114" s="57"/>
      <c r="AB114" s="57"/>
      <c r="AC114" s="57"/>
      <c r="AD114" s="57"/>
      <c r="AE114" s="1175"/>
      <c r="AF114" s="1172" t="str">
        <f t="shared" ref="AF114:AK114" si="9">IF(OR(AF110="",SUM($Y114)=0),"",ROUND(AF110/$Y114,1))</f>
        <v/>
      </c>
      <c r="AG114" s="1172" t="str">
        <f t="shared" si="9"/>
        <v/>
      </c>
      <c r="AH114" s="1172" t="str">
        <f t="shared" si="9"/>
        <v/>
      </c>
      <c r="AI114" s="1172" t="str">
        <f t="shared" si="9"/>
        <v/>
      </c>
      <c r="AJ114" s="1172" t="str">
        <f t="shared" si="9"/>
        <v/>
      </c>
      <c r="AK114" s="1172" t="str">
        <f t="shared" si="9"/>
        <v/>
      </c>
    </row>
    <row r="115" spans="2:37" ht="6" customHeight="1">
      <c r="B115" s="57"/>
      <c r="C115" s="183"/>
      <c r="D115" s="183"/>
      <c r="E115" s="125"/>
      <c r="F115" s="125"/>
      <c r="G115" s="125"/>
      <c r="H115" s="125"/>
      <c r="I115" s="125"/>
      <c r="J115" s="1122"/>
      <c r="K115" s="1122"/>
      <c r="L115" s="1122"/>
      <c r="M115" s="1122"/>
      <c r="N115" s="1122"/>
      <c r="O115" s="1122"/>
      <c r="P115" s="1122"/>
      <c r="Q115" s="1122"/>
      <c r="R115" s="1122"/>
      <c r="S115" s="1122"/>
      <c r="T115" s="1122"/>
      <c r="U115" s="1122"/>
      <c r="V115" s="125"/>
      <c r="W115" s="125"/>
      <c r="X115" s="125"/>
      <c r="Y115" s="125"/>
      <c r="Z115" s="57"/>
      <c r="AA115" s="57"/>
      <c r="AB115" s="57"/>
      <c r="AC115" s="57"/>
      <c r="AD115" s="57"/>
      <c r="AE115" s="57"/>
      <c r="AF115" s="57"/>
      <c r="AG115" s="57"/>
      <c r="AH115" s="57"/>
      <c r="AI115" s="57"/>
      <c r="AJ115" s="57"/>
      <c r="AK115" s="57"/>
    </row>
    <row r="116" spans="2:37">
      <c r="B116" s="414" t="str">
        <f>Texte!A1696</f>
        <v>Mistplatz 2</v>
      </c>
      <c r="C116" s="183"/>
      <c r="D116" s="183"/>
      <c r="E116" s="125"/>
      <c r="F116" s="125"/>
      <c r="G116" s="125"/>
      <c r="H116" s="125"/>
      <c r="I116" s="125"/>
      <c r="J116" s="1122"/>
      <c r="K116" s="1122"/>
      <c r="L116" s="1122"/>
      <c r="M116" s="1122"/>
      <c r="N116" s="1122"/>
      <c r="O116" s="1122"/>
      <c r="P116" s="1122"/>
      <c r="Q116" s="1122"/>
      <c r="R116" s="1122"/>
      <c r="S116" s="1122"/>
      <c r="T116" s="1122"/>
      <c r="U116" s="1122"/>
      <c r="V116" s="125"/>
      <c r="W116" s="125"/>
      <c r="X116" s="125"/>
      <c r="Y116" s="125"/>
      <c r="Z116" s="57"/>
      <c r="AA116" s="57"/>
      <c r="AB116" s="57"/>
      <c r="AC116" s="57"/>
      <c r="AD116" s="57"/>
      <c r="AE116" s="57"/>
      <c r="AF116" s="57"/>
      <c r="AG116" s="57"/>
      <c r="AH116" s="57"/>
      <c r="AI116" s="57"/>
      <c r="AJ116" s="57"/>
      <c r="AK116" s="57"/>
    </row>
    <row r="117" spans="2:37" ht="6" customHeight="1">
      <c r="B117" s="57"/>
      <c r="C117" s="183"/>
      <c r="D117" s="183"/>
      <c r="E117" s="125"/>
      <c r="F117" s="125"/>
      <c r="G117" s="125"/>
      <c r="H117" s="125"/>
      <c r="I117" s="125"/>
      <c r="J117" s="1122"/>
      <c r="K117" s="1122"/>
      <c r="L117" s="1122"/>
      <c r="M117" s="1122"/>
      <c r="N117" s="1122"/>
      <c r="O117" s="1122"/>
      <c r="P117" s="1122"/>
      <c r="Q117" s="1122"/>
      <c r="R117" s="1122"/>
      <c r="S117" s="1122"/>
      <c r="T117" s="1122"/>
      <c r="U117" s="1122"/>
      <c r="V117" s="125"/>
      <c r="W117" s="125"/>
      <c r="X117" s="125"/>
      <c r="Y117" s="125"/>
      <c r="Z117" s="57"/>
      <c r="AA117" s="57"/>
      <c r="AB117" s="57"/>
      <c r="AC117" s="57"/>
      <c r="AD117" s="57"/>
      <c r="AE117" s="57"/>
      <c r="AF117" s="57"/>
      <c r="AG117" s="57"/>
      <c r="AH117" s="57"/>
      <c r="AI117" s="57"/>
      <c r="AJ117" s="57"/>
      <c r="AK117" s="57"/>
    </row>
    <row r="118" spans="2:37">
      <c r="B118" s="1123"/>
      <c r="C118" s="1124" t="str">
        <f>Texte!$A$1593</f>
        <v>Anzahl</v>
      </c>
      <c r="D118" s="1124"/>
      <c r="E118" s="1125"/>
      <c r="F118" s="1125"/>
      <c r="G118" s="1125" t="str">
        <f>Texte!$A$1602</f>
        <v>Anzahl</v>
      </c>
      <c r="H118" s="1125"/>
      <c r="I118" s="1125" t="str">
        <f>Texte!$A$1611</f>
        <v>Tier-</v>
      </c>
      <c r="J118" s="1127" t="str">
        <f>Texte!$A$1614</f>
        <v>Strohbed.</v>
      </c>
      <c r="K118" s="1127" t="str">
        <f>Texte!$A$1618</f>
        <v>Mistanf.</v>
      </c>
      <c r="L118" s="1127" t="str">
        <f>Texte!$A$1622</f>
        <v>Gülleanf.</v>
      </c>
      <c r="M118" s="1127" t="str">
        <f>Texte!$A$1626</f>
        <v>Wasser im</v>
      </c>
      <c r="N118" s="1127" t="str">
        <f>Texte!$A$1626</f>
        <v>Wasser im</v>
      </c>
      <c r="O118" s="1127"/>
      <c r="P118" s="1127"/>
      <c r="Q118" s="191"/>
      <c r="R118" s="191"/>
      <c r="S118" s="191"/>
      <c r="T118" s="564"/>
      <c r="U118" s="1126" t="str">
        <f>Texte!$A$1636</f>
        <v>Sch-</v>
      </c>
      <c r="V118" s="1125" t="str">
        <f>Texte!$A$1640</f>
        <v>Sch-</v>
      </c>
      <c r="W118" s="1125" t="str">
        <f>Texte!$A$1643</f>
        <v>Einh.</v>
      </c>
      <c r="X118" s="1127" t="str">
        <f>Texte!$A$1681</f>
        <v>Mistanf.</v>
      </c>
      <c r="Y118" s="1125" t="str">
        <f>Texte!$A$1685</f>
        <v>Mistanfall</v>
      </c>
      <c r="Z118" s="191"/>
      <c r="AA118" s="191"/>
      <c r="AB118" s="191"/>
      <c r="AC118" s="191"/>
      <c r="AD118" s="191"/>
      <c r="AE118" s="564"/>
      <c r="AF118" s="191"/>
      <c r="AG118" s="191"/>
      <c r="AH118" s="191"/>
      <c r="AI118" s="191"/>
      <c r="AJ118" s="191"/>
      <c r="AK118" s="564"/>
    </row>
    <row r="119" spans="2:37">
      <c r="B119" s="541" t="str">
        <f>Texte!$A$1592</f>
        <v>Tierart, Tierplatzkategorie</v>
      </c>
      <c r="C119" s="1129" t="str">
        <f>Texte!$A$1594</f>
        <v>Tiere /</v>
      </c>
      <c r="D119" s="1129" t="str">
        <f>Texte!$A$1596</f>
        <v>Zuschlag</v>
      </c>
      <c r="E119" s="1130" t="str">
        <f>Texte!$A$1598</f>
        <v>Laufhof-</v>
      </c>
      <c r="F119" s="1130" t="str">
        <f>Texte!$A$1600</f>
        <v>Weide-</v>
      </c>
      <c r="G119" s="1130" t="str">
        <f>Texte!$A$1603</f>
        <v>Tiere /</v>
      </c>
      <c r="H119" s="1130" t="str">
        <f>Texte!$A$1606</f>
        <v>Faktor</v>
      </c>
      <c r="I119" s="1130" t="str">
        <f>Texte!$A$1612</f>
        <v>art-</v>
      </c>
      <c r="J119" s="1132" t="str">
        <f>Texte!$A$1615</f>
        <v>pro</v>
      </c>
      <c r="K119" s="1132" t="str">
        <f>Texte!$A$1619</f>
        <v>pro</v>
      </c>
      <c r="L119" s="1132" t="str">
        <f>Texte!$A$1623</f>
        <v>pro</v>
      </c>
      <c r="M119" s="1132" t="str">
        <f>Texte!$A$1627</f>
        <v>Sommer/</v>
      </c>
      <c r="N119" s="1132" t="str">
        <f>Texte!$A$1628</f>
        <v>Winter/</v>
      </c>
      <c r="O119" s="1132" t="str">
        <f>Texte!$A$1630</f>
        <v>Mist-</v>
      </c>
      <c r="P119" s="1132" t="str">
        <f>Texte!$A$1632</f>
        <v>Gülle-</v>
      </c>
      <c r="Q119" s="223" t="str">
        <f>Texte!$A$1634</f>
        <v>Gülleanteil an Nährstoffen</v>
      </c>
      <c r="R119" s="223"/>
      <c r="S119" s="223"/>
      <c r="T119" s="1133"/>
      <c r="U119" s="1131" t="str">
        <f>Texte!$A$1637</f>
        <v>wemm-</v>
      </c>
      <c r="V119" s="1130" t="str">
        <f>Texte!$A$1641</f>
        <v>weine</v>
      </c>
      <c r="W119" s="1130" t="str">
        <f>Texte!$A$1644</f>
        <v>total</v>
      </c>
      <c r="X119" s="1132" t="str">
        <f>Texte!$A$1682</f>
        <v>pro</v>
      </c>
      <c r="Y119" s="1130" t="str">
        <f>Texte!$A$1686</f>
        <v>total</v>
      </c>
      <c r="Z119" s="223" t="str">
        <f>Texte!$A$1688</f>
        <v>Gehalte in kg je t Mist</v>
      </c>
      <c r="AA119" s="223"/>
      <c r="AB119" s="223"/>
      <c r="AC119" s="223"/>
      <c r="AD119" s="223"/>
      <c r="AE119" s="1133"/>
      <c r="AF119" s="223" t="str">
        <f>Texte!$A$1689</f>
        <v>Nährstoffanfall im Mist</v>
      </c>
      <c r="AG119" s="223"/>
      <c r="AH119" s="223"/>
      <c r="AI119" s="223"/>
      <c r="AJ119" s="223"/>
      <c r="AK119" s="1133"/>
    </row>
    <row r="120" spans="2:37">
      <c r="B120" s="541"/>
      <c r="C120" s="1129" t="str">
        <f>Texte!$A$1595</f>
        <v>Plätze</v>
      </c>
      <c r="D120" s="1129" t="str">
        <f>Texte!$A$1597</f>
        <v>/ Abzug</v>
      </c>
      <c r="E120" s="1130" t="str">
        <f>Texte!$A$1599</f>
        <v>abzug</v>
      </c>
      <c r="F120" s="1130" t="str">
        <f>Texte!$A$1601</f>
        <v>abzug</v>
      </c>
      <c r="G120" s="1130" t="str">
        <f>Texte!$A$1604</f>
        <v>Plätze</v>
      </c>
      <c r="H120" s="1130"/>
      <c r="I120" s="1130" t="str">
        <f>Texte!$A$1613</f>
        <v>Index</v>
      </c>
      <c r="J120" s="1132" t="str">
        <f>Texte!$A$1616</f>
        <v>Tier/Platz</v>
      </c>
      <c r="K120" s="1132" t="str">
        <f>Texte!$A$1620</f>
        <v>Tier/Platz</v>
      </c>
      <c r="L120" s="1132" t="str">
        <f>Texte!$A$1624</f>
        <v>Tier/Platz</v>
      </c>
      <c r="M120" s="1132" t="str">
        <f>Texte!$A$1629</f>
        <v>GVE/MSP/LHP</v>
      </c>
      <c r="N120" s="1132" t="str">
        <f>Texte!$A$1629</f>
        <v>GVE/MSP/LHP</v>
      </c>
      <c r="O120" s="1132" t="str">
        <f>Texte!$A$1631</f>
        <v>Typ</v>
      </c>
      <c r="P120" s="1132" t="str">
        <f>Texte!$A$1633</f>
        <v>Typ</v>
      </c>
      <c r="Q120" s="57"/>
      <c r="R120" s="1135"/>
      <c r="S120" s="1135"/>
      <c r="T120" s="548"/>
      <c r="U120" s="1131" t="str">
        <f>Texte!$A$1638</f>
        <v>ent-</v>
      </c>
      <c r="V120" s="1130" t="str">
        <f>Texte!$A$1642</f>
        <v>Gülle</v>
      </c>
      <c r="W120" s="1132" t="str">
        <f>Texte!$A$1645</f>
        <v>GVE/</v>
      </c>
      <c r="X120" s="1132" t="str">
        <f>Texte!$A$1683</f>
        <v>Einheit</v>
      </c>
      <c r="Y120" s="1130" t="str">
        <f>Texte!$A$1687</f>
        <v>in</v>
      </c>
      <c r="Z120" s="57"/>
      <c r="AA120" s="1135" t="str">
        <f>Texte!$A$1655</f>
        <v>(Ack.b.)</v>
      </c>
      <c r="AB120" s="1135" t="str">
        <f>Texte!$A$1657</f>
        <v>(Fu.b.)</v>
      </c>
      <c r="AC120" s="57"/>
      <c r="AD120" s="57"/>
      <c r="AE120" s="548"/>
      <c r="AF120" s="57"/>
      <c r="AG120" s="1135" t="str">
        <f>Texte!$A$1655</f>
        <v>(Ack.b.)</v>
      </c>
      <c r="AH120" s="1135" t="str">
        <f>Texte!$A$1657</f>
        <v>(Fu.b.)</v>
      </c>
      <c r="AI120" s="57"/>
      <c r="AJ120" s="57"/>
      <c r="AK120" s="548"/>
    </row>
    <row r="121" spans="2:37" ht="13.5">
      <c r="B121" s="541"/>
      <c r="C121" s="1129"/>
      <c r="D121" s="1129"/>
      <c r="E121" s="1130"/>
      <c r="F121" s="1130"/>
      <c r="G121" s="1130" t="str">
        <f>Texte!$A$1605</f>
        <v>korr.</v>
      </c>
      <c r="H121" s="1130"/>
      <c r="I121" s="1130"/>
      <c r="J121" s="1132" t="str">
        <f>Texte!$A$1617</f>
        <v>pro Mt.</v>
      </c>
      <c r="K121" s="1132" t="str">
        <f>Texte!$A$1621</f>
        <v>pro Mt.</v>
      </c>
      <c r="L121" s="1132" t="str">
        <f>Texte!$A$1625</f>
        <v>pro Mt.</v>
      </c>
      <c r="M121" s="1132" t="str">
        <f>Texte!$A$1625</f>
        <v>pro Mt.</v>
      </c>
      <c r="N121" s="1132" t="str">
        <f>Texte!$A$1625</f>
        <v>pro Mt.</v>
      </c>
      <c r="O121" s="1132"/>
      <c r="P121" s="1132"/>
      <c r="Q121" s="1136" t="str">
        <f>Texte!$A$1635</f>
        <v>Nges</v>
      </c>
      <c r="R121" s="1136" t="s">
        <v>3461</v>
      </c>
      <c r="S121" s="1136" t="s">
        <v>3462</v>
      </c>
      <c r="T121" s="1138" t="s">
        <v>7031</v>
      </c>
      <c r="U121" s="1131" t="str">
        <f>Texte!$A$1639</f>
        <v>mistung</v>
      </c>
      <c r="V121" s="1130"/>
      <c r="W121" s="1132" t="str">
        <f>Texte!$A$1646</f>
        <v>MSP/LHP</v>
      </c>
      <c r="X121" s="1132" t="str">
        <f>Texte!$A$1684</f>
        <v>pro Mt.</v>
      </c>
      <c r="Y121" s="1130" t="s">
        <v>4111</v>
      </c>
      <c r="Z121" s="1136" t="str">
        <f>Texte!$A$1656</f>
        <v>Nges</v>
      </c>
      <c r="AA121" s="1137" t="str">
        <f>Texte!$A$1658</f>
        <v>Nverf</v>
      </c>
      <c r="AB121" s="1137" t="str">
        <f>Texte!$A$1658</f>
        <v>Nverf</v>
      </c>
      <c r="AC121" s="1136" t="s">
        <v>3461</v>
      </c>
      <c r="AD121" s="1136" t="s">
        <v>3462</v>
      </c>
      <c r="AE121" s="1138" t="s">
        <v>7031</v>
      </c>
      <c r="AF121" s="1139" t="str">
        <f>Texte!$A$1656</f>
        <v>Nges</v>
      </c>
      <c r="AG121" s="1140" t="str">
        <f>Texte!$A$1658</f>
        <v>Nverf</v>
      </c>
      <c r="AH121" s="1140" t="str">
        <f>Texte!$A$1658</f>
        <v>Nverf</v>
      </c>
      <c r="AI121" s="1141" t="s">
        <v>3461</v>
      </c>
      <c r="AJ121" s="1141" t="s">
        <v>3462</v>
      </c>
      <c r="AK121" s="1142" t="s">
        <v>7031</v>
      </c>
    </row>
    <row r="122" spans="2:37" ht="13.5">
      <c r="B122" s="1145" t="str">
        <f>Texte!A1667</f>
        <v>Aufstallungssystem 1</v>
      </c>
      <c r="C122" s="1124"/>
      <c r="D122" s="1146"/>
      <c r="E122" s="1146"/>
      <c r="F122" s="1146"/>
      <c r="G122" s="1125" t="str">
        <f t="array" ref="G122:G129">IF(ISBLANK($C122:$C129),"",$C122:$C129+$D122:$D129-$F122:$F129)</f>
        <v/>
      </c>
      <c r="H122" s="1125"/>
      <c r="I122" s="1125"/>
      <c r="J122" s="1148"/>
      <c r="K122" s="1148"/>
      <c r="L122" s="1148"/>
      <c r="M122" s="1148"/>
      <c r="N122" s="1148"/>
      <c r="O122" s="1124"/>
      <c r="P122" s="1124"/>
      <c r="Q122" s="2368">
        <f t="array" ref="Q122:Q129">IF(((INDEX(TG!Gülle,$O122:$O129,1)*$K122:$K129)+(INDEX(TG!Gülle,$P122:$P129,1)*$L122:$L129))=0,0,(INDEX(TG!Gülle,$P122:$P129,1)*$L122:$L129)/((INDEX(TG!Gülle,$O122:$O129,1)*$K122:$K129)+(INDEX(TG!Gülle,$P122:$P129,1)*$L122:$L129)))</f>
        <v>0</v>
      </c>
      <c r="R122" s="2368">
        <f t="array" ref="R122:R129">IF(((INDEX(TG!Gülle,$O122:$O129,4)*$K122:$K129)+(INDEX(TG!Gülle,$P122:$P129,4)*$L122:$L129))=0,0,(INDEX(TG!Gülle,$P122:$P129,4)*$L122:$L129)/((INDEX(TG!Gülle,$O122:$O129,4)*$K122:$K129)+(INDEX(TG!Gülle,$P122:$P129,4)*$L122:$L129)))</f>
        <v>0</v>
      </c>
      <c r="S122" s="2368">
        <f t="array" ref="S122:S129">IF(((INDEX(TG!Gülle,$O122:$O129,5)*$K122:$K129)+(INDEX(TG!Gülle,$P122:$P129,5)*$L122:$L129))=0,0,(INDEX(TG!Gülle,$P122:$P129,5)*$L122:$L129)/((INDEX(TG!Gülle,$O122:$O129,5)*$K122:$K129)+(INDEX(TG!Gülle,$P122:$P129,5)*$L122:$L129)))</f>
        <v>0</v>
      </c>
      <c r="T122" s="2368">
        <f t="array" ref="T122:T129">IF(((INDEX(TG!Gülle,$O122:$O129,6)*$K122:$K129)+(INDEX(TG!Gülle,$P122:$P129,6)*$L122:$L129))=0,0,(INDEX(TG!Gülle,$P122:$P129,6)*$L122:$L129)/((INDEX(TG!Gülle,$O122:$O129,6)*$K122:$K129)+(INDEX(TG!Gülle,$P122:$P129,6)*$L122:$L129)))</f>
        <v>0</v>
      </c>
      <c r="U122" s="1126"/>
      <c r="V122" s="1147"/>
      <c r="W122" s="1125" t="str">
        <f t="array" ref="W122:W129">IF(ISBLANK($C122:$C129),"",($G122:$G129+$F122:$F129)*($H122:$H129))</f>
        <v/>
      </c>
      <c r="X122" s="1148" t="str">
        <f t="array" ref="X122:X129">IF(ISBLANK($C122:$C129),"",($K122:$K129))</f>
        <v/>
      </c>
      <c r="Y122" s="1125" t="str">
        <f t="array" ref="Y122:Y129">IF(ISBLANK($C122:$C129),"",$G122:$G129*$X122:$X129*HDA!$C$6)</f>
        <v/>
      </c>
      <c r="Z122" s="1149" t="str">
        <f t="array" ref="Z122:Z129">IF(ISBLANK($C122:$C129),"",AF122:AF129/$Y122:$Y129)</f>
        <v/>
      </c>
      <c r="AA122" s="1149" t="str">
        <f t="array" ref="AA122:AA129">IF(ISBLANK($C122:$C129),"",AG122:AG129/$Y122:$Y129)</f>
        <v/>
      </c>
      <c r="AB122" s="1149" t="str">
        <f t="array" ref="AB122:AB129">IF(ISBLANK($C122:$C129),"",AH122:AH129/$Y122:$Y129)</f>
        <v/>
      </c>
      <c r="AC122" s="1149" t="str">
        <f t="array" ref="AC122:AC129">IF(ISBLANK($C122:$C129),"",AI122:AI129/$Y122:$Y129)</f>
        <v/>
      </c>
      <c r="AD122" s="1149" t="str">
        <f t="array" ref="AD122:AD129">IF(ISBLANK($C122:$C129),"",AJ122:AJ129/$Y122:$Y129)</f>
        <v/>
      </c>
      <c r="AE122" s="564" t="str">
        <f t="array" ref="AE122:AE129">IF(ISBLANK($C122:$C129),"",AK122:AK129/$Y122:$Y129)</f>
        <v/>
      </c>
      <c r="AF122" s="1149" t="str">
        <f t="array" ref="AF122:AF129">IF(ISBLANK($C122:$C129),"",IF(IF($V122:$V129,IF(OR($W$8&lt;&gt;0,$W$9&lt;&gt;0),IF($AH$8=2,FALSE,TRUE),TRUE),TRUE),VLOOKUP($I122:$I129,D_Tierb!$A$8:$U$80,18,FALSE)*(1-$Q122:$Q129)*$G122:$G129,IF($W$8&lt;&gt;0,$W$8/D_Tierb!$BI$72*VLOOKUP($I122:$I129,D_Tierb!$A$8:$BJ$80,18,FALSE)*$G122:$G129*(1-$Q122:$Q129),$W$9/D_Tierb!$BI$62*VLOOKUP($I122:$I129,D_Tierb!$A$8:$BJ$80,18,FALSE)*$G122:$G129*(1-$Q122:$Q129))))</f>
        <v/>
      </c>
      <c r="AG122" s="1149" t="str">
        <f t="array" ref="AG122:AG129">IF(ISBLANK($C122:$C129),"",$AF122:$AF129*INDEX(TG!Verfügbar,$O122:$O129,1)/100)</f>
        <v/>
      </c>
      <c r="AH122" s="1149" t="str">
        <f t="array" ref="AH122:AH129">IF(ISBLANK($C122:$C129),"",$AF122:$AF129*INDEX(TG!Verfügbar,$O122:$O129,2)/100)</f>
        <v/>
      </c>
      <c r="AI122" s="1149" t="str">
        <f t="array" ref="AI122:AI129">IF(ISBLANK($C122:$C129),"",IF(IF($V122:$V129,IF(OR($Z$8&lt;&gt;0,$Z$9&lt;&gt;0),IF($AH$8=2,FALSE,TRUE),TRUE),TRUE),(VLOOKUP($I122:$I129,D_Tierb!$A$8:$U$80,19,FALSE)*(1-$R122:$R129)+J122:J129*HDA!$C$6*'SB2'!$O$88)*$G122:$G129,IF($Z$8&lt;&gt;0,$Z$8/D_Tierb!$BJ$72*VLOOKUP($I122:$I129,D_Tierb!$A$8:$BJ$80,19,FALSE)*$G122:$G129*(1-$R122:$R129)+J122:J129*HDA!$C$6*'SB2'!$O$88*$G122:$G129,$Z$9/D_Tierb!$BJ$62*VLOOKUP($I122:$I129,D_Tierb!$A$8:$BJ$80,19,FALSE)*$G122:$G129*(1-$R122:$R129)+J122:J129*HDA!$C$6*'SB2'!$O$88*$G122:$G129)))</f>
        <v/>
      </c>
      <c r="AJ122" s="1149" t="str">
        <f t="array" ref="AJ122:AJ129">IF(ISBLANK($C122:$C129),"",(VLOOKUP($I122:$I129,D_Tierb!$A$8:$U$80,20,FALSE)*(1-$S122:$S129)+J122:J129*HDA!$C$6*'SB2'!$P$88)*$G122:$G129)</f>
        <v/>
      </c>
      <c r="AK122" s="1176" t="str">
        <f t="array" ref="AK122:AK129">IF(ISBLANK($C122:$C129),"",(VLOOKUP($I122:$I129,D_Tierb!$A$8:$U$80,21,FALSE)*(1-$T122:$T129)+J122:J129*HDA!$C$6*'SB2'!$Q$88)*$G122:$G129)</f>
        <v/>
      </c>
    </row>
    <row r="123" spans="2:37" ht="13.5">
      <c r="B123" s="1152"/>
      <c r="C123" s="1153"/>
      <c r="D123" s="1154"/>
      <c r="E123" s="1154"/>
      <c r="F123" s="1154"/>
      <c r="G123" s="1154" t="str">
        <v/>
      </c>
      <c r="H123" s="1155"/>
      <c r="I123" s="1156"/>
      <c r="J123" s="1159"/>
      <c r="K123" s="1159"/>
      <c r="L123" s="1159"/>
      <c r="M123" s="1159"/>
      <c r="N123" s="1159"/>
      <c r="O123" s="1153"/>
      <c r="P123" s="1153"/>
      <c r="Q123" s="2369">
        <v>0</v>
      </c>
      <c r="R123" s="2369">
        <v>0</v>
      </c>
      <c r="S123" s="2369">
        <v>0</v>
      </c>
      <c r="T123" s="2369">
        <v>0</v>
      </c>
      <c r="U123" s="1157"/>
      <c r="V123" s="1158"/>
      <c r="W123" s="1154" t="str">
        <v/>
      </c>
      <c r="X123" s="1159" t="str">
        <v/>
      </c>
      <c r="Y123" s="1153" t="str">
        <v/>
      </c>
      <c r="Z123" s="1160" t="str">
        <v/>
      </c>
      <c r="AA123" s="1160" t="str">
        <v/>
      </c>
      <c r="AB123" s="1160" t="str">
        <v/>
      </c>
      <c r="AC123" s="1160" t="str">
        <v/>
      </c>
      <c r="AD123" s="1160" t="str">
        <v/>
      </c>
      <c r="AE123" s="1154" t="str">
        <v/>
      </c>
      <c r="AF123" s="1161" t="str">
        <v/>
      </c>
      <c r="AG123" s="1161" t="str">
        <v/>
      </c>
      <c r="AH123" s="1161" t="str">
        <v/>
      </c>
      <c r="AI123" s="1161" t="str">
        <v/>
      </c>
      <c r="AJ123" s="1161" t="str">
        <v/>
      </c>
      <c r="AK123" s="1177" t="str">
        <v/>
      </c>
    </row>
    <row r="124" spans="2:37" ht="13.5">
      <c r="B124" s="1152"/>
      <c r="C124" s="1153"/>
      <c r="D124" s="1154"/>
      <c r="E124" s="1154"/>
      <c r="F124" s="1154"/>
      <c r="G124" s="1154" t="str">
        <v/>
      </c>
      <c r="H124" s="1155"/>
      <c r="I124" s="1156"/>
      <c r="J124" s="1159"/>
      <c r="K124" s="1159"/>
      <c r="L124" s="1159"/>
      <c r="M124" s="1159"/>
      <c r="N124" s="1159"/>
      <c r="O124" s="1153"/>
      <c r="P124" s="1153"/>
      <c r="Q124" s="2369">
        <v>0</v>
      </c>
      <c r="R124" s="2369">
        <v>0</v>
      </c>
      <c r="S124" s="2369">
        <v>0</v>
      </c>
      <c r="T124" s="2369">
        <v>0</v>
      </c>
      <c r="U124" s="1157"/>
      <c r="V124" s="1158"/>
      <c r="W124" s="1154" t="str">
        <v/>
      </c>
      <c r="X124" s="1159" t="str">
        <v/>
      </c>
      <c r="Y124" s="1153" t="str">
        <v/>
      </c>
      <c r="Z124" s="1160" t="str">
        <v/>
      </c>
      <c r="AA124" s="1160" t="str">
        <v/>
      </c>
      <c r="AB124" s="1160" t="str">
        <v/>
      </c>
      <c r="AC124" s="1160" t="str">
        <v/>
      </c>
      <c r="AD124" s="1160" t="str">
        <v/>
      </c>
      <c r="AE124" s="1154" t="str">
        <v/>
      </c>
      <c r="AF124" s="1161" t="str">
        <v/>
      </c>
      <c r="AG124" s="1161" t="str">
        <v/>
      </c>
      <c r="AH124" s="1161" t="str">
        <v/>
      </c>
      <c r="AI124" s="1161" t="str">
        <v/>
      </c>
      <c r="AJ124" s="1161" t="str">
        <v/>
      </c>
      <c r="AK124" s="1177" t="str">
        <v/>
      </c>
    </row>
    <row r="125" spans="2:37" ht="13.5">
      <c r="B125" s="1152"/>
      <c r="C125" s="1153"/>
      <c r="D125" s="1154"/>
      <c r="E125" s="1154"/>
      <c r="F125" s="1154"/>
      <c r="G125" s="1154" t="str">
        <v/>
      </c>
      <c r="H125" s="1155"/>
      <c r="I125" s="1156"/>
      <c r="J125" s="1159"/>
      <c r="K125" s="1159"/>
      <c r="L125" s="1159"/>
      <c r="M125" s="1159"/>
      <c r="N125" s="1159"/>
      <c r="O125" s="1153"/>
      <c r="P125" s="1153"/>
      <c r="Q125" s="2369">
        <v>0</v>
      </c>
      <c r="R125" s="2369">
        <v>0</v>
      </c>
      <c r="S125" s="2369">
        <v>0</v>
      </c>
      <c r="T125" s="2369">
        <v>0</v>
      </c>
      <c r="U125" s="1157"/>
      <c r="V125" s="1158"/>
      <c r="W125" s="1154" t="str">
        <v/>
      </c>
      <c r="X125" s="1159" t="str">
        <v/>
      </c>
      <c r="Y125" s="1153" t="str">
        <v/>
      </c>
      <c r="Z125" s="1160" t="str">
        <v/>
      </c>
      <c r="AA125" s="1160" t="str">
        <v/>
      </c>
      <c r="AB125" s="1160" t="str">
        <v/>
      </c>
      <c r="AC125" s="1160" t="str">
        <v/>
      </c>
      <c r="AD125" s="1160" t="str">
        <v/>
      </c>
      <c r="AE125" s="1154" t="str">
        <v/>
      </c>
      <c r="AF125" s="1161" t="str">
        <v/>
      </c>
      <c r="AG125" s="1161" t="str">
        <v/>
      </c>
      <c r="AH125" s="1161" t="str">
        <v/>
      </c>
      <c r="AI125" s="1161" t="str">
        <v/>
      </c>
      <c r="AJ125" s="1161" t="str">
        <v/>
      </c>
      <c r="AK125" s="1177" t="str">
        <v/>
      </c>
    </row>
    <row r="126" spans="2:37" ht="13.5">
      <c r="B126" s="1163" t="str">
        <f>Texte!A1668</f>
        <v>Aufstallungssystem 2</v>
      </c>
      <c r="C126" s="1153"/>
      <c r="D126" s="1154"/>
      <c r="E126" s="1154"/>
      <c r="F126" s="1154"/>
      <c r="G126" s="1154" t="str">
        <v/>
      </c>
      <c r="H126" s="1155"/>
      <c r="I126" s="1156"/>
      <c r="J126" s="1159"/>
      <c r="K126" s="1159"/>
      <c r="L126" s="1159"/>
      <c r="M126" s="1159"/>
      <c r="N126" s="1159"/>
      <c r="O126" s="1153"/>
      <c r="P126" s="1153"/>
      <c r="Q126" s="2369">
        <v>0</v>
      </c>
      <c r="R126" s="2369">
        <v>0</v>
      </c>
      <c r="S126" s="2369">
        <v>0</v>
      </c>
      <c r="T126" s="2369">
        <v>0</v>
      </c>
      <c r="U126" s="1157"/>
      <c r="V126" s="1158"/>
      <c r="W126" s="1154" t="str">
        <v/>
      </c>
      <c r="X126" s="1159" t="str">
        <v/>
      </c>
      <c r="Y126" s="1153" t="str">
        <v/>
      </c>
      <c r="Z126" s="1160" t="str">
        <v/>
      </c>
      <c r="AA126" s="1160" t="str">
        <v/>
      </c>
      <c r="AB126" s="1160" t="str">
        <v/>
      </c>
      <c r="AC126" s="1160" t="str">
        <v/>
      </c>
      <c r="AD126" s="1160" t="str">
        <v/>
      </c>
      <c r="AE126" s="1154" t="str">
        <v/>
      </c>
      <c r="AF126" s="1161" t="str">
        <v/>
      </c>
      <c r="AG126" s="1161" t="str">
        <v/>
      </c>
      <c r="AH126" s="1161" t="str">
        <v/>
      </c>
      <c r="AI126" s="1161" t="str">
        <v/>
      </c>
      <c r="AJ126" s="1161" t="str">
        <v/>
      </c>
      <c r="AK126" s="1177" t="str">
        <v/>
      </c>
    </row>
    <row r="127" spans="2:37" ht="13.5">
      <c r="B127" s="1152"/>
      <c r="C127" s="1153"/>
      <c r="D127" s="1154"/>
      <c r="E127" s="1154"/>
      <c r="F127" s="1154"/>
      <c r="G127" s="1154" t="str">
        <v/>
      </c>
      <c r="H127" s="1155"/>
      <c r="I127" s="1156"/>
      <c r="J127" s="1159"/>
      <c r="K127" s="1159"/>
      <c r="L127" s="1159"/>
      <c r="M127" s="1159"/>
      <c r="N127" s="1159"/>
      <c r="O127" s="1153"/>
      <c r="P127" s="1153"/>
      <c r="Q127" s="2369">
        <v>0</v>
      </c>
      <c r="R127" s="2369">
        <v>0</v>
      </c>
      <c r="S127" s="2369">
        <v>0</v>
      </c>
      <c r="T127" s="2369">
        <v>0</v>
      </c>
      <c r="U127" s="1157"/>
      <c r="V127" s="1158"/>
      <c r="W127" s="1154" t="str">
        <v/>
      </c>
      <c r="X127" s="1159" t="str">
        <v/>
      </c>
      <c r="Y127" s="1153" t="str">
        <v/>
      </c>
      <c r="Z127" s="1160" t="str">
        <v/>
      </c>
      <c r="AA127" s="1160" t="str">
        <v/>
      </c>
      <c r="AB127" s="1160" t="str">
        <v/>
      </c>
      <c r="AC127" s="1160" t="str">
        <v/>
      </c>
      <c r="AD127" s="1160" t="str">
        <v/>
      </c>
      <c r="AE127" s="1154" t="str">
        <v/>
      </c>
      <c r="AF127" s="1161" t="str">
        <v/>
      </c>
      <c r="AG127" s="1161" t="str">
        <v/>
      </c>
      <c r="AH127" s="1161" t="str">
        <v/>
      </c>
      <c r="AI127" s="1161" t="str">
        <v/>
      </c>
      <c r="AJ127" s="1161" t="str">
        <v/>
      </c>
      <c r="AK127" s="1177" t="str">
        <v/>
      </c>
    </row>
    <row r="128" spans="2:37" ht="13.5">
      <c r="B128" s="1152"/>
      <c r="C128" s="1153"/>
      <c r="D128" s="1154"/>
      <c r="E128" s="1154"/>
      <c r="F128" s="1154"/>
      <c r="G128" s="1154" t="str">
        <v/>
      </c>
      <c r="H128" s="1155"/>
      <c r="I128" s="1156"/>
      <c r="J128" s="1159"/>
      <c r="K128" s="1159"/>
      <c r="L128" s="1159"/>
      <c r="M128" s="1159"/>
      <c r="N128" s="1159"/>
      <c r="O128" s="1153"/>
      <c r="P128" s="1153"/>
      <c r="Q128" s="2369">
        <v>0</v>
      </c>
      <c r="R128" s="2369">
        <v>0</v>
      </c>
      <c r="S128" s="2369">
        <v>0</v>
      </c>
      <c r="T128" s="2369">
        <v>0</v>
      </c>
      <c r="U128" s="1157"/>
      <c r="V128" s="1158"/>
      <c r="W128" s="1154" t="str">
        <v/>
      </c>
      <c r="X128" s="1159" t="str">
        <v/>
      </c>
      <c r="Y128" s="1153" t="str">
        <v/>
      </c>
      <c r="Z128" s="1160" t="str">
        <v/>
      </c>
      <c r="AA128" s="1160" t="str">
        <v/>
      </c>
      <c r="AB128" s="1160" t="str">
        <v/>
      </c>
      <c r="AC128" s="1160" t="str">
        <v/>
      </c>
      <c r="AD128" s="1160" t="str">
        <v/>
      </c>
      <c r="AE128" s="1154" t="str">
        <v/>
      </c>
      <c r="AF128" s="1161" t="str">
        <v/>
      </c>
      <c r="AG128" s="1161" t="str">
        <v/>
      </c>
      <c r="AH128" s="1161" t="str">
        <v/>
      </c>
      <c r="AI128" s="1161" t="str">
        <v/>
      </c>
      <c r="AJ128" s="1161" t="str">
        <v/>
      </c>
      <c r="AK128" s="1177" t="str">
        <v/>
      </c>
    </row>
    <row r="129" spans="2:37" ht="13.5">
      <c r="B129" s="1152"/>
      <c r="C129" s="1153"/>
      <c r="D129" s="1154"/>
      <c r="E129" s="1154"/>
      <c r="F129" s="1154"/>
      <c r="G129" s="1154" t="str">
        <v/>
      </c>
      <c r="H129" s="1155"/>
      <c r="I129" s="1156"/>
      <c r="J129" s="1159"/>
      <c r="K129" s="1159"/>
      <c r="L129" s="1159"/>
      <c r="M129" s="1159"/>
      <c r="N129" s="1159"/>
      <c r="O129" s="1153"/>
      <c r="P129" s="1153"/>
      <c r="Q129" s="2369">
        <v>0</v>
      </c>
      <c r="R129" s="2369">
        <v>0</v>
      </c>
      <c r="S129" s="2369">
        <v>0</v>
      </c>
      <c r="T129" s="2369">
        <v>0</v>
      </c>
      <c r="U129" s="1157"/>
      <c r="V129" s="1158"/>
      <c r="W129" s="1154" t="str">
        <v/>
      </c>
      <c r="X129" s="1159" t="str">
        <v/>
      </c>
      <c r="Y129" s="1153" t="str">
        <v/>
      </c>
      <c r="Z129" s="1160" t="str">
        <v/>
      </c>
      <c r="AA129" s="1160" t="str">
        <v/>
      </c>
      <c r="AB129" s="1160" t="str">
        <v/>
      </c>
      <c r="AC129" s="1160" t="str">
        <v/>
      </c>
      <c r="AD129" s="1160" t="str">
        <v/>
      </c>
      <c r="AE129" s="1154" t="str">
        <v/>
      </c>
      <c r="AF129" s="1161" t="str">
        <v/>
      </c>
      <c r="AG129" s="1161" t="str">
        <v/>
      </c>
      <c r="AH129" s="1161" t="str">
        <v/>
      </c>
      <c r="AI129" s="1161" t="str">
        <v/>
      </c>
      <c r="AJ129" s="1161" t="str">
        <v/>
      </c>
      <c r="AK129" s="1178" t="str">
        <v/>
      </c>
    </row>
    <row r="130" spans="2:37">
      <c r="B130" s="191"/>
      <c r="C130" s="1164"/>
      <c r="D130" s="1164"/>
      <c r="E130" s="544"/>
      <c r="F130" s="544"/>
      <c r="G130" s="544"/>
      <c r="H130" s="544"/>
      <c r="I130" s="544"/>
      <c r="J130" s="1165"/>
      <c r="K130" s="1165"/>
      <c r="L130" s="1165"/>
      <c r="M130" s="1165"/>
      <c r="N130" s="1165"/>
      <c r="O130" s="1165"/>
      <c r="P130" s="1165"/>
      <c r="Q130" s="1165"/>
      <c r="R130" s="1165"/>
      <c r="S130" s="1165"/>
      <c r="T130" s="1165"/>
      <c r="U130" s="1165"/>
      <c r="V130" s="544"/>
      <c r="W130" s="544"/>
      <c r="X130" s="544"/>
      <c r="Y130" s="544"/>
      <c r="Z130" s="191"/>
      <c r="AA130" s="191"/>
      <c r="AB130" s="191"/>
      <c r="AC130" s="191"/>
      <c r="AD130" s="191"/>
      <c r="AE130" s="1166" t="str">
        <f>Texte!$A$1669</f>
        <v>Nährstoffmenge total in kg</v>
      </c>
      <c r="AF130" s="1167" t="str">
        <f t="shared" ref="AF130:AK130" si="10">IF(COUNT(AF123:AF129)=0,"",SUM(AF123:AF129))</f>
        <v/>
      </c>
      <c r="AG130" s="1167" t="str">
        <f t="shared" si="10"/>
        <v/>
      </c>
      <c r="AH130" s="1167" t="str">
        <f t="shared" si="10"/>
        <v/>
      </c>
      <c r="AI130" s="1167" t="str">
        <f t="shared" si="10"/>
        <v/>
      </c>
      <c r="AJ130" s="1167" t="str">
        <f t="shared" si="10"/>
        <v/>
      </c>
      <c r="AK130" s="1167" t="str">
        <f t="shared" si="10"/>
        <v/>
      </c>
    </row>
    <row r="131" spans="2:37" ht="14.25" customHeight="1">
      <c r="B131" s="57"/>
      <c r="C131" s="183"/>
      <c r="D131" s="183"/>
      <c r="E131" s="125"/>
      <c r="F131" s="125"/>
      <c r="G131" s="125"/>
      <c r="H131" s="125"/>
      <c r="I131" s="125"/>
      <c r="J131" s="1122"/>
      <c r="K131" s="1122"/>
      <c r="L131" s="1122"/>
      <c r="M131" s="1122"/>
      <c r="N131" s="1122"/>
      <c r="O131" s="1122"/>
      <c r="P131" s="1122"/>
      <c r="Q131" s="1122"/>
      <c r="R131" s="1122"/>
      <c r="S131" s="1122"/>
      <c r="T131" s="1122"/>
      <c r="U131" s="1122"/>
      <c r="V131" s="125"/>
      <c r="W131" s="125"/>
      <c r="X131" s="199" t="str">
        <f>Texte!$A$1690</f>
        <v>Mistmenge total in t</v>
      </c>
      <c r="Y131" s="1168" t="str">
        <f>IF(COUNT(Y123:Y129)=0,"",SUM(Y123:Y129))</f>
        <v/>
      </c>
      <c r="Z131" s="57"/>
      <c r="AA131" s="57"/>
      <c r="AB131" s="57"/>
      <c r="AC131" s="57"/>
      <c r="AD131" s="57"/>
      <c r="AE131" s="57"/>
      <c r="AF131" s="57"/>
      <c r="AG131" s="57"/>
      <c r="AH131" s="57"/>
      <c r="AI131" s="57"/>
      <c r="AJ131" s="57"/>
      <c r="AK131" s="57"/>
    </row>
    <row r="132" spans="2:37" ht="14.25" customHeight="1">
      <c r="B132" s="57"/>
      <c r="C132" s="183"/>
      <c r="D132" s="183"/>
      <c r="E132" s="125"/>
      <c r="F132" s="125"/>
      <c r="G132" s="125"/>
      <c r="H132" s="125"/>
      <c r="I132" s="125"/>
      <c r="J132" s="1122"/>
      <c r="K132" s="1122"/>
      <c r="L132" s="1122"/>
      <c r="M132" s="1122"/>
      <c r="N132" s="1122"/>
      <c r="O132" s="1122"/>
      <c r="P132" s="1122"/>
      <c r="Q132" s="1122"/>
      <c r="R132" s="1122"/>
      <c r="S132" s="1122"/>
      <c r="T132" s="1122"/>
      <c r="U132" s="1122"/>
      <c r="V132" s="125"/>
      <c r="W132" s="125"/>
      <c r="X132" s="199" t="str">
        <f>Texte!$A$1691</f>
        <v>Zufuhr von Futterresten in t</v>
      </c>
      <c r="Y132" s="1174"/>
      <c r="Z132" s="57"/>
      <c r="AA132" s="57"/>
      <c r="AB132" s="57"/>
      <c r="AC132" s="57"/>
      <c r="AD132" s="57"/>
      <c r="AE132" s="57"/>
      <c r="AF132" s="223" t="str">
        <f>Texte!$A$1694</f>
        <v>Gehalt des gemischten Mistes</v>
      </c>
      <c r="AG132" s="223"/>
      <c r="AH132" s="223"/>
      <c r="AI132" s="223"/>
      <c r="AJ132" s="223"/>
      <c r="AK132" s="223"/>
    </row>
    <row r="133" spans="2:37" ht="14.25" customHeight="1" thickBot="1">
      <c r="B133" s="57"/>
      <c r="C133" s="183"/>
      <c r="D133" s="183"/>
      <c r="E133" s="125"/>
      <c r="F133" s="125"/>
      <c r="G133" s="125"/>
      <c r="H133" s="125"/>
      <c r="I133" s="125"/>
      <c r="J133" s="1122"/>
      <c r="K133" s="1122"/>
      <c r="L133" s="1122"/>
      <c r="M133" s="1122"/>
      <c r="N133" s="1122"/>
      <c r="O133" s="1122"/>
      <c r="P133" s="1122"/>
      <c r="Q133" s="1122"/>
      <c r="R133" s="1122"/>
      <c r="S133" s="1122"/>
      <c r="T133" s="1122"/>
      <c r="U133" s="1122"/>
      <c r="V133" s="125"/>
      <c r="W133" s="125"/>
      <c r="X133" s="199" t="str">
        <f>Texte!$A$1692</f>
        <v>Freie Korrektur</v>
      </c>
      <c r="Y133" s="1170"/>
      <c r="Z133" s="57"/>
      <c r="AA133" s="57"/>
      <c r="AB133" s="57"/>
      <c r="AC133" s="57"/>
      <c r="AD133" s="57"/>
      <c r="AE133" s="57"/>
      <c r="AF133" s="223" t="str">
        <f>Texte!$A$1695</f>
        <v>in kg je t</v>
      </c>
      <c r="AG133" s="223"/>
      <c r="AH133" s="223"/>
      <c r="AI133" s="223"/>
      <c r="AJ133" s="223"/>
      <c r="AK133" s="223"/>
    </row>
    <row r="134" spans="2:37" ht="14.25" customHeight="1" thickBot="1">
      <c r="B134" s="57"/>
      <c r="C134" s="183"/>
      <c r="D134" s="183"/>
      <c r="E134" s="125"/>
      <c r="F134" s="125"/>
      <c r="G134" s="125"/>
      <c r="H134" s="125"/>
      <c r="I134" s="125"/>
      <c r="J134" s="1122"/>
      <c r="K134" s="1122"/>
      <c r="L134" s="1122"/>
      <c r="M134" s="1122"/>
      <c r="N134" s="1122"/>
      <c r="O134" s="1122"/>
      <c r="P134" s="1122"/>
      <c r="Q134" s="1122"/>
      <c r="R134" s="1122"/>
      <c r="S134" s="1122"/>
      <c r="T134" s="1122"/>
      <c r="U134" s="1122"/>
      <c r="V134" s="125"/>
      <c r="W134" s="125"/>
      <c r="X134" s="199" t="str">
        <f>Texte!$A$1693</f>
        <v>Mistmenge total inkl. Futterresten in t</v>
      </c>
      <c r="Y134" s="335" t="str">
        <f>IF(COUNT(Y131:Y133)=0,"",SUM(Y131:Y133))</f>
        <v/>
      </c>
      <c r="Z134" s="57"/>
      <c r="AA134" s="57"/>
      <c r="AB134" s="57"/>
      <c r="AC134" s="57"/>
      <c r="AD134" s="57"/>
      <c r="AE134" s="1175"/>
      <c r="AF134" s="1172" t="str">
        <f t="shared" ref="AF134:AK134" si="11">IF(OR(AF130="",SUM($Y134)=0),"",ROUND(AF130/$Y134,1))</f>
        <v/>
      </c>
      <c r="AG134" s="1172" t="str">
        <f t="shared" si="11"/>
        <v/>
      </c>
      <c r="AH134" s="1172" t="str">
        <f t="shared" si="11"/>
        <v/>
      </c>
      <c r="AI134" s="1172" t="str">
        <f t="shared" si="11"/>
        <v/>
      </c>
      <c r="AJ134" s="1172" t="str">
        <f t="shared" si="11"/>
        <v/>
      </c>
      <c r="AK134" s="1172" t="str">
        <f t="shared" si="11"/>
        <v/>
      </c>
    </row>
  </sheetData>
  <sheetProtection algorithmName="SHA-512" hashValue="sQC52AmcBGgqYvhwyl6ZuxG6ZkgO3jHy7nq4+qfbr3+go2ZkFAXoepxJHxY3YEKEc8MD8P4kuKdFMULK80kqVw==" saltValue="nKTp03v5H83a8WxrPd3OAA==" spinCount="100000" sheet="1" objects="1" scenarios="1"/>
  <mergeCells count="2">
    <mergeCell ref="AR4:AT4"/>
    <mergeCell ref="AQ16:AR16"/>
  </mergeCells>
  <phoneticPr fontId="0" type="noConversion"/>
  <pageMargins left="0.39370078740157483" right="0.39370078740157483" top="0.59055118110236227" bottom="0.35433070866141736" header="0" footer="0.19685039370078741"/>
  <pageSetup paperSize="9" scale="78" fitToHeight="4" orientation="landscape" r:id="rId1"/>
  <headerFooter alignWithMargins="0">
    <oddFooter>&amp;C&amp;9&amp;F&amp;R&amp;"Arial,Standard"&amp;9Seite &amp;P&amp;L&amp;"Arial,Fett"&amp;11AGRIDEA &amp;"Arial,Standard"&amp;9 Nachweis Version 9.9</oddFooter>
  </headerFooter>
  <rowBreaks count="2" manualBreakCount="2">
    <brk id="44" min="1" max="37" man="1"/>
    <brk id="90" min="1" max="37" man="1"/>
  </rowBreaks>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 Ausfüllen">
              <controlPr defaultSize="0" print="0" autoFill="0" autoLine="0" autoPict="0" macro="[0]!D_FormularC_ausfüllen">
                <anchor moveWithCells="1">
                  <from>
                    <xdr:col>1</xdr:col>
                    <xdr:colOff>0</xdr:colOff>
                    <xdr:row>1</xdr:row>
                    <xdr:rowOff>38100</xdr:rowOff>
                  </from>
                  <to>
                    <xdr:col>34</xdr:col>
                    <xdr:colOff>95250</xdr:colOff>
                    <xdr:row>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6">
    <tabColor indexed="27"/>
    <pageSetUpPr fitToPage="1"/>
  </sheetPr>
  <dimension ref="A1:T194"/>
  <sheetViews>
    <sheetView showGridLines="0" showRowColHeaders="0" showZeros="0" workbookViewId="0">
      <selection activeCell="M18" sqref="M18"/>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28515625" style="872" customWidth="1"/>
    <col min="2" max="2" width="1.7109375" style="872" customWidth="1"/>
    <col min="3" max="3" width="11.140625" style="872" customWidth="1"/>
    <col min="4" max="4" width="7.85546875" style="872" customWidth="1"/>
    <col min="5" max="5" width="9.42578125" style="872" customWidth="1"/>
    <col min="6" max="6" width="8.28515625" style="872" customWidth="1"/>
    <col min="7" max="7" width="9" style="872" customWidth="1"/>
    <col min="8" max="8" width="17.85546875" style="872" customWidth="1"/>
    <col min="9" max="9" width="10.85546875" style="872" customWidth="1"/>
    <col min="10" max="10" width="2.5703125" style="872" customWidth="1"/>
    <col min="11" max="11" width="11.140625" style="872" customWidth="1"/>
    <col min="12" max="12" width="3.85546875" style="872" customWidth="1"/>
    <col min="13" max="13" width="13.5703125" style="872" customWidth="1"/>
    <col min="14" max="14" width="3.42578125" style="872" customWidth="1"/>
    <col min="15" max="15" width="12.7109375" style="872" customWidth="1"/>
    <col min="16" max="17" width="0.85546875" style="872" customWidth="1"/>
    <col min="18" max="18" width="11.42578125" style="872" hidden="1" customWidth="1"/>
    <col min="19" max="16384" width="11.42578125" style="872"/>
  </cols>
  <sheetData>
    <row r="1" spans="2:20" ht="42" customHeight="1">
      <c r="B1" s="685" t="str">
        <f>Q!NW_Tit</f>
        <v xml:space="preserve">                                   Nachweis</v>
      </c>
      <c r="C1" s="874"/>
      <c r="D1" s="874"/>
      <c r="E1" s="874"/>
      <c r="F1" s="1315"/>
      <c r="G1" s="874"/>
      <c r="H1" s="874"/>
      <c r="I1" s="874"/>
      <c r="J1" s="874"/>
      <c r="K1" s="874"/>
      <c r="L1" s="874"/>
      <c r="M1" s="874"/>
      <c r="N1" s="874"/>
      <c r="O1" s="20" t="str">
        <f>Q!F42</f>
        <v>Kulturlandschaft</v>
      </c>
      <c r="P1" s="20"/>
      <c r="Q1" s="675"/>
      <c r="R1" s="675"/>
      <c r="S1" s="675"/>
    </row>
    <row r="2" spans="2:20" s="692" customFormat="1" ht="11.1" customHeight="1" thickBot="1">
      <c r="B2" s="687"/>
      <c r="C2" s="687"/>
      <c r="D2" s="687"/>
      <c r="E2" s="687"/>
      <c r="F2" s="687"/>
      <c r="G2" s="687"/>
      <c r="H2" s="687"/>
      <c r="I2" s="687"/>
      <c r="J2" s="687"/>
      <c r="K2" s="687"/>
      <c r="L2" s="687"/>
      <c r="M2" s="687"/>
      <c r="N2" s="687"/>
      <c r="O2" s="44"/>
      <c r="P2" s="44"/>
      <c r="Q2" s="675"/>
      <c r="R2" s="675"/>
      <c r="S2" s="675"/>
    </row>
    <row r="3" spans="2:20" ht="21.95" customHeight="1">
      <c r="B3" s="1870" t="str">
        <f>Texte!A13</f>
        <v>Betrieb:</v>
      </c>
      <c r="C3" s="689"/>
      <c r="D3" s="569" t="str">
        <f>Allg!$C$9&amp;""</f>
        <v>Imhof &amp; Zaehner Betriebsgemeinschaft</v>
      </c>
      <c r="E3" s="1434"/>
      <c r="F3" s="1434"/>
      <c r="G3" s="1871"/>
      <c r="H3" s="689"/>
      <c r="I3" s="689"/>
      <c r="J3" s="1872" t="str">
        <f>Texte!A14</f>
        <v>Variante:</v>
      </c>
      <c r="K3" s="1433" t="str">
        <f>Allg!$G$7&amp;""</f>
        <v/>
      </c>
      <c r="L3" s="1434"/>
      <c r="M3" s="689"/>
      <c r="N3" s="1872" t="str">
        <f>Texte!A15</f>
        <v>Jahr:</v>
      </c>
      <c r="O3" s="1859" t="str">
        <f>Allg!$G$6&amp;""</f>
        <v>2026</v>
      </c>
      <c r="P3" s="1859"/>
      <c r="Q3" s="675"/>
      <c r="R3" s="675"/>
      <c r="S3" s="675"/>
    </row>
    <row r="4" spans="2:20" ht="5.0999999999999996" customHeight="1">
      <c r="B4" s="1318"/>
      <c r="C4" s="675"/>
      <c r="D4" s="675"/>
      <c r="E4" s="675"/>
      <c r="F4" s="675"/>
      <c r="G4" s="675"/>
      <c r="H4" s="675"/>
      <c r="I4" s="675"/>
      <c r="J4" s="675"/>
      <c r="K4" s="675"/>
      <c r="L4" s="675"/>
      <c r="M4" s="675"/>
      <c r="N4" s="675"/>
      <c r="O4" s="1320"/>
      <c r="P4" s="1320"/>
      <c r="Q4" s="675"/>
      <c r="R4" s="675"/>
      <c r="S4" s="675"/>
    </row>
    <row r="5" spans="2:20" ht="25.15" customHeight="1">
      <c r="B5" s="685" t="str">
        <f>Texte!A2408</f>
        <v>Kulturlandschaftsbeiträge (KLB, Art. 42 bis 49 und Anhang 7 DZV)</v>
      </c>
      <c r="C5" s="1315"/>
      <c r="D5" s="675"/>
      <c r="E5" s="675"/>
      <c r="F5" s="675"/>
      <c r="G5" s="675"/>
      <c r="H5" s="675"/>
      <c r="I5" s="675"/>
      <c r="J5" s="675"/>
      <c r="K5" s="675"/>
      <c r="L5" s="675"/>
      <c r="M5" s="1319"/>
      <c r="N5" s="675"/>
      <c r="O5" s="1320"/>
      <c r="P5" s="1320"/>
      <c r="Q5" s="675"/>
      <c r="R5" s="675"/>
      <c r="S5" s="675"/>
    </row>
    <row r="6" spans="2:20" s="922" customFormat="1" ht="18.75" customHeight="1">
      <c r="B6" s="1321" t="str">
        <f>Texte!A2409</f>
        <v>Offenhaltungbeitrag*</v>
      </c>
      <c r="C6" s="1322"/>
      <c r="D6" s="1322"/>
      <c r="E6" s="1322"/>
      <c r="F6" s="1322"/>
      <c r="G6" s="1322"/>
      <c r="H6" s="1322"/>
      <c r="I6" s="1322"/>
      <c r="J6" s="1322"/>
      <c r="K6" s="1322"/>
      <c r="L6" s="1322"/>
      <c r="M6" s="1323"/>
      <c r="N6" s="1323"/>
      <c r="O6" s="1913"/>
      <c r="P6" s="528"/>
      <c r="Q6" s="679"/>
      <c r="R6" s="679"/>
      <c r="S6" s="679"/>
      <c r="T6" s="679"/>
    </row>
    <row r="7" spans="2:20" s="922" customFormat="1" ht="12.75" customHeight="1">
      <c r="B7" s="1324"/>
      <c r="C7" s="675"/>
      <c r="D7" s="675"/>
      <c r="E7" s="675"/>
      <c r="F7" s="675"/>
      <c r="G7" s="675"/>
      <c r="H7" s="1325"/>
      <c r="I7" s="1325" t="str">
        <f>Texte!A2411</f>
        <v>Ansatz / CHF</v>
      </c>
      <c r="J7" s="1325"/>
      <c r="K7" s="1732" t="s">
        <v>5675</v>
      </c>
      <c r="L7" s="1325"/>
      <c r="M7" s="1325" t="str">
        <f>Texte!A2414</f>
        <v>Anteil / CHF</v>
      </c>
      <c r="N7" s="675"/>
      <c r="O7" s="1320"/>
      <c r="P7" s="481"/>
      <c r="Q7" s="679"/>
      <c r="R7" s="679"/>
      <c r="S7" s="679"/>
      <c r="T7" s="679"/>
    </row>
    <row r="8" spans="2:20" s="922" customFormat="1" ht="17.100000000000001" customHeight="1">
      <c r="B8" s="1324"/>
      <c r="C8" s="675"/>
      <c r="D8" s="675"/>
      <c r="E8" s="675"/>
      <c r="F8" s="675"/>
      <c r="G8" s="675"/>
      <c r="H8" s="1325"/>
      <c r="I8" s="1325"/>
      <c r="J8" s="1325"/>
      <c r="K8" s="1946">
        <f>SUM(FL_Zonen)</f>
        <v>131.93120000000002</v>
      </c>
      <c r="L8" s="1325"/>
      <c r="M8" s="1325"/>
      <c r="N8" s="675"/>
      <c r="O8" s="1320"/>
      <c r="P8" s="1916"/>
      <c r="R8" s="1905" t="b">
        <v>0</v>
      </c>
      <c r="S8" s="679"/>
      <c r="T8" s="679"/>
    </row>
    <row r="9" spans="2:20" s="922" customFormat="1" ht="17.100000000000001" customHeight="1">
      <c r="B9" s="1324"/>
      <c r="C9" s="675" t="str">
        <f>Texte!A2416</f>
        <v>Talzone (ohne Beitrag)</v>
      </c>
      <c r="D9" s="675"/>
      <c r="E9" s="675"/>
      <c r="F9" s="675"/>
      <c r="G9" s="675"/>
      <c r="H9" s="1325"/>
      <c r="I9" s="557" t="s">
        <v>1869</v>
      </c>
      <c r="J9" s="1325" t="s">
        <v>1045</v>
      </c>
      <c r="K9" s="1946">
        <f>IF(Allg!$G$15=D_Klick!B6,SUM(Fläche!OHB_Fläche),0)</f>
        <v>131.93120000000002</v>
      </c>
      <c r="L9" s="1325" t="s">
        <v>4983</v>
      </c>
      <c r="M9" s="557">
        <f t="shared" ref="M9:M14" si="0">+I9*K9</f>
        <v>0</v>
      </c>
      <c r="N9" s="675"/>
      <c r="O9" s="1320"/>
      <c r="P9" s="1916"/>
      <c r="R9" s="1930"/>
      <c r="S9" s="679"/>
      <c r="T9" s="679"/>
    </row>
    <row r="10" spans="2:20" s="922" customFormat="1" ht="17.100000000000001" customHeight="1">
      <c r="B10" s="1324"/>
      <c r="C10" s="675" t="str">
        <f>Texte!A2417</f>
        <v>Hügelzone</v>
      </c>
      <c r="D10" s="675"/>
      <c r="E10" s="675"/>
      <c r="F10" s="675"/>
      <c r="G10" s="675"/>
      <c r="H10" s="1325"/>
      <c r="I10" s="557">
        <v>100</v>
      </c>
      <c r="J10" s="1325" t="s">
        <v>1045</v>
      </c>
      <c r="K10" s="1946">
        <f>IF(Allg!$G$15=D_Klick!B7,SUM(Fläche!OHB_Fläche),0)</f>
        <v>0</v>
      </c>
      <c r="L10" s="1325" t="s">
        <v>4983</v>
      </c>
      <c r="M10" s="557">
        <f t="shared" si="0"/>
        <v>0</v>
      </c>
      <c r="N10" s="675"/>
      <c r="O10" s="1320"/>
      <c r="P10" s="1916"/>
      <c r="Q10" s="679"/>
      <c r="R10" s="679"/>
      <c r="S10" s="679"/>
      <c r="T10" s="679"/>
    </row>
    <row r="11" spans="2:20" s="922" customFormat="1" ht="17.100000000000001" customHeight="1">
      <c r="B11" s="1324"/>
      <c r="C11" s="675" t="str">
        <f>Texte!A2418</f>
        <v>Bergzone I</v>
      </c>
      <c r="D11" s="675"/>
      <c r="E11" s="675"/>
      <c r="F11" s="675"/>
      <c r="G11" s="675"/>
      <c r="H11" s="1325"/>
      <c r="I11" s="557">
        <v>230</v>
      </c>
      <c r="J11" s="1325" t="s">
        <v>1045</v>
      </c>
      <c r="K11" s="1946">
        <f>IF(Allg!$G$15=D_Klick!B8,SUM(Fläche!OHB_Fläche),0)</f>
        <v>0</v>
      </c>
      <c r="L11" s="1325" t="s">
        <v>4983</v>
      </c>
      <c r="M11" s="557">
        <f t="shared" si="0"/>
        <v>0</v>
      </c>
      <c r="N11" s="675"/>
      <c r="O11" s="1320"/>
      <c r="P11" s="1916"/>
      <c r="Q11" s="679"/>
      <c r="R11" s="679"/>
      <c r="S11" s="679"/>
      <c r="T11" s="679"/>
    </row>
    <row r="12" spans="2:20" s="922" customFormat="1" ht="17.100000000000001" customHeight="1">
      <c r="B12" s="1324"/>
      <c r="C12" s="675" t="str">
        <f>Texte!A2419</f>
        <v>Bergzone II</v>
      </c>
      <c r="D12" s="675"/>
      <c r="E12" s="675"/>
      <c r="F12" s="675"/>
      <c r="G12" s="675"/>
      <c r="H12" s="1325"/>
      <c r="I12" s="557">
        <v>320</v>
      </c>
      <c r="J12" s="1325" t="s">
        <v>1045</v>
      </c>
      <c r="K12" s="1946">
        <f>IF(Allg!$G$15=D_Klick!B9,SUM(Fläche!OHB_Fläche),0)</f>
        <v>0</v>
      </c>
      <c r="L12" s="1325" t="s">
        <v>4983</v>
      </c>
      <c r="M12" s="557">
        <f t="shared" si="0"/>
        <v>0</v>
      </c>
      <c r="N12" s="675"/>
      <c r="O12" s="1320"/>
      <c r="P12" s="1916"/>
      <c r="Q12" s="679"/>
      <c r="R12" s="679"/>
      <c r="S12" s="679"/>
      <c r="T12" s="679"/>
    </row>
    <row r="13" spans="2:20" s="922" customFormat="1" ht="17.100000000000001" customHeight="1">
      <c r="B13" s="1324"/>
      <c r="C13" s="675" t="str">
        <f>Texte!A2420</f>
        <v>Bergzone III</v>
      </c>
      <c r="D13" s="675"/>
      <c r="E13" s="675"/>
      <c r="F13" s="675"/>
      <c r="G13" s="675"/>
      <c r="H13" s="1325"/>
      <c r="I13" s="557">
        <v>380</v>
      </c>
      <c r="J13" s="1325" t="s">
        <v>1045</v>
      </c>
      <c r="K13" s="1946">
        <f>IF(Allg!$G$15=D_Klick!B10,SUM(Fläche!OHB_Fläche),0)</f>
        <v>0</v>
      </c>
      <c r="L13" s="1325" t="s">
        <v>4983</v>
      </c>
      <c r="M13" s="557">
        <f t="shared" si="0"/>
        <v>0</v>
      </c>
      <c r="N13" s="675"/>
      <c r="O13" s="1320"/>
      <c r="P13" s="1916"/>
      <c r="Q13" s="679"/>
      <c r="R13" s="679"/>
      <c r="S13" s="679"/>
      <c r="T13" s="679"/>
    </row>
    <row r="14" spans="2:20" s="922" customFormat="1" ht="17.100000000000001" customHeight="1">
      <c r="B14" s="1324"/>
      <c r="C14" s="675" t="str">
        <f>Texte!A2421</f>
        <v>Bergzone IV</v>
      </c>
      <c r="D14" s="675"/>
      <c r="E14" s="675"/>
      <c r="F14" s="675"/>
      <c r="G14" s="675"/>
      <c r="H14" s="1325"/>
      <c r="I14" s="557">
        <v>390</v>
      </c>
      <c r="J14" s="1325" t="s">
        <v>1045</v>
      </c>
      <c r="K14" s="1946">
        <f>IF(Allg!$G$15=D_Klick!B11,SUM(Fläche!OHB_Fläche),0)</f>
        <v>0</v>
      </c>
      <c r="L14" s="1325" t="s">
        <v>4983</v>
      </c>
      <c r="M14" s="557">
        <f t="shared" si="0"/>
        <v>0</v>
      </c>
      <c r="N14" s="675"/>
      <c r="O14" s="1320"/>
      <c r="P14" s="1916"/>
      <c r="Q14" s="679"/>
      <c r="R14" s="679"/>
      <c r="S14" s="679"/>
      <c r="T14" s="679"/>
    </row>
    <row r="15" spans="2:20" s="922" customFormat="1" ht="17.100000000000001" customHeight="1">
      <c r="B15" s="1324"/>
      <c r="C15" s="675" t="str">
        <f>Texte!A2412</f>
        <v xml:space="preserve"> * Für OHB beitragsberechtigte LN: LN ohne Hecken, Feld- und Ufergehölze</v>
      </c>
      <c r="D15" s="675"/>
      <c r="E15" s="675"/>
      <c r="F15" s="675"/>
      <c r="G15" s="675"/>
      <c r="H15" s="1325"/>
      <c r="I15" s="1325"/>
      <c r="J15" s="1325"/>
      <c r="K15" s="121">
        <f>IF(R15=0,0,IF(R15&lt;&gt;SUM(Fläche!OHB_Fläche),Texte!A2422,))</f>
        <v>0</v>
      </c>
      <c r="L15" s="1325"/>
      <c r="M15" s="551"/>
      <c r="N15" s="675"/>
      <c r="O15" s="1320"/>
      <c r="P15" s="1916"/>
      <c r="Q15" s="1320"/>
      <c r="R15" s="679">
        <f>SUM(FL_Zonen)</f>
        <v>131.93120000000002</v>
      </c>
      <c r="S15" s="679"/>
      <c r="T15" s="679"/>
    </row>
    <row r="16" spans="2:20" s="922" customFormat="1" ht="11.25" customHeight="1">
      <c r="B16" s="1324"/>
      <c r="C16" s="675" t="str">
        <f>Texte!A2413</f>
        <v xml:space="preserve">   und ohne Baumschulen, Forstpflanzen, Christbäume, Zierpflanzen, Hanf und Gewächshäuser mit festem Fundament </v>
      </c>
      <c r="D16" s="675"/>
      <c r="E16" s="675"/>
      <c r="F16" s="675"/>
      <c r="G16" s="675"/>
      <c r="H16" s="1325"/>
      <c r="I16" s="1443"/>
      <c r="J16" s="1325"/>
      <c r="K16" s="551"/>
      <c r="L16" s="1325"/>
      <c r="M16" s="690"/>
      <c r="N16" s="675"/>
      <c r="O16" s="1320"/>
      <c r="P16" s="481"/>
      <c r="Q16" s="1320"/>
      <c r="R16" s="679"/>
      <c r="S16" s="679"/>
      <c r="T16" s="679"/>
    </row>
    <row r="17" spans="2:20" s="922" customFormat="1" ht="6" customHeight="1">
      <c r="B17" s="1337"/>
      <c r="C17" s="675"/>
      <c r="D17" s="675"/>
      <c r="E17" s="675"/>
      <c r="F17" s="675"/>
      <c r="G17" s="675"/>
      <c r="H17" s="1334"/>
      <c r="I17" s="1338"/>
      <c r="J17" s="675"/>
      <c r="K17" s="296"/>
      <c r="L17" s="1325"/>
      <c r="M17" s="1338"/>
      <c r="N17" s="675"/>
      <c r="O17" s="1338"/>
      <c r="P17" s="481"/>
      <c r="Q17" s="679"/>
      <c r="R17" s="679"/>
      <c r="S17" s="679"/>
    </row>
    <row r="18" spans="2:20" s="922" customFormat="1" ht="17.100000000000001" customHeight="1">
      <c r="B18" s="1324"/>
      <c r="C18" s="675" t="str">
        <f>Texte!A2423</f>
        <v>Korrektur für Flächen im Ausland</v>
      </c>
      <c r="D18" s="675"/>
      <c r="E18" s="675"/>
      <c r="F18" s="675"/>
      <c r="G18" s="675"/>
      <c r="H18" s="1325"/>
      <c r="I18" s="296"/>
      <c r="J18" s="1325"/>
      <c r="K18" s="551"/>
      <c r="L18" s="1325"/>
      <c r="M18" s="712"/>
      <c r="N18" s="675"/>
      <c r="P18" s="481"/>
      <c r="Q18" s="1320"/>
      <c r="R18" s="679"/>
      <c r="S18" s="679"/>
      <c r="T18" s="679"/>
    </row>
    <row r="19" spans="2:20" s="922" customFormat="1" ht="5.0999999999999996" customHeight="1">
      <c r="B19" s="1337"/>
      <c r="C19" s="675"/>
      <c r="D19" s="675"/>
      <c r="E19" s="675"/>
      <c r="F19" s="675"/>
      <c r="G19" s="675"/>
      <c r="H19" s="1334"/>
      <c r="I19" s="1338"/>
      <c r="J19" s="675"/>
      <c r="K19" s="296"/>
      <c r="L19" s="1325"/>
      <c r="M19" s="1338"/>
      <c r="N19" s="675"/>
      <c r="O19" s="1338"/>
      <c r="P19" s="481"/>
      <c r="Q19" s="679"/>
      <c r="R19" s="679"/>
      <c r="S19" s="679"/>
    </row>
    <row r="20" spans="2:20" ht="17.100000000000001" customHeight="1">
      <c r="B20" s="1326"/>
      <c r="C20" s="1327"/>
      <c r="D20" s="1328"/>
      <c r="E20" s="1328"/>
      <c r="F20" s="1328"/>
      <c r="G20" s="296"/>
      <c r="H20" s="1328"/>
      <c r="J20" s="30"/>
      <c r="K20" s="691"/>
      <c r="L20" s="675"/>
      <c r="M20" s="1327" t="str">
        <f>Texte!A2424</f>
        <v>Summe der Beiträge</v>
      </c>
      <c r="N20" s="1325" t="s">
        <v>4983</v>
      </c>
      <c r="O20" s="1912">
        <f>SUM(M10:M14)-M18</f>
        <v>0</v>
      </c>
      <c r="P20" s="481"/>
      <c r="Q20" s="679"/>
      <c r="S20" s="675"/>
    </row>
    <row r="21" spans="2:20" s="1332" customFormat="1" ht="17.100000000000001" customHeight="1">
      <c r="B21" s="1330" t="str">
        <f>Texte!A2425</f>
        <v>Hangbeitrag*</v>
      </c>
      <c r="C21" s="414"/>
      <c r="D21" s="414"/>
      <c r="E21" s="414"/>
      <c r="F21" s="414"/>
      <c r="G21" s="414"/>
      <c r="H21" s="57"/>
      <c r="I21" s="57"/>
      <c r="J21" s="57"/>
      <c r="K21" s="2"/>
      <c r="L21" s="30"/>
      <c r="M21" s="2"/>
      <c r="N21" s="2"/>
      <c r="O21" s="552"/>
      <c r="P21" s="481"/>
      <c r="Q21" s="1331"/>
      <c r="R21" s="1331"/>
      <c r="S21" s="1331"/>
    </row>
    <row r="22" spans="2:20" s="1332" customFormat="1" ht="17.100000000000001" customHeight="1">
      <c r="B22" s="1330"/>
      <c r="C22" s="30" t="str">
        <f>Texte!A2426</f>
        <v>(Auf Dauerwiesen wird mindestens ein Mähschnitt pro Jahr verlangt)</v>
      </c>
      <c r="D22" s="414"/>
      <c r="E22" s="414"/>
      <c r="F22" s="414"/>
      <c r="G22" s="414"/>
      <c r="H22" s="57"/>
      <c r="I22" s="57"/>
      <c r="J22" s="57"/>
      <c r="K22" s="2"/>
      <c r="L22" s="30"/>
      <c r="M22" s="2"/>
      <c r="N22" s="2"/>
      <c r="O22" s="552"/>
      <c r="P22" s="481"/>
      <c r="Q22" s="1331"/>
      <c r="R22" s="1331"/>
      <c r="S22" s="1331"/>
    </row>
    <row r="23" spans="2:20" s="1335" customFormat="1" ht="17.100000000000001" customHeight="1">
      <c r="B23" s="1324"/>
      <c r="C23" s="1333" t="str">
        <f>Texte!A2427</f>
        <v>18 - 35 % Neigung</v>
      </c>
      <c r="D23" s="675"/>
      <c r="E23" s="675"/>
      <c r="F23" s="675"/>
      <c r="G23" s="1334"/>
      <c r="I23" s="557">
        <v>410</v>
      </c>
      <c r="J23" s="1325" t="s">
        <v>1045</v>
      </c>
      <c r="K23" s="1906"/>
      <c r="L23" s="1325" t="s">
        <v>4983</v>
      </c>
      <c r="M23" s="557">
        <f>I23*K23</f>
        <v>0</v>
      </c>
      <c r="N23" s="1325"/>
      <c r="O23" s="1320"/>
      <c r="P23" s="481"/>
      <c r="Q23" s="1336"/>
      <c r="R23" s="1336"/>
      <c r="S23" s="1336"/>
    </row>
    <row r="24" spans="2:20" s="1335" customFormat="1" ht="17.100000000000001" customHeight="1">
      <c r="B24" s="1337"/>
      <c r="C24" s="1333" t="str">
        <f>Texte!A2428</f>
        <v>35 - 50 % Neigung</v>
      </c>
      <c r="D24" s="675"/>
      <c r="E24" s="675"/>
      <c r="F24" s="675"/>
      <c r="G24" s="675"/>
      <c r="I24" s="557">
        <v>700</v>
      </c>
      <c r="J24" s="1325" t="s">
        <v>1045</v>
      </c>
      <c r="K24" s="1906"/>
      <c r="L24" s="1325" t="s">
        <v>4983</v>
      </c>
      <c r="M24" s="557">
        <f>I24*K24</f>
        <v>0</v>
      </c>
      <c r="N24" s="1325"/>
      <c r="O24" s="1320"/>
      <c r="P24" s="481"/>
      <c r="Q24" s="1336"/>
      <c r="R24" s="1336"/>
      <c r="S24" s="1336"/>
    </row>
    <row r="25" spans="2:20" s="1335" customFormat="1" ht="17.100000000000001" customHeight="1">
      <c r="B25" s="1337"/>
      <c r="C25" s="1333" t="str">
        <f>Texte!A2429</f>
        <v>mehr als 50 % Neigung</v>
      </c>
      <c r="D25" s="675"/>
      <c r="E25" s="675"/>
      <c r="F25" s="675"/>
      <c r="G25" s="675"/>
      <c r="H25" s="1442"/>
      <c r="I25" s="557">
        <f>IF(Allg!Erntejahr&gt;2016,1000,700)</f>
        <v>1000</v>
      </c>
      <c r="J25" s="1325" t="s">
        <v>1045</v>
      </c>
      <c r="K25" s="1906"/>
      <c r="L25" s="1325" t="s">
        <v>4983</v>
      </c>
      <c r="M25" s="557">
        <f>I25*K25</f>
        <v>0</v>
      </c>
      <c r="N25" s="1325"/>
      <c r="O25" s="1320"/>
      <c r="P25" s="481"/>
      <c r="Q25" s="1336"/>
      <c r="R25" s="1336"/>
      <c r="S25" s="1336"/>
    </row>
    <row r="26" spans="2:20" s="1335" customFormat="1" ht="5.0999999999999996" customHeight="1">
      <c r="B26" s="1337"/>
      <c r="C26" s="675"/>
      <c r="D26" s="675"/>
      <c r="E26" s="675"/>
      <c r="F26" s="675"/>
      <c r="G26" s="675"/>
      <c r="H26" s="1334"/>
      <c r="I26" s="1338"/>
      <c r="J26" s="675"/>
      <c r="K26" s="296"/>
      <c r="L26" s="1325"/>
      <c r="M26" s="1338"/>
      <c r="N26" s="1325"/>
      <c r="O26" s="1320"/>
      <c r="P26" s="481"/>
      <c r="Q26" s="1336"/>
      <c r="R26" s="1336"/>
      <c r="S26" s="1336"/>
    </row>
    <row r="27" spans="2:20" ht="17.100000000000001" customHeight="1">
      <c r="B27" s="1326"/>
      <c r="C27" s="1468"/>
      <c r="D27" s="1328"/>
      <c r="E27" s="1328"/>
      <c r="F27" s="1328"/>
      <c r="G27" s="296"/>
      <c r="H27" s="1328"/>
      <c r="I27" s="690"/>
      <c r="J27" s="30"/>
      <c r="K27" s="691"/>
      <c r="L27" s="675"/>
      <c r="M27" s="1441" t="str">
        <f>Texte!A2424</f>
        <v>Summe der Beiträge</v>
      </c>
      <c r="N27" s="1325" t="s">
        <v>4983</v>
      </c>
      <c r="O27" s="1912">
        <f>SUM(M23:M25)</f>
        <v>0</v>
      </c>
      <c r="P27" s="481"/>
      <c r="Q27" s="679"/>
      <c r="S27" s="675"/>
    </row>
    <row r="28" spans="2:20" ht="5.0999999999999996" customHeight="1">
      <c r="B28" s="1326"/>
      <c r="C28" s="1468"/>
      <c r="D28" s="1328"/>
      <c r="E28" s="1328"/>
      <c r="F28" s="1328"/>
      <c r="G28" s="296"/>
      <c r="H28" s="1328"/>
      <c r="I28" s="690"/>
      <c r="J28" s="30"/>
      <c r="K28" s="691"/>
      <c r="L28" s="675"/>
      <c r="M28" s="1441"/>
      <c r="N28" s="1325"/>
      <c r="O28" s="1338"/>
      <c r="P28" s="481"/>
      <c r="Q28" s="679"/>
      <c r="S28" s="675"/>
    </row>
    <row r="29" spans="2:20" ht="17.100000000000001" customHeight="1">
      <c r="B29" s="1330" t="str">
        <f>Texte!A2430</f>
        <v>Steillagenbeitrag</v>
      </c>
      <c r="C29" s="1327"/>
      <c r="D29" s="1328"/>
      <c r="E29" s="1328"/>
      <c r="F29" s="1328"/>
      <c r="G29" s="296"/>
      <c r="H29" s="1328"/>
      <c r="I29" s="690"/>
      <c r="J29" s="30"/>
      <c r="K29" s="691"/>
      <c r="L29" s="675"/>
      <c r="M29" s="1338"/>
      <c r="N29" s="1325"/>
      <c r="O29" s="1338"/>
      <c r="P29" s="481"/>
      <c r="Q29" s="679"/>
      <c r="S29" s="675"/>
    </row>
    <row r="30" spans="2:20" ht="17.100000000000001" customHeight="1">
      <c r="B30" s="1326"/>
      <c r="C30" s="675" t="str">
        <f>Texte!A2431</f>
        <v>Steillagenanteil an der beitragsberechtigten landwirtschaftlichen Nutzfläche</v>
      </c>
      <c r="D30" s="1328"/>
      <c r="E30" s="1328"/>
      <c r="F30" s="1328"/>
      <c r="G30" s="296"/>
      <c r="H30" s="1328"/>
      <c r="I30" s="243"/>
      <c r="J30" s="675"/>
      <c r="K30" s="1949">
        <f>IF(SUM(Fläche!BerFläche)=0,0,(SUM(KLB!K24:K25)/SUM(Fläche!BerFläche)))</f>
        <v>0</v>
      </c>
      <c r="L30" s="1325"/>
      <c r="M30" s="1338"/>
      <c r="N30" s="1325"/>
      <c r="O30" s="1338"/>
      <c r="P30" s="481"/>
      <c r="Q30" s="679"/>
      <c r="S30" s="675"/>
    </row>
    <row r="31" spans="2:20" ht="12.75" customHeight="1">
      <c r="B31" s="1326"/>
      <c r="C31" s="1440" t="str">
        <f>Texte!A2432</f>
        <v>Ansatz linear von 100 CHF / ha ab 30 % bis 1'000 CHF / ha</v>
      </c>
      <c r="D31" s="1328"/>
      <c r="E31" s="1328"/>
      <c r="F31" s="1328"/>
      <c r="G31" s="296"/>
      <c r="H31" s="1328"/>
      <c r="I31" s="243"/>
      <c r="J31" s="675"/>
      <c r="K31" s="1949"/>
      <c r="L31" s="1325"/>
      <c r="M31" s="1338"/>
      <c r="N31" s="1325"/>
      <c r="O31" s="1338"/>
      <c r="P31" s="481"/>
      <c r="Q31" s="679"/>
      <c r="S31" s="675"/>
    </row>
    <row r="32" spans="2:20" ht="17.100000000000001" customHeight="1">
      <c r="B32" s="1326"/>
      <c r="C32" s="3321" t="str">
        <f>Texte!A2433</f>
        <v>bei 100 % Anteil</v>
      </c>
      <c r="D32" s="1328"/>
      <c r="E32" s="1328"/>
      <c r="F32" s="1328"/>
      <c r="G32" s="296"/>
      <c r="H32" s="1328"/>
      <c r="I32" s="557">
        <f>IF(K30&lt;0.3,0,IF(K30&gt;1,1000,100+((K30-0.3)*10*900/7)))</f>
        <v>0</v>
      </c>
      <c r="J32" s="1325" t="s">
        <v>1045</v>
      </c>
      <c r="K32" s="1946">
        <f>IF(SUM(Fläche!BerFläche)=0,0,IF(SUM(KLB!K24:K25)/SUM(Fläche!BerFläche)&gt;=0.3,SUM(KLB!K24:K25),0))</f>
        <v>0</v>
      </c>
      <c r="L32" s="1325" t="s">
        <v>4983</v>
      </c>
      <c r="M32" s="557">
        <f>I32*K32</f>
        <v>0</v>
      </c>
      <c r="N32" s="1325"/>
      <c r="O32" s="1338"/>
      <c r="P32" s="481"/>
      <c r="Q32" s="679"/>
      <c r="S32" s="675"/>
    </row>
    <row r="33" spans="2:19" ht="17.100000000000001" customHeight="1">
      <c r="B33" s="1326"/>
      <c r="C33" s="1440"/>
      <c r="D33" s="1328"/>
      <c r="E33" s="1328"/>
      <c r="F33" s="1328"/>
      <c r="G33" s="296"/>
      <c r="H33" s="1328"/>
      <c r="I33" s="690"/>
      <c r="J33" s="30"/>
      <c r="K33" s="691"/>
      <c r="L33" s="675"/>
      <c r="M33" s="1441" t="str">
        <f>Texte!A2424</f>
        <v>Summe der Beiträge</v>
      </c>
      <c r="N33" s="1325" t="s">
        <v>4983</v>
      </c>
      <c r="O33" s="1912">
        <f>SUM(M32)</f>
        <v>0</v>
      </c>
      <c r="P33" s="481"/>
      <c r="Q33" s="679"/>
      <c r="S33" s="675"/>
    </row>
    <row r="34" spans="2:19" ht="5.0999999999999996" customHeight="1">
      <c r="B34" s="1326"/>
      <c r="C34" s="1468"/>
      <c r="D34" s="1328"/>
      <c r="E34" s="1328"/>
      <c r="F34" s="1328"/>
      <c r="G34" s="296"/>
      <c r="H34" s="1328"/>
      <c r="I34" s="690"/>
      <c r="J34" s="30"/>
      <c r="K34" s="691"/>
      <c r="L34" s="675"/>
      <c r="M34" s="1338"/>
      <c r="N34" s="1325"/>
      <c r="O34" s="1320"/>
      <c r="P34" s="481"/>
      <c r="Q34" s="679"/>
      <c r="S34" s="675"/>
    </row>
    <row r="35" spans="2:19" s="922" customFormat="1" ht="17.100000000000001" customHeight="1">
      <c r="B35" s="1339" t="str">
        <f>Texte!A2436</f>
        <v>Hangbeitrag für Rebflächen</v>
      </c>
      <c r="C35" s="680"/>
      <c r="D35" s="680"/>
      <c r="E35" s="680"/>
      <c r="F35" s="680"/>
      <c r="G35" s="680"/>
      <c r="H35" s="679"/>
      <c r="I35" s="1340"/>
      <c r="J35" s="679"/>
      <c r="K35" s="1338"/>
      <c r="L35" s="675"/>
      <c r="M35" s="1338"/>
      <c r="N35" s="675"/>
      <c r="O35" s="1338"/>
      <c r="P35" s="481"/>
      <c r="Q35" s="679"/>
      <c r="R35" s="679"/>
      <c r="S35" s="679"/>
    </row>
    <row r="36" spans="2:19" s="922" customFormat="1" ht="17.100000000000001" customHeight="1">
      <c r="B36" s="1337"/>
      <c r="C36" s="1333" t="str">
        <f>Texte!A2437</f>
        <v>30 - 50 % Neigung</v>
      </c>
      <c r="D36" s="675"/>
      <c r="E36" s="675"/>
      <c r="F36" s="675"/>
      <c r="G36" s="675"/>
      <c r="I36" s="557">
        <v>1500</v>
      </c>
      <c r="J36" s="1325" t="s">
        <v>1045</v>
      </c>
      <c r="K36" s="1906"/>
      <c r="L36" s="1325" t="s">
        <v>4983</v>
      </c>
      <c r="M36" s="557">
        <f>I36*K36</f>
        <v>0</v>
      </c>
      <c r="N36" s="675"/>
      <c r="O36" s="1338"/>
      <c r="P36" s="481"/>
      <c r="Q36" s="679"/>
      <c r="R36" s="679"/>
      <c r="S36" s="679"/>
    </row>
    <row r="37" spans="2:19" s="922" customFormat="1" ht="17.100000000000001" customHeight="1">
      <c r="B37" s="1337"/>
      <c r="C37" s="1333" t="str">
        <f>Texte!A2438</f>
        <v>mehr als 50 % Neigung</v>
      </c>
      <c r="D37" s="675"/>
      <c r="E37" s="675"/>
      <c r="F37" s="675"/>
      <c r="G37" s="675"/>
      <c r="I37" s="557">
        <v>3000</v>
      </c>
      <c r="J37" s="1325" t="s">
        <v>1045</v>
      </c>
      <c r="K37" s="1906"/>
      <c r="L37" s="1325" t="s">
        <v>4983</v>
      </c>
      <c r="M37" s="557">
        <f>I37*K37</f>
        <v>0</v>
      </c>
      <c r="N37" s="675"/>
      <c r="O37" s="1338"/>
      <c r="P37" s="481"/>
      <c r="Q37" s="679"/>
      <c r="R37" s="679"/>
      <c r="S37" s="679"/>
    </row>
    <row r="38" spans="2:19" s="922" customFormat="1" ht="17.100000000000001" customHeight="1">
      <c r="B38" s="1337"/>
      <c r="C38" s="1333" t="str">
        <f>Texte!A2439</f>
        <v>mehr als 30 % Neigung in Terassenlagen</v>
      </c>
      <c r="D38" s="675"/>
      <c r="E38" s="675"/>
      <c r="F38" s="675"/>
      <c r="G38" s="675"/>
      <c r="I38" s="557">
        <v>5000</v>
      </c>
      <c r="J38" s="1325" t="s">
        <v>1045</v>
      </c>
      <c r="K38" s="1906"/>
      <c r="L38" s="1325" t="s">
        <v>4983</v>
      </c>
      <c r="M38" s="557">
        <f>I38*K38</f>
        <v>0</v>
      </c>
      <c r="N38" s="675"/>
      <c r="O38" s="1338"/>
      <c r="P38" s="481"/>
      <c r="Q38" s="679"/>
      <c r="R38" s="679"/>
      <c r="S38" s="679"/>
    </row>
    <row r="39" spans="2:19" s="922" customFormat="1" ht="5.0999999999999996" customHeight="1">
      <c r="B39" s="1337"/>
      <c r="C39" s="675"/>
      <c r="D39" s="675"/>
      <c r="E39" s="675"/>
      <c r="F39" s="675"/>
      <c r="G39" s="675"/>
      <c r="H39" s="1334"/>
      <c r="I39" s="1338"/>
      <c r="J39" s="675"/>
      <c r="K39" s="296"/>
      <c r="L39" s="1325"/>
      <c r="M39" s="1338"/>
      <c r="N39" s="675"/>
      <c r="O39" s="1338"/>
      <c r="P39" s="481"/>
      <c r="Q39" s="679"/>
      <c r="R39" s="679"/>
      <c r="S39" s="679"/>
    </row>
    <row r="40" spans="2:19" ht="17.100000000000001" customHeight="1">
      <c r="B40" s="1326"/>
      <c r="C40" s="1327"/>
      <c r="D40" s="1328"/>
      <c r="E40" s="1328"/>
      <c r="F40" s="1328"/>
      <c r="G40" s="296"/>
      <c r="H40" s="1328"/>
      <c r="I40" s="690"/>
      <c r="J40" s="30"/>
      <c r="K40" s="691"/>
      <c r="L40" s="675"/>
      <c r="M40" s="1441" t="str">
        <f>Texte!A2424</f>
        <v>Summe der Beiträge</v>
      </c>
      <c r="N40" s="1325" t="s">
        <v>4983</v>
      </c>
      <c r="O40" s="1912">
        <f>SUM(M36:M38)</f>
        <v>0</v>
      </c>
      <c r="P40" s="481"/>
      <c r="Q40" s="679"/>
      <c r="S40" s="675"/>
    </row>
    <row r="41" spans="2:19" ht="5.0999999999999996" customHeight="1">
      <c r="B41" s="1326"/>
      <c r="C41" s="1327"/>
      <c r="D41" s="1328"/>
      <c r="E41" s="1328"/>
      <c r="F41" s="1328"/>
      <c r="G41" s="296"/>
      <c r="H41" s="1328"/>
      <c r="I41" s="690"/>
      <c r="J41" s="30"/>
      <c r="K41" s="691"/>
      <c r="L41" s="675"/>
      <c r="M41" s="1338"/>
      <c r="N41" s="1325"/>
      <c r="O41" s="1320"/>
      <c r="P41" s="481"/>
      <c r="Q41" s="679"/>
      <c r="S41" s="675"/>
    </row>
    <row r="42" spans="2:19" ht="17.100000000000001" customHeight="1">
      <c r="B42" s="1339" t="str">
        <f>Texte!A2440</f>
        <v>Alpungsbeitrag (an den Ganzjahresbetrieb)</v>
      </c>
      <c r="D42" s="1328"/>
      <c r="E42" s="1328"/>
      <c r="F42" s="1328"/>
      <c r="G42" s="296"/>
      <c r="H42" s="1328"/>
      <c r="I42" s="690"/>
      <c r="J42" s="30"/>
      <c r="K42" s="691"/>
      <c r="L42" s="675"/>
      <c r="M42" s="1338"/>
      <c r="N42" s="1325"/>
      <c r="O42" s="1431"/>
      <c r="P42" s="481"/>
      <c r="Q42" s="679"/>
      <c r="S42" s="675"/>
    </row>
    <row r="43" spans="2:19" ht="17.100000000000001" customHeight="1">
      <c r="B43" s="1339"/>
      <c r="C43" s="872" t="str">
        <f>Texte!A2441</f>
        <v>Info: In NST umgerechnete Abwesenheiten der RGVE aus Blatt "Tierb"</v>
      </c>
      <c r="D43" s="1328"/>
      <c r="E43" s="1328"/>
      <c r="F43" s="1328"/>
      <c r="G43" s="296"/>
      <c r="H43" s="1328"/>
      <c r="I43" s="1946" t="str">
        <f>Tierb!NST_Ab</f>
        <v/>
      </c>
      <c r="K43" s="1341" t="str">
        <f>Texte!A2442</f>
        <v>NST</v>
      </c>
      <c r="L43" s="757" t="s">
        <v>2122</v>
      </c>
      <c r="M43" s="1342" t="str">
        <f>Texte!A2449</f>
        <v>Betrag CHF / NST</v>
      </c>
      <c r="N43" s="679"/>
      <c r="O43" s="561"/>
      <c r="P43" s="481"/>
      <c r="Q43" s="679"/>
      <c r="S43" s="675"/>
    </row>
    <row r="44" spans="2:19" ht="5.0999999999999996" customHeight="1">
      <c r="B44" s="1343"/>
      <c r="D44" s="1328"/>
      <c r="E44" s="1328"/>
      <c r="F44" s="1328"/>
      <c r="G44" s="296"/>
      <c r="H44" s="1328"/>
      <c r="I44" s="690"/>
      <c r="J44" s="30"/>
      <c r="K44" s="691"/>
      <c r="L44" s="675"/>
      <c r="M44" s="1338"/>
      <c r="N44" s="1325"/>
      <c r="O44" s="1431"/>
      <c r="P44" s="481"/>
      <c r="Q44" s="679"/>
      <c r="S44" s="675"/>
    </row>
    <row r="45" spans="2:19" ht="17.100000000000001" customHeight="1">
      <c r="B45" s="1343"/>
      <c r="C45" s="872" t="str">
        <f>Texte!A2444</f>
        <v>Tatsächlich gesömmerte raufutterverzehrende Nutztiere</v>
      </c>
      <c r="D45" s="1328"/>
      <c r="E45" s="1328"/>
      <c r="F45" s="1328"/>
      <c r="G45" s="296"/>
      <c r="H45" s="1328"/>
      <c r="I45" s="675"/>
      <c r="J45" s="679"/>
      <c r="K45" s="1906"/>
      <c r="L45" s="1362" t="s">
        <v>1045</v>
      </c>
      <c r="M45" s="557">
        <v>370</v>
      </c>
      <c r="N45" s="1325" t="s">
        <v>4983</v>
      </c>
      <c r="O45" s="1912">
        <f>K45*M45</f>
        <v>0</v>
      </c>
      <c r="P45" s="481"/>
      <c r="Q45" s="679"/>
      <c r="S45" s="675"/>
    </row>
    <row r="46" spans="2:19" ht="5.0999999999999996" customHeight="1">
      <c r="B46" s="1343"/>
      <c r="D46" s="1328"/>
      <c r="E46" s="1328"/>
      <c r="F46" s="1328"/>
      <c r="G46" s="296"/>
      <c r="H46" s="1328"/>
      <c r="I46" s="1340"/>
      <c r="J46" s="679"/>
      <c r="K46" s="296"/>
      <c r="L46" s="675"/>
      <c r="M46" s="1338"/>
      <c r="N46" s="675"/>
      <c r="O46" s="1320"/>
      <c r="P46" s="481"/>
      <c r="Q46" s="679"/>
      <c r="S46" s="675"/>
    </row>
    <row r="47" spans="2:19" ht="12.2" customHeight="1">
      <c r="B47" s="1343"/>
      <c r="C47" s="1344" t="str">
        <f>"   " &amp; Texte!A2445</f>
        <v xml:space="preserve">   1) NST = Normalstoss = 1 RGVE 100 Sömmerungstage</v>
      </c>
      <c r="D47" s="1328"/>
      <c r="E47" s="1328"/>
      <c r="F47" s="1328"/>
      <c r="G47" s="296"/>
      <c r="H47" s="1328"/>
      <c r="I47" s="1340"/>
      <c r="J47" s="679"/>
      <c r="K47" s="296"/>
      <c r="L47" s="675"/>
      <c r="M47" s="1338"/>
      <c r="N47" s="675"/>
      <c r="O47" s="1912"/>
      <c r="P47" s="481"/>
      <c r="Q47" s="679"/>
      <c r="S47" s="675"/>
    </row>
    <row r="48" spans="2:19" ht="20.100000000000001" customHeight="1">
      <c r="B48" s="1383" t="str">
        <f>Texte!A2446</f>
        <v>Zwischentotal Kulturlandschaftsbeiträge</v>
      </c>
      <c r="D48" s="1328"/>
      <c r="E48" s="1328"/>
      <c r="F48" s="1328"/>
      <c r="G48" s="296"/>
      <c r="H48" s="1328"/>
      <c r="I48" s="1340"/>
      <c r="J48" s="679"/>
      <c r="K48" s="1340"/>
      <c r="L48" s="675"/>
      <c r="M48" s="1338"/>
      <c r="N48" s="675"/>
      <c r="O48" s="1345">
        <f>O20+O27+O33+O40+O45</f>
        <v>0</v>
      </c>
      <c r="P48" s="481"/>
      <c r="Q48" s="679"/>
      <c r="S48" s="675"/>
    </row>
    <row r="49" spans="1:19" ht="6" customHeight="1">
      <c r="B49" s="1326"/>
      <c r="D49" s="1328"/>
      <c r="E49" s="1328"/>
      <c r="F49" s="1328"/>
      <c r="G49" s="296"/>
      <c r="H49" s="1328"/>
      <c r="I49" s="690"/>
      <c r="J49" s="30"/>
      <c r="K49" s="691"/>
      <c r="L49" s="675"/>
      <c r="M49" s="1338"/>
      <c r="N49" s="1325"/>
      <c r="O49" s="1913"/>
      <c r="P49" s="1329"/>
      <c r="Q49" s="679"/>
      <c r="S49" s="675"/>
    </row>
    <row r="50" spans="1:19" s="922" customFormat="1" ht="20.100000000000001" customHeight="1">
      <c r="A50" s="874"/>
      <c r="B50" s="1321" t="str">
        <f>Texte!A2447</f>
        <v>Sömmerungsbeitrag</v>
      </c>
      <c r="C50" s="682"/>
      <c r="D50" s="682"/>
      <c r="E50" s="682"/>
      <c r="F50" s="682"/>
      <c r="G50" s="682"/>
      <c r="H50" s="682"/>
      <c r="I50" s="682"/>
      <c r="J50" s="682"/>
      <c r="K50" s="682"/>
      <c r="L50" s="682"/>
      <c r="M50" s="682"/>
      <c r="N50" s="682"/>
      <c r="O50" s="1914"/>
      <c r="P50" s="481"/>
      <c r="Q50" s="679"/>
    </row>
    <row r="51" spans="1:19" s="922" customFormat="1" ht="5.0999999999999996" customHeight="1">
      <c r="A51" s="874"/>
      <c r="B51" s="1339"/>
      <c r="C51" s="1346"/>
      <c r="D51" s="679"/>
      <c r="E51" s="679"/>
      <c r="F51" s="679"/>
      <c r="G51" s="679"/>
      <c r="H51" s="679"/>
      <c r="I51" s="679"/>
      <c r="J51" s="3431"/>
      <c r="K51" s="3431"/>
      <c r="L51" s="3431"/>
      <c r="M51" s="1342"/>
      <c r="N51" s="679"/>
      <c r="O51" s="561"/>
      <c r="P51" s="481"/>
      <c r="Q51" s="679"/>
    </row>
    <row r="52" spans="1:19" ht="12.75" customHeight="1">
      <c r="A52" s="874"/>
      <c r="B52" s="1337"/>
      <c r="C52" s="1344" t="str">
        <f>"   " &amp; Texte!A2445</f>
        <v xml:space="preserve">   1) NST = Normalstoss = 1 RGVE 100 Sömmerungstage</v>
      </c>
      <c r="D52" s="1344"/>
      <c r="E52" s="675"/>
      <c r="F52" s="675"/>
      <c r="G52" s="675"/>
      <c r="H52" s="675"/>
      <c r="J52" s="675"/>
      <c r="K52" s="1342" t="str">
        <f>Texte!A2442</f>
        <v>NST</v>
      </c>
      <c r="L52" s="757" t="s">
        <v>2122</v>
      </c>
      <c r="M52" s="675" t="str">
        <f>Texte!A2449</f>
        <v>Betrag CHF / NST</v>
      </c>
      <c r="N52" s="675"/>
      <c r="O52" s="675"/>
      <c r="P52" s="481"/>
      <c r="Q52" s="679"/>
    </row>
    <row r="53" spans="1:19" ht="16.899999999999999" customHeight="1">
      <c r="A53" s="874"/>
      <c r="B53" s="1337"/>
      <c r="C53" s="675" t="str">
        <f>Texte!A2450</f>
        <v>Schafe, ausgenommen Milchschafe:</v>
      </c>
      <c r="D53" s="675"/>
      <c r="E53" s="675"/>
      <c r="F53" s="675"/>
      <c r="G53" s="675"/>
      <c r="H53" s="675"/>
      <c r="I53" s="1441" t="str">
        <f>Texte!A2448</f>
        <v>Normalbesatz*</v>
      </c>
      <c r="J53" s="675"/>
      <c r="K53" s="675"/>
      <c r="L53" s="675"/>
      <c r="M53" s="675"/>
      <c r="N53" s="675"/>
      <c r="O53" s="675"/>
      <c r="P53" s="481"/>
      <c r="Q53" s="679"/>
    </row>
    <row r="54" spans="1:19" s="922" customFormat="1" ht="17.100000000000001" customHeight="1">
      <c r="A54" s="874"/>
      <c r="B54" s="1348"/>
      <c r="C54" s="675" t="str">
        <f>Texte!A2451</f>
        <v>- ständige Behirtung</v>
      </c>
      <c r="D54" s="679"/>
      <c r="E54" s="679"/>
      <c r="F54" s="679"/>
      <c r="G54" s="679"/>
      <c r="H54" s="679"/>
      <c r="I54" s="1340"/>
      <c r="J54" s="679"/>
      <c r="K54" s="1906"/>
      <c r="L54" s="1362" t="s">
        <v>1045</v>
      </c>
      <c r="M54" s="557">
        <f>IF(Allg!Erntejahr&gt;2023,400,500)</f>
        <v>400</v>
      </c>
      <c r="N54" s="1325" t="s">
        <v>4983</v>
      </c>
      <c r="O54" s="1915">
        <f>K54*M54</f>
        <v>0</v>
      </c>
      <c r="P54" s="481"/>
      <c r="Q54" s="679"/>
    </row>
    <row r="55" spans="1:19" s="922" customFormat="1" ht="17.100000000000001" customHeight="1">
      <c r="A55" s="874"/>
      <c r="B55" s="1337"/>
      <c r="C55" s="675" t="str">
        <f>Texte!A2452</f>
        <v>- Umtriebsweide</v>
      </c>
      <c r="D55" s="679"/>
      <c r="E55" s="679"/>
      <c r="F55" s="679"/>
      <c r="G55" s="679"/>
      <c r="H55" s="679"/>
      <c r="I55" s="1340"/>
      <c r="J55" s="679"/>
      <c r="K55" s="1906"/>
      <c r="L55" s="1362" t="s">
        <v>1045</v>
      </c>
      <c r="M55" s="557">
        <v>320</v>
      </c>
      <c r="N55" s="1325" t="s">
        <v>4983</v>
      </c>
      <c r="O55" s="1915">
        <f>K55*M55</f>
        <v>0</v>
      </c>
      <c r="P55" s="481"/>
      <c r="Q55" s="679"/>
    </row>
    <row r="56" spans="1:19" s="922" customFormat="1" ht="17.100000000000001" customHeight="1">
      <c r="A56" s="874"/>
      <c r="B56" s="1337"/>
      <c r="C56" s="675" t="str">
        <f>Texte!A2453</f>
        <v>- übrige Weiden</v>
      </c>
      <c r="D56" s="679"/>
      <c r="E56" s="679"/>
      <c r="F56" s="679"/>
      <c r="G56" s="679"/>
      <c r="H56" s="679"/>
      <c r="I56" s="1340"/>
      <c r="J56" s="679"/>
      <c r="K56" s="1906"/>
      <c r="L56" s="1362" t="s">
        <v>1045</v>
      </c>
      <c r="M56" s="557">
        <v>120</v>
      </c>
      <c r="N56" s="1325" t="s">
        <v>4983</v>
      </c>
      <c r="O56" s="1915">
        <f>K56*M56</f>
        <v>0</v>
      </c>
      <c r="P56" s="481"/>
      <c r="Q56" s="679"/>
    </row>
    <row r="57" spans="1:19" s="922" customFormat="1" ht="5.0999999999999996" customHeight="1">
      <c r="A57" s="874"/>
      <c r="B57" s="1337"/>
      <c r="C57" s="675"/>
      <c r="D57" s="679"/>
      <c r="E57" s="679"/>
      <c r="F57" s="679"/>
      <c r="G57" s="679"/>
      <c r="H57" s="679"/>
      <c r="I57" s="1340"/>
      <c r="J57" s="57"/>
      <c r="K57" s="296"/>
      <c r="L57" s="30"/>
      <c r="M57" s="552"/>
      <c r="N57" s="2"/>
      <c r="O57" s="558"/>
      <c r="P57" s="481"/>
      <c r="Q57" s="679"/>
    </row>
    <row r="58" spans="1:19" s="922" customFormat="1" ht="17.100000000000001" customHeight="1">
      <c r="A58" s="874"/>
      <c r="B58" s="1337"/>
      <c r="C58" s="675" t="str">
        <f>Texte!A2454</f>
        <v>Andere raufutterverzehrende Tiere, ohne Bisons und Hirsche</v>
      </c>
      <c r="D58" s="679"/>
      <c r="E58" s="679"/>
      <c r="F58" s="679"/>
      <c r="G58" s="679"/>
      <c r="H58" s="679"/>
      <c r="I58" s="1441" t="str">
        <f>Texte!A2448</f>
        <v>Normalbesatz*</v>
      </c>
      <c r="J58" s="679"/>
      <c r="K58" s="1906"/>
      <c r="L58" s="1362" t="s">
        <v>1045</v>
      </c>
      <c r="M58" s="557">
        <v>400</v>
      </c>
      <c r="N58" s="1325" t="s">
        <v>4983</v>
      </c>
      <c r="O58" s="1915">
        <f>K58*M58</f>
        <v>0</v>
      </c>
      <c r="P58" s="481"/>
      <c r="Q58" s="679"/>
    </row>
    <row r="59" spans="1:19" s="922" customFormat="1" ht="12.75" customHeight="1">
      <c r="A59" s="874"/>
      <c r="B59" s="1337"/>
      <c r="C59" s="675" t="str">
        <f>IF(Allg!Erntejahr&lt;2019,Texte!A2455,Texte!A2457)</f>
        <v>Zusatzbeitrag für Milchkühe, Milchschafe und Milchziegen</v>
      </c>
      <c r="D59" s="679"/>
      <c r="E59" s="679"/>
      <c r="F59" s="679"/>
      <c r="G59" s="679"/>
      <c r="H59" s="679"/>
      <c r="I59" s="1340"/>
      <c r="J59" s="679"/>
      <c r="K59" s="1342"/>
      <c r="L59" s="675"/>
      <c r="M59" s="1338"/>
      <c r="N59" s="1325"/>
      <c r="O59" s="1441"/>
      <c r="P59" s="481"/>
      <c r="Q59" s="679"/>
    </row>
    <row r="60" spans="1:19" s="922" customFormat="1" ht="16.5" customHeight="1">
      <c r="A60" s="874"/>
      <c r="B60" s="1337"/>
      <c r="C60" s="675" t="str">
        <f>IF(Allg!Erntejahr&lt;2019,Texte!A2456,Texte!A2458)</f>
        <v xml:space="preserve">  zusätzlich zu den Beiträgen oben</v>
      </c>
      <c r="D60" s="679"/>
      <c r="E60" s="679"/>
      <c r="F60" s="679"/>
      <c r="G60" s="679"/>
      <c r="H60" s="679"/>
      <c r="I60" s="1441" t="str">
        <f>IF(Allg!Erntejahr&lt;2019,"",Texte!A2435)</f>
        <v>effektive Bestossung</v>
      </c>
      <c r="J60" s="679"/>
      <c r="K60" s="1906"/>
      <c r="L60" s="1362" t="s">
        <v>1045</v>
      </c>
      <c r="M60" s="557">
        <f>IF(Allg!Erntejahr&lt;2019,400,40)</f>
        <v>40</v>
      </c>
      <c r="N60" s="1325" t="s">
        <v>4983</v>
      </c>
      <c r="O60" s="1915">
        <f>K60*M60</f>
        <v>0</v>
      </c>
      <c r="P60" s="481"/>
      <c r="Q60" s="679"/>
    </row>
    <row r="61" spans="1:19" s="922" customFormat="1" ht="5.0999999999999996" customHeight="1">
      <c r="A61" s="874"/>
      <c r="B61" s="1337"/>
      <c r="C61" s="675"/>
      <c r="D61" s="679"/>
      <c r="E61" s="679"/>
      <c r="F61" s="679"/>
      <c r="G61" s="679"/>
      <c r="H61" s="679"/>
      <c r="I61" s="1340"/>
      <c r="J61" s="57"/>
      <c r="K61" s="296"/>
      <c r="L61" s="30"/>
      <c r="M61" s="552"/>
      <c r="N61" s="2"/>
      <c r="O61" s="558"/>
      <c r="P61" s="481"/>
      <c r="Q61" s="679"/>
    </row>
    <row r="62" spans="1:19" s="922" customFormat="1" ht="16.5" customHeight="1">
      <c r="A62" s="874"/>
      <c r="B62" s="1337"/>
      <c r="C62" s="675" t="str">
        <f>Texte!A2459</f>
        <v>Zusatzbeitrag für die Umsetzung einzelbetrieblicher Herdenschutzmassnahmen</v>
      </c>
      <c r="D62" s="679"/>
      <c r="E62" s="679"/>
      <c r="F62" s="679"/>
      <c r="G62" s="679"/>
      <c r="H62" s="679"/>
      <c r="I62" s="1441"/>
      <c r="J62" s="679"/>
      <c r="K62" s="296"/>
      <c r="L62" s="1362"/>
      <c r="M62" s="558"/>
      <c r="N62" s="1325"/>
      <c r="O62" s="1441"/>
      <c r="P62" s="481"/>
      <c r="Q62" s="679"/>
    </row>
    <row r="63" spans="1:19" s="922" customFormat="1" ht="12.75" customHeight="1">
      <c r="A63" s="874"/>
      <c r="B63" s="1337"/>
      <c r="C63" s="675" t="str">
        <f>Texte!A2460</f>
        <v>Schafe (mit Ausnahme von Milchschafen) bei ständiger Behirtung oder Umtriebsweide</v>
      </c>
      <c r="D63" s="679"/>
      <c r="E63" s="679"/>
      <c r="F63" s="679"/>
      <c r="G63" s="679"/>
      <c r="H63" s="679"/>
      <c r="I63" s="1441"/>
      <c r="J63" s="679"/>
      <c r="K63" s="675"/>
      <c r="L63" s="1362"/>
      <c r="M63" s="558"/>
      <c r="N63" s="1325"/>
      <c r="O63" s="1441"/>
      <c r="P63" s="481"/>
      <c r="Q63" s="679"/>
    </row>
    <row r="64" spans="1:19" s="922" customFormat="1" ht="16.5" customHeight="1">
      <c r="A64" s="874"/>
      <c r="B64" s="1337"/>
      <c r="C64" s="675" t="str">
        <f>Texte!A2461</f>
        <v>Milchschafe, Ziegen, Tiere der Rindergattung und Wasserbüffel bis 365 Tage alt</v>
      </c>
      <c r="D64" s="679"/>
      <c r="E64" s="679"/>
      <c r="F64" s="679"/>
      <c r="G64" s="679"/>
      <c r="H64" s="679"/>
      <c r="I64" s="1441"/>
      <c r="J64" s="679"/>
      <c r="K64" s="1906"/>
      <c r="L64" s="1362" t="s">
        <v>1045</v>
      </c>
      <c r="M64" s="3324">
        <f>IF(Allg!Erntejahr&gt;2023,250,0)</f>
        <v>250</v>
      </c>
      <c r="N64" s="1325" t="s">
        <v>4983</v>
      </c>
      <c r="O64" s="1915">
        <f>K64*M64</f>
        <v>0</v>
      </c>
      <c r="P64" s="481"/>
      <c r="Q64" s="679"/>
    </row>
    <row r="65" spans="1:19" s="922" customFormat="1" ht="5.0999999999999996" customHeight="1">
      <c r="A65" s="874"/>
      <c r="B65" s="1337"/>
      <c r="C65" s="675"/>
      <c r="D65" s="679"/>
      <c r="E65" s="679"/>
      <c r="F65" s="679"/>
      <c r="G65" s="679"/>
      <c r="H65" s="679"/>
      <c r="I65" s="1340"/>
      <c r="J65" s="679"/>
      <c r="K65" s="296"/>
      <c r="L65" s="675"/>
      <c r="M65" s="1338"/>
      <c r="N65" s="675"/>
      <c r="O65" s="1441"/>
      <c r="P65" s="481"/>
      <c r="Q65" s="679"/>
    </row>
    <row r="66" spans="1:19" s="922" customFormat="1" ht="17.100000000000001" customHeight="1">
      <c r="A66" s="874"/>
      <c r="B66" s="1337"/>
      <c r="C66" s="1344"/>
      <c r="D66" s="679"/>
      <c r="E66" s="679"/>
      <c r="F66" s="679"/>
      <c r="G66" s="679"/>
      <c r="H66" s="679"/>
      <c r="I66" s="679"/>
      <c r="J66" s="679"/>
      <c r="K66" s="675"/>
      <c r="L66" s="675"/>
      <c r="M66" s="1441" t="str">
        <f>Texte!A2424</f>
        <v>Summe der Beiträge</v>
      </c>
      <c r="N66" s="1325" t="s">
        <v>4983</v>
      </c>
      <c r="O66" s="1912">
        <f>SUM(O54:O64)</f>
        <v>0</v>
      </c>
      <c r="P66" s="481"/>
      <c r="Q66" s="679"/>
    </row>
    <row r="67" spans="1:19" s="922" customFormat="1" ht="5.0999999999999996" customHeight="1">
      <c r="A67" s="874"/>
      <c r="B67" s="1337"/>
      <c r="C67" s="1344"/>
      <c r="D67" s="679"/>
      <c r="E67" s="679"/>
      <c r="F67" s="679"/>
      <c r="G67" s="679"/>
      <c r="H67" s="679"/>
      <c r="I67" s="679"/>
      <c r="J67" s="679"/>
      <c r="K67" s="675"/>
      <c r="L67" s="675"/>
      <c r="M67" s="1441"/>
      <c r="N67" s="1325"/>
      <c r="O67" s="1320"/>
      <c r="P67" s="481"/>
      <c r="Q67" s="679"/>
    </row>
    <row r="68" spans="1:19" s="922" customFormat="1" ht="17.100000000000001" customHeight="1">
      <c r="A68" s="874"/>
      <c r="B68" s="1337"/>
      <c r="C68" s="1469" t="str">
        <f>Texte!A2462</f>
        <v>* Die Beiträge werden auf der Basis des Normalbesatzes gerechnet, wenn der effektive Jahresbesatz zwischen 75 % und 110 % liegt</v>
      </c>
      <c r="D68" s="1470"/>
      <c r="E68" s="1470"/>
      <c r="F68" s="1470"/>
      <c r="G68" s="1470"/>
      <c r="H68" s="1470"/>
      <c r="I68" s="1470"/>
      <c r="J68" s="1470"/>
      <c r="K68" s="1470"/>
      <c r="L68" s="1470"/>
      <c r="M68" s="1470"/>
      <c r="N68" s="1349"/>
      <c r="O68" s="1911"/>
      <c r="P68" s="481"/>
      <c r="Q68" s="679"/>
    </row>
    <row r="69" spans="1:19" s="922" customFormat="1" ht="5.0999999999999996" customHeight="1">
      <c r="B69" s="684"/>
      <c r="C69" s="675"/>
      <c r="D69" s="675"/>
      <c r="E69" s="675"/>
      <c r="F69" s="675"/>
      <c r="G69" s="675"/>
      <c r="H69" s="679"/>
      <c r="I69" s="679"/>
      <c r="J69" s="679"/>
      <c r="K69" s="675"/>
      <c r="L69" s="675"/>
      <c r="M69" s="675"/>
      <c r="N69" s="675"/>
      <c r="O69" s="1338"/>
      <c r="P69" s="481"/>
      <c r="Q69" s="679"/>
      <c r="R69" s="679"/>
      <c r="S69" s="679"/>
    </row>
    <row r="70" spans="1:19" s="922" customFormat="1" ht="20.100000000000001" customHeight="1">
      <c r="B70" s="1383" t="str">
        <f>Texte!A2463</f>
        <v>Total Kulturlandschaftsbeiträge</v>
      </c>
      <c r="C70" s="675"/>
      <c r="D70" s="675"/>
      <c r="E70" s="675"/>
      <c r="F70" s="675"/>
      <c r="G70" s="675"/>
      <c r="H70" s="675"/>
      <c r="I70" s="675"/>
      <c r="J70" s="675"/>
      <c r="K70" s="675"/>
      <c r="L70" s="675"/>
      <c r="M70" s="675"/>
      <c r="N70" s="675"/>
      <c r="O70" s="1345">
        <f>O48+O66</f>
        <v>0</v>
      </c>
      <c r="P70" s="481"/>
      <c r="Q70" s="679"/>
      <c r="R70" s="679"/>
      <c r="S70" s="679"/>
    </row>
    <row r="71" spans="1:19" s="922" customFormat="1" ht="5.0999999999999996" customHeight="1">
      <c r="B71" s="1350"/>
      <c r="C71" s="1351"/>
      <c r="D71" s="1351"/>
      <c r="E71" s="1351"/>
      <c r="F71" s="1351"/>
      <c r="G71" s="1351"/>
      <c r="H71" s="1351"/>
      <c r="I71" s="1351"/>
      <c r="J71" s="1351"/>
      <c r="K71" s="1351"/>
      <c r="L71" s="1351"/>
      <c r="M71" s="1351"/>
      <c r="N71" s="1351"/>
      <c r="O71" s="1351"/>
      <c r="P71" s="556"/>
      <c r="Q71" s="679"/>
      <c r="R71" s="679"/>
      <c r="S71" s="679"/>
    </row>
    <row r="72" spans="1:19" s="922" customFormat="1" ht="5.0999999999999996" customHeight="1">
      <c r="B72" s="675"/>
      <c r="C72" s="675"/>
      <c r="D72" s="675"/>
      <c r="E72" s="675"/>
      <c r="F72" s="675"/>
      <c r="G72" s="675"/>
      <c r="H72" s="675"/>
      <c r="I72" s="675"/>
      <c r="J72" s="675"/>
      <c r="K72" s="675"/>
      <c r="L72" s="675"/>
      <c r="M72" s="675"/>
      <c r="N72" s="675"/>
      <c r="O72" s="675"/>
      <c r="P72" s="1"/>
      <c r="Q72" s="679"/>
      <c r="R72" s="679"/>
      <c r="S72" s="679"/>
    </row>
    <row r="73" spans="1:19" ht="12.75" customHeight="1">
      <c r="B73" s="1465" t="str">
        <f>Texte!A20</f>
        <v>Stand der Bestimmungen gültig ab 1.1.2025 oder 1.1.2026 oder 1.1.2027, gemäss den vorgeschlagenen Verordnungen des</v>
      </c>
      <c r="D73" s="675"/>
      <c r="E73" s="675"/>
      <c r="F73" s="675"/>
      <c r="G73" s="675"/>
      <c r="H73" s="675"/>
      <c r="I73" s="675"/>
      <c r="J73" s="675"/>
      <c r="K73" s="675"/>
      <c r="L73" s="675"/>
      <c r="M73" s="675"/>
      <c r="N73" s="675"/>
      <c r="O73" s="675"/>
      <c r="P73" s="675"/>
      <c r="Q73" s="675"/>
      <c r="R73" s="675"/>
      <c r="S73" s="675"/>
    </row>
    <row r="74" spans="1:19" ht="12.75" customHeight="1">
      <c r="B74" s="1465" t="str">
        <f>Texte!A18</f>
        <v xml:space="preserve">Bundesrates vor der Wintersession. Die Berechnung erfolgt für das im Blatt "Allg" eingestellte Jahr. </v>
      </c>
      <c r="D74" s="675"/>
      <c r="E74" s="675"/>
      <c r="F74" s="675"/>
      <c r="G74" s="675"/>
      <c r="H74" s="675"/>
      <c r="I74" s="675"/>
      <c r="J74" s="675"/>
      <c r="K74" s="675"/>
      <c r="L74" s="675"/>
      <c r="M74" s="675"/>
      <c r="N74" s="675"/>
      <c r="O74" s="675"/>
      <c r="P74" s="675"/>
      <c r="Q74" s="675"/>
      <c r="R74" s="675"/>
      <c r="S74" s="675"/>
    </row>
    <row r="75" spans="1:19" s="692" customFormat="1" ht="12.75" customHeight="1">
      <c r="B75" s="1465" t="str">
        <f>Texte!A22</f>
        <v>AGRIDEA lehnt jede Haftung und Gewährleistung ab, die aus Berechnungen mit diesem Instrument abgeleitet werden.</v>
      </c>
      <c r="C75" s="1465"/>
      <c r="D75" s="872"/>
      <c r="E75" s="872"/>
      <c r="F75" s="872"/>
      <c r="G75" s="872"/>
      <c r="H75" s="872"/>
      <c r="I75" s="872"/>
      <c r="J75" s="872"/>
      <c r="K75" s="872"/>
      <c r="L75" s="872"/>
      <c r="M75" s="872"/>
      <c r="N75" s="872"/>
      <c r="O75" s="872"/>
      <c r="P75" s="872"/>
      <c r="Q75" s="675"/>
      <c r="R75" s="675"/>
      <c r="S75" s="675"/>
    </row>
    <row r="76" spans="1:19" ht="17.100000000000001" customHeight="1">
      <c r="Q76" s="675"/>
      <c r="R76" s="675"/>
      <c r="S76" s="675"/>
    </row>
    <row r="77" spans="1:19" s="922" customFormat="1" ht="17.100000000000001" customHeight="1">
      <c r="B77" s="872"/>
      <c r="C77" s="872"/>
      <c r="D77" s="872"/>
      <c r="E77" s="872"/>
      <c r="F77" s="872"/>
      <c r="G77" s="872"/>
      <c r="H77" s="872"/>
      <c r="I77" s="872"/>
      <c r="J77" s="872"/>
      <c r="K77" s="872"/>
      <c r="L77" s="872"/>
      <c r="M77" s="872"/>
      <c r="N77" s="872"/>
      <c r="O77" s="872"/>
      <c r="P77" s="872"/>
      <c r="Q77" s="679"/>
      <c r="R77" s="679"/>
      <c r="S77" s="679"/>
    </row>
    <row r="78" spans="1:19" s="922" customFormat="1" ht="17.100000000000001" customHeight="1">
      <c r="B78" s="872"/>
      <c r="C78" s="872"/>
      <c r="D78" s="872"/>
      <c r="E78" s="872"/>
      <c r="F78" s="872"/>
      <c r="G78" s="872"/>
      <c r="H78" s="872"/>
      <c r="I78" s="872"/>
      <c r="J78" s="872"/>
      <c r="K78" s="872"/>
      <c r="L78" s="872"/>
      <c r="M78" s="872"/>
      <c r="N78" s="872"/>
      <c r="O78" s="872"/>
      <c r="P78" s="872"/>
      <c r="Q78" s="679"/>
      <c r="R78" s="679"/>
      <c r="S78" s="679"/>
    </row>
    <row r="79" spans="1:19" s="922" customFormat="1" ht="17.100000000000001" customHeight="1">
      <c r="B79" s="872"/>
      <c r="C79" s="872"/>
      <c r="D79" s="872"/>
      <c r="E79" s="872"/>
      <c r="F79" s="872"/>
      <c r="G79" s="872"/>
      <c r="H79" s="872"/>
      <c r="I79" s="872"/>
      <c r="J79" s="872"/>
      <c r="K79" s="872"/>
      <c r="L79" s="872"/>
      <c r="M79" s="872"/>
      <c r="N79" s="872"/>
      <c r="O79" s="872"/>
      <c r="P79" s="872"/>
      <c r="Q79" s="679"/>
      <c r="R79" s="679"/>
      <c r="S79" s="679"/>
    </row>
    <row r="80" spans="1:19" s="922" customFormat="1" ht="17.100000000000001" customHeight="1">
      <c r="B80" s="872"/>
      <c r="C80" s="872"/>
      <c r="D80" s="872"/>
      <c r="E80" s="872"/>
      <c r="F80" s="872"/>
      <c r="G80" s="872"/>
      <c r="H80" s="872"/>
      <c r="I80" s="872"/>
      <c r="J80" s="872"/>
      <c r="K80" s="872"/>
      <c r="L80" s="872"/>
      <c r="M80" s="872"/>
      <c r="N80" s="872"/>
      <c r="O80" s="872"/>
      <c r="P80" s="872"/>
      <c r="Q80" s="679"/>
      <c r="R80" s="679"/>
      <c r="S80" s="679"/>
    </row>
    <row r="81" spans="2:19" s="922" customFormat="1" ht="17.100000000000001" customHeight="1">
      <c r="B81" s="872"/>
      <c r="C81" s="872"/>
      <c r="D81" s="872"/>
      <c r="E81" s="872"/>
      <c r="F81" s="872"/>
      <c r="G81" s="872"/>
      <c r="H81" s="872"/>
      <c r="I81" s="872"/>
      <c r="J81" s="872"/>
      <c r="K81" s="872"/>
      <c r="L81" s="872"/>
      <c r="M81" s="872"/>
      <c r="N81" s="872"/>
      <c r="O81" s="872"/>
      <c r="P81" s="872"/>
      <c r="Q81" s="679"/>
      <c r="R81" s="679"/>
      <c r="S81" s="679"/>
    </row>
    <row r="82" spans="2:19" s="922" customFormat="1" ht="17.100000000000001" customHeight="1">
      <c r="B82" s="872"/>
      <c r="C82" s="872"/>
      <c r="D82" s="872"/>
      <c r="E82" s="872"/>
      <c r="F82" s="872"/>
      <c r="G82" s="872"/>
      <c r="H82" s="872"/>
      <c r="I82" s="872"/>
      <c r="J82" s="872"/>
      <c r="K82" s="872"/>
      <c r="L82" s="872"/>
      <c r="M82" s="872"/>
      <c r="N82" s="872"/>
      <c r="O82" s="872"/>
      <c r="P82" s="872"/>
      <c r="Q82" s="679"/>
      <c r="R82" s="679"/>
      <c r="S82" s="679"/>
    </row>
    <row r="83" spans="2:19" s="922" customFormat="1" ht="17.100000000000001" customHeight="1">
      <c r="B83" s="872"/>
      <c r="C83" s="872"/>
      <c r="D83" s="872"/>
      <c r="E83" s="872"/>
      <c r="F83" s="872"/>
      <c r="G83" s="872"/>
      <c r="H83" s="872"/>
      <c r="I83" s="872"/>
      <c r="J83" s="872"/>
      <c r="K83" s="872"/>
      <c r="L83" s="872"/>
      <c r="M83" s="872"/>
      <c r="N83" s="872"/>
      <c r="O83" s="872"/>
      <c r="P83" s="872"/>
      <c r="Q83" s="679"/>
      <c r="R83" s="679"/>
      <c r="S83" s="679"/>
    </row>
    <row r="84" spans="2:19" s="922" customFormat="1" ht="17.100000000000001" customHeight="1">
      <c r="B84" s="872"/>
      <c r="C84" s="872"/>
      <c r="D84" s="872"/>
      <c r="E84" s="872"/>
      <c r="F84" s="872"/>
      <c r="G84" s="872"/>
      <c r="H84" s="872"/>
      <c r="I84" s="872"/>
      <c r="J84" s="872"/>
      <c r="K84" s="872"/>
      <c r="L84" s="872"/>
      <c r="M84" s="872"/>
      <c r="N84" s="872"/>
      <c r="O84" s="872"/>
      <c r="P84" s="872"/>
      <c r="Q84" s="679"/>
      <c r="R84" s="679"/>
      <c r="S84" s="679"/>
    </row>
    <row r="85" spans="2:19" s="922" customFormat="1" ht="17.100000000000001" customHeight="1">
      <c r="B85" s="872"/>
      <c r="C85" s="872"/>
      <c r="D85" s="872"/>
      <c r="E85" s="872"/>
      <c r="F85" s="872"/>
      <c r="G85" s="872"/>
      <c r="H85" s="872"/>
      <c r="I85" s="872"/>
      <c r="J85" s="872"/>
      <c r="K85" s="872"/>
      <c r="L85" s="872"/>
      <c r="M85" s="872"/>
      <c r="N85" s="872"/>
      <c r="O85" s="872"/>
      <c r="P85" s="872"/>
      <c r="Q85" s="679"/>
      <c r="R85" s="679"/>
      <c r="S85" s="679"/>
    </row>
    <row r="86" spans="2:19" s="922" customFormat="1" ht="17.100000000000001" customHeight="1">
      <c r="B86" s="872"/>
      <c r="C86" s="872"/>
      <c r="D86" s="872"/>
      <c r="E86" s="872"/>
      <c r="F86" s="872"/>
      <c r="G86" s="872"/>
      <c r="H86" s="872"/>
      <c r="I86" s="872"/>
      <c r="J86" s="872"/>
      <c r="K86" s="872"/>
      <c r="L86" s="872"/>
      <c r="M86" s="872"/>
      <c r="N86" s="872"/>
      <c r="O86" s="872"/>
      <c r="P86" s="872"/>
      <c r="Q86" s="679"/>
      <c r="R86" s="679"/>
      <c r="S86" s="679"/>
    </row>
    <row r="87" spans="2:19" s="922" customFormat="1" ht="17.100000000000001" customHeight="1">
      <c r="B87" s="872"/>
      <c r="C87" s="872"/>
      <c r="D87" s="872"/>
      <c r="E87" s="872"/>
      <c r="F87" s="872"/>
      <c r="G87" s="872"/>
      <c r="H87" s="872"/>
      <c r="I87" s="872"/>
      <c r="J87" s="872"/>
      <c r="K87" s="872"/>
      <c r="L87" s="872"/>
      <c r="M87" s="872"/>
      <c r="N87" s="872"/>
      <c r="O87" s="872"/>
      <c r="P87" s="872"/>
      <c r="Q87" s="679"/>
      <c r="R87" s="679"/>
      <c r="S87" s="679"/>
    </row>
    <row r="88" spans="2:19" s="922" customFormat="1" ht="17.100000000000001" customHeight="1">
      <c r="B88" s="872"/>
      <c r="C88" s="872"/>
      <c r="D88" s="872"/>
      <c r="E88" s="872"/>
      <c r="F88" s="872"/>
      <c r="G88" s="872"/>
      <c r="H88" s="872"/>
      <c r="I88" s="872"/>
      <c r="J88" s="872"/>
      <c r="K88" s="872"/>
      <c r="L88" s="872"/>
      <c r="M88" s="872"/>
      <c r="N88" s="872"/>
      <c r="O88" s="872"/>
      <c r="P88" s="872"/>
      <c r="Q88" s="679"/>
      <c r="R88" s="679"/>
      <c r="S88" s="679"/>
    </row>
    <row r="89" spans="2:19" s="922" customFormat="1" ht="17.100000000000001" customHeight="1">
      <c r="B89" s="872"/>
      <c r="C89" s="872"/>
      <c r="D89" s="872"/>
      <c r="E89" s="872"/>
      <c r="F89" s="872"/>
      <c r="G89" s="872"/>
      <c r="H89" s="872"/>
      <c r="I89" s="872"/>
      <c r="J89" s="872"/>
      <c r="K89" s="872"/>
      <c r="L89" s="872"/>
      <c r="M89" s="872"/>
      <c r="N89" s="872"/>
      <c r="O89" s="872"/>
      <c r="P89" s="872"/>
      <c r="Q89" s="679"/>
      <c r="R89" s="679"/>
      <c r="S89" s="679"/>
    </row>
    <row r="90" spans="2:19" s="922" customFormat="1" ht="17.100000000000001" customHeight="1">
      <c r="B90" s="872"/>
      <c r="C90" s="872"/>
      <c r="D90" s="872"/>
      <c r="E90" s="872"/>
      <c r="F90" s="872"/>
      <c r="G90" s="872"/>
      <c r="H90" s="872"/>
      <c r="I90" s="872"/>
      <c r="J90" s="872"/>
      <c r="K90" s="872"/>
      <c r="L90" s="872"/>
      <c r="M90" s="872"/>
      <c r="N90" s="872"/>
      <c r="O90" s="872"/>
      <c r="P90" s="872"/>
      <c r="Q90" s="679"/>
      <c r="R90" s="679"/>
      <c r="S90" s="679"/>
    </row>
    <row r="91" spans="2:19" s="922" customFormat="1" ht="17.100000000000001" customHeight="1">
      <c r="B91" s="872"/>
      <c r="C91" s="872"/>
      <c r="D91" s="872"/>
      <c r="E91" s="872"/>
      <c r="F91" s="872"/>
      <c r="G91" s="872"/>
      <c r="H91" s="872"/>
      <c r="I91" s="872"/>
      <c r="J91" s="872"/>
      <c r="K91" s="872"/>
      <c r="L91" s="872"/>
      <c r="M91" s="872"/>
      <c r="N91" s="872"/>
      <c r="O91" s="872"/>
      <c r="P91" s="872"/>
      <c r="Q91" s="679"/>
      <c r="R91" s="679"/>
      <c r="S91" s="679"/>
    </row>
    <row r="92" spans="2:19" s="922" customFormat="1" ht="17.100000000000001" customHeight="1">
      <c r="B92" s="872"/>
      <c r="C92" s="872"/>
      <c r="D92" s="872"/>
      <c r="E92" s="872"/>
      <c r="F92" s="872"/>
      <c r="G92" s="872"/>
      <c r="H92" s="872"/>
      <c r="I92" s="872"/>
      <c r="J92" s="872"/>
      <c r="K92" s="872"/>
      <c r="L92" s="872"/>
      <c r="M92" s="872"/>
      <c r="N92" s="872"/>
      <c r="O92" s="872"/>
      <c r="P92" s="872"/>
      <c r="Q92" s="679"/>
      <c r="R92" s="679"/>
      <c r="S92" s="679"/>
    </row>
    <row r="93" spans="2:19" s="922" customFormat="1" ht="17.100000000000001" customHeight="1">
      <c r="B93" s="872"/>
      <c r="C93" s="872"/>
      <c r="D93" s="872"/>
      <c r="E93" s="872"/>
      <c r="F93" s="872"/>
      <c r="G93" s="872"/>
      <c r="H93" s="872"/>
      <c r="I93" s="872"/>
      <c r="J93" s="872"/>
      <c r="K93" s="872"/>
      <c r="L93" s="872"/>
      <c r="M93" s="872"/>
      <c r="N93" s="872"/>
      <c r="O93" s="872"/>
      <c r="P93" s="872"/>
      <c r="Q93" s="679"/>
      <c r="R93" s="679"/>
      <c r="S93" s="679"/>
    </row>
    <row r="94" spans="2:19" s="922" customFormat="1" ht="17.100000000000001" customHeight="1">
      <c r="B94" s="679"/>
      <c r="C94" s="679"/>
      <c r="D94" s="679"/>
      <c r="E94" s="679"/>
      <c r="F94" s="679"/>
      <c r="G94" s="679"/>
      <c r="H94" s="679"/>
      <c r="I94" s="679"/>
      <c r="J94" s="679"/>
      <c r="K94" s="679"/>
      <c r="L94" s="679"/>
      <c r="M94" s="679"/>
      <c r="N94" s="679"/>
      <c r="O94" s="679"/>
      <c r="P94" s="679"/>
      <c r="Q94" s="679"/>
      <c r="R94" s="679"/>
      <c r="S94" s="679"/>
    </row>
    <row r="95" spans="2:19" s="922" customFormat="1" ht="14.1" customHeight="1">
      <c r="B95" s="679"/>
      <c r="C95" s="679"/>
      <c r="D95" s="679"/>
      <c r="E95" s="679"/>
      <c r="F95" s="679"/>
      <c r="G95" s="679"/>
      <c r="H95" s="679"/>
      <c r="I95" s="679"/>
      <c r="J95" s="679"/>
      <c r="K95" s="679"/>
      <c r="L95" s="679"/>
      <c r="M95" s="679"/>
      <c r="N95" s="679"/>
      <c r="O95" s="679"/>
      <c r="P95" s="679"/>
      <c r="Q95" s="679"/>
      <c r="R95" s="679"/>
      <c r="S95" s="679"/>
    </row>
    <row r="96" spans="2:19" ht="14.1" customHeight="1">
      <c r="B96" s="675"/>
      <c r="C96" s="675"/>
      <c r="D96" s="675"/>
      <c r="E96" s="675"/>
      <c r="F96" s="675"/>
      <c r="G96" s="675"/>
      <c r="H96" s="675"/>
      <c r="I96" s="675"/>
      <c r="J96" s="675"/>
      <c r="K96" s="675"/>
      <c r="L96" s="675"/>
      <c r="M96" s="675"/>
      <c r="N96" s="675"/>
      <c r="O96" s="675"/>
      <c r="P96" s="675"/>
      <c r="Q96" s="675"/>
      <c r="R96" s="675"/>
      <c r="S96" s="675"/>
    </row>
    <row r="97" spans="2:19" ht="14.1" customHeight="1">
      <c r="B97" s="675"/>
      <c r="C97" s="675"/>
      <c r="D97" s="675"/>
      <c r="E97" s="675"/>
      <c r="F97" s="675"/>
      <c r="G97" s="675"/>
      <c r="H97" s="675"/>
      <c r="I97" s="675"/>
      <c r="J97" s="675"/>
      <c r="K97" s="675"/>
      <c r="L97" s="675"/>
      <c r="M97" s="675"/>
      <c r="N97" s="675"/>
      <c r="O97" s="675"/>
      <c r="P97" s="675"/>
      <c r="Q97" s="675"/>
      <c r="R97" s="675"/>
      <c r="S97" s="675"/>
    </row>
    <row r="98" spans="2:19" ht="14.1" customHeight="1">
      <c r="B98" s="675"/>
      <c r="C98" s="675"/>
      <c r="D98" s="675"/>
      <c r="E98" s="675"/>
      <c r="F98" s="675"/>
      <c r="G98" s="675"/>
      <c r="H98" s="675"/>
      <c r="I98" s="675"/>
      <c r="J98" s="675"/>
      <c r="K98" s="675"/>
      <c r="L98" s="675"/>
      <c r="M98" s="675"/>
      <c r="N98" s="675"/>
      <c r="O98" s="675"/>
      <c r="P98" s="675"/>
      <c r="Q98" s="675"/>
      <c r="R98" s="675"/>
      <c r="S98" s="675"/>
    </row>
    <row r="99" spans="2:19" ht="14.1" customHeight="1">
      <c r="B99" s="675"/>
      <c r="C99" s="675"/>
      <c r="D99" s="675"/>
      <c r="E99" s="675"/>
      <c r="F99" s="675"/>
      <c r="G99" s="675"/>
      <c r="H99" s="675"/>
      <c r="I99" s="675"/>
      <c r="J99" s="675"/>
      <c r="K99" s="675"/>
      <c r="L99" s="675"/>
      <c r="M99" s="675"/>
      <c r="N99" s="675"/>
      <c r="O99" s="675"/>
      <c r="P99" s="675"/>
      <c r="Q99" s="675"/>
      <c r="R99" s="675"/>
      <c r="S99" s="675"/>
    </row>
    <row r="100" spans="2:19" ht="14.1" customHeight="1">
      <c r="B100" s="675"/>
      <c r="C100" s="675"/>
      <c r="D100" s="675"/>
      <c r="E100" s="675"/>
      <c r="F100" s="675"/>
      <c r="G100" s="675"/>
      <c r="H100" s="675"/>
      <c r="I100" s="675"/>
      <c r="J100" s="675"/>
      <c r="K100" s="675"/>
      <c r="L100" s="675"/>
      <c r="M100" s="675"/>
      <c r="N100" s="675"/>
      <c r="O100" s="675"/>
      <c r="P100" s="675"/>
      <c r="Q100" s="675"/>
      <c r="R100" s="675"/>
      <c r="S100" s="675"/>
    </row>
    <row r="101" spans="2:19" ht="14.1" customHeight="1">
      <c r="B101" s="675"/>
      <c r="C101" s="675"/>
      <c r="D101" s="675"/>
      <c r="E101" s="675"/>
      <c r="F101" s="675"/>
      <c r="G101" s="675"/>
      <c r="H101" s="675"/>
      <c r="I101" s="675"/>
      <c r="J101" s="675"/>
      <c r="K101" s="675"/>
      <c r="L101" s="675"/>
      <c r="M101" s="675"/>
      <c r="N101" s="675"/>
      <c r="O101" s="675"/>
      <c r="P101" s="675"/>
      <c r="Q101" s="675"/>
      <c r="R101" s="675"/>
      <c r="S101" s="675"/>
    </row>
    <row r="102" spans="2:19" ht="14.1" customHeight="1">
      <c r="B102" s="675"/>
      <c r="C102" s="675"/>
      <c r="D102" s="675"/>
      <c r="E102" s="675"/>
      <c r="F102" s="675"/>
      <c r="G102" s="675"/>
      <c r="H102" s="675"/>
      <c r="I102" s="675"/>
      <c r="J102" s="675"/>
      <c r="K102" s="675"/>
      <c r="L102" s="675"/>
      <c r="M102" s="675"/>
      <c r="N102" s="675"/>
      <c r="O102" s="675"/>
      <c r="P102" s="675"/>
      <c r="Q102" s="675"/>
      <c r="R102" s="675"/>
      <c r="S102" s="675"/>
    </row>
    <row r="103" spans="2:19" ht="14.1" customHeight="1">
      <c r="B103" s="675"/>
      <c r="C103" s="675"/>
      <c r="D103" s="675"/>
      <c r="E103" s="675"/>
      <c r="F103" s="675"/>
      <c r="G103" s="675"/>
      <c r="H103" s="675"/>
      <c r="I103" s="675"/>
      <c r="J103" s="675"/>
      <c r="K103" s="675"/>
      <c r="L103" s="675"/>
      <c r="M103" s="675"/>
      <c r="N103" s="675"/>
      <c r="O103" s="675"/>
      <c r="P103" s="675"/>
      <c r="Q103" s="675"/>
      <c r="R103" s="675"/>
      <c r="S103" s="675"/>
    </row>
    <row r="104" spans="2:19" ht="14.1" customHeight="1">
      <c r="B104" s="675"/>
      <c r="C104" s="675"/>
      <c r="D104" s="675"/>
      <c r="E104" s="675"/>
      <c r="F104" s="675"/>
      <c r="G104" s="675"/>
      <c r="H104" s="675"/>
      <c r="I104" s="675"/>
      <c r="J104" s="675"/>
      <c r="K104" s="675"/>
      <c r="L104" s="675"/>
      <c r="M104" s="675"/>
      <c r="N104" s="675"/>
      <c r="O104" s="675"/>
      <c r="P104" s="675"/>
      <c r="Q104" s="675"/>
      <c r="R104" s="675"/>
      <c r="S104" s="675"/>
    </row>
    <row r="105" spans="2:19" ht="14.1" customHeight="1">
      <c r="B105" s="675"/>
      <c r="C105" s="675"/>
      <c r="D105" s="675"/>
      <c r="E105" s="675"/>
      <c r="F105" s="675"/>
      <c r="G105" s="675"/>
      <c r="H105" s="675"/>
      <c r="I105" s="675"/>
      <c r="J105" s="675"/>
      <c r="K105" s="675"/>
      <c r="L105" s="675"/>
      <c r="M105" s="675"/>
      <c r="N105" s="675"/>
      <c r="O105" s="675"/>
      <c r="P105" s="675"/>
      <c r="Q105" s="675"/>
      <c r="R105" s="675"/>
      <c r="S105" s="675"/>
    </row>
    <row r="106" spans="2:19" ht="14.1" customHeight="1">
      <c r="B106" s="675"/>
      <c r="C106" s="675"/>
      <c r="D106" s="675"/>
      <c r="E106" s="675"/>
      <c r="F106" s="675"/>
      <c r="G106" s="675"/>
      <c r="H106" s="675"/>
      <c r="I106" s="675"/>
      <c r="J106" s="675"/>
      <c r="K106" s="675"/>
      <c r="L106" s="675"/>
      <c r="M106" s="675"/>
      <c r="N106" s="675"/>
      <c r="O106" s="675"/>
      <c r="P106" s="675"/>
      <c r="Q106" s="675"/>
      <c r="R106" s="675"/>
      <c r="S106" s="675"/>
    </row>
    <row r="107" spans="2:19" ht="14.1" customHeight="1">
      <c r="B107" s="675"/>
      <c r="C107" s="675"/>
      <c r="D107" s="675"/>
      <c r="E107" s="675"/>
      <c r="F107" s="675"/>
      <c r="G107" s="675"/>
      <c r="H107" s="675"/>
      <c r="I107" s="675"/>
      <c r="J107" s="675"/>
      <c r="K107" s="675"/>
      <c r="L107" s="675"/>
      <c r="M107" s="675"/>
      <c r="N107" s="675"/>
      <c r="O107" s="675"/>
      <c r="P107" s="675"/>
      <c r="Q107" s="675"/>
      <c r="R107" s="675"/>
      <c r="S107" s="675"/>
    </row>
    <row r="108" spans="2:19" ht="14.1" customHeight="1">
      <c r="B108" s="675"/>
      <c r="C108" s="675"/>
      <c r="D108" s="675"/>
      <c r="E108" s="675"/>
      <c r="F108" s="675"/>
      <c r="G108" s="675"/>
      <c r="H108" s="675"/>
      <c r="I108" s="675"/>
      <c r="J108" s="675"/>
      <c r="K108" s="675"/>
      <c r="L108" s="675"/>
      <c r="M108" s="675"/>
      <c r="N108" s="675"/>
      <c r="O108" s="675"/>
      <c r="P108" s="675"/>
      <c r="Q108" s="675"/>
      <c r="R108" s="675"/>
      <c r="S108" s="675"/>
    </row>
    <row r="109" spans="2:19" ht="14.1" customHeight="1">
      <c r="B109" s="675"/>
      <c r="C109" s="675"/>
      <c r="D109" s="675"/>
      <c r="E109" s="675"/>
      <c r="F109" s="675"/>
      <c r="G109" s="675"/>
      <c r="H109" s="675"/>
      <c r="I109" s="675"/>
      <c r="J109" s="675"/>
      <c r="K109" s="675"/>
      <c r="L109" s="675"/>
      <c r="M109" s="675"/>
      <c r="N109" s="675"/>
      <c r="O109" s="675"/>
      <c r="P109" s="675"/>
      <c r="Q109" s="675"/>
      <c r="R109" s="675"/>
      <c r="S109" s="675"/>
    </row>
    <row r="110" spans="2:19" ht="14.1" customHeight="1">
      <c r="B110" s="675"/>
      <c r="C110" s="675"/>
      <c r="D110" s="675"/>
      <c r="E110" s="675"/>
      <c r="F110" s="675"/>
      <c r="G110" s="675"/>
      <c r="H110" s="675"/>
      <c r="I110" s="675"/>
      <c r="J110" s="675"/>
      <c r="K110" s="675"/>
      <c r="L110" s="675"/>
      <c r="M110" s="675"/>
      <c r="N110" s="675"/>
      <c r="O110" s="675"/>
      <c r="P110" s="675"/>
      <c r="Q110" s="675"/>
      <c r="R110" s="675"/>
      <c r="S110" s="675"/>
    </row>
    <row r="111" spans="2:19" ht="14.1" customHeight="1">
      <c r="B111" s="675"/>
      <c r="C111" s="675"/>
      <c r="D111" s="675"/>
      <c r="E111" s="675"/>
      <c r="F111" s="675"/>
      <c r="G111" s="675"/>
      <c r="H111" s="675"/>
      <c r="I111" s="675"/>
      <c r="J111" s="675"/>
      <c r="K111" s="675"/>
      <c r="L111" s="675"/>
      <c r="M111" s="675"/>
      <c r="N111" s="675"/>
      <c r="O111" s="675"/>
      <c r="P111" s="675"/>
      <c r="Q111" s="675"/>
      <c r="R111" s="675"/>
      <c r="S111" s="675"/>
    </row>
    <row r="112" spans="2:19" ht="14.1" customHeight="1">
      <c r="B112" s="675"/>
      <c r="C112" s="675"/>
      <c r="D112" s="675"/>
      <c r="E112" s="675"/>
      <c r="F112" s="675"/>
      <c r="G112" s="675"/>
      <c r="H112" s="675"/>
      <c r="I112" s="675"/>
      <c r="J112" s="675"/>
      <c r="K112" s="675"/>
      <c r="L112" s="675"/>
      <c r="M112" s="675"/>
      <c r="N112" s="675"/>
      <c r="O112" s="675"/>
      <c r="P112" s="675"/>
      <c r="Q112" s="675"/>
      <c r="R112" s="675"/>
      <c r="S112" s="675"/>
    </row>
    <row r="113" spans="2:19" ht="14.1" customHeight="1">
      <c r="B113" s="675"/>
      <c r="C113" s="675"/>
      <c r="D113" s="675"/>
      <c r="E113" s="675"/>
      <c r="F113" s="675"/>
      <c r="G113" s="675"/>
      <c r="H113" s="675"/>
      <c r="I113" s="675"/>
      <c r="J113" s="675"/>
      <c r="K113" s="675"/>
      <c r="L113" s="675"/>
      <c r="M113" s="675"/>
      <c r="N113" s="675"/>
      <c r="O113" s="675"/>
      <c r="P113" s="675"/>
      <c r="Q113" s="675"/>
      <c r="R113" s="675"/>
      <c r="S113" s="675"/>
    </row>
    <row r="114" spans="2:19" ht="14.1" customHeight="1">
      <c r="B114" s="675"/>
      <c r="C114" s="675"/>
      <c r="D114" s="675"/>
      <c r="E114" s="675"/>
      <c r="F114" s="675"/>
      <c r="G114" s="675"/>
      <c r="H114" s="675"/>
      <c r="I114" s="675"/>
      <c r="J114" s="675"/>
      <c r="K114" s="675"/>
      <c r="L114" s="675"/>
      <c r="M114" s="675"/>
      <c r="N114" s="675"/>
      <c r="O114" s="675"/>
      <c r="P114" s="675"/>
      <c r="Q114" s="675"/>
      <c r="R114" s="675"/>
      <c r="S114" s="675"/>
    </row>
    <row r="115" spans="2:19" ht="14.1" customHeight="1">
      <c r="B115" s="675"/>
      <c r="C115" s="675"/>
      <c r="D115" s="675"/>
      <c r="E115" s="675"/>
      <c r="F115" s="675"/>
      <c r="G115" s="675"/>
      <c r="H115" s="675"/>
      <c r="I115" s="675"/>
      <c r="J115" s="675"/>
      <c r="K115" s="675"/>
      <c r="L115" s="675"/>
      <c r="M115" s="675"/>
      <c r="N115" s="675"/>
      <c r="O115" s="675"/>
      <c r="P115" s="675"/>
      <c r="Q115" s="675"/>
      <c r="R115" s="675"/>
      <c r="S115" s="675"/>
    </row>
    <row r="116" spans="2:19" ht="14.1" customHeight="1">
      <c r="B116" s="675"/>
      <c r="C116" s="675"/>
      <c r="D116" s="675"/>
      <c r="E116" s="675"/>
      <c r="F116" s="675"/>
      <c r="G116" s="675"/>
      <c r="H116" s="675"/>
      <c r="I116" s="675"/>
      <c r="J116" s="675"/>
      <c r="K116" s="675"/>
      <c r="L116" s="675"/>
      <c r="M116" s="675"/>
      <c r="N116" s="675"/>
      <c r="O116" s="675"/>
      <c r="P116" s="675"/>
      <c r="Q116" s="675"/>
      <c r="R116" s="675"/>
      <c r="S116" s="675"/>
    </row>
    <row r="117" spans="2:19" ht="14.1" customHeight="1">
      <c r="B117" s="675"/>
      <c r="C117" s="675"/>
      <c r="D117" s="675"/>
      <c r="E117" s="675"/>
      <c r="F117" s="675"/>
      <c r="G117" s="675"/>
      <c r="H117" s="675"/>
      <c r="I117" s="675"/>
      <c r="J117" s="675"/>
      <c r="K117" s="675"/>
      <c r="L117" s="675"/>
      <c r="M117" s="675"/>
      <c r="N117" s="675"/>
      <c r="O117" s="675"/>
      <c r="P117" s="675"/>
      <c r="Q117" s="675"/>
      <c r="R117" s="675"/>
      <c r="S117" s="675"/>
    </row>
    <row r="118" spans="2:19" ht="14.1" customHeight="1">
      <c r="B118" s="675"/>
      <c r="C118" s="675"/>
      <c r="D118" s="675"/>
      <c r="E118" s="675"/>
      <c r="F118" s="675"/>
      <c r="G118" s="675"/>
      <c r="H118" s="675"/>
      <c r="I118" s="675"/>
      <c r="J118" s="675"/>
      <c r="K118" s="675"/>
      <c r="L118" s="675"/>
      <c r="M118" s="675"/>
      <c r="N118" s="675"/>
      <c r="O118" s="675"/>
      <c r="P118" s="675"/>
      <c r="Q118" s="675"/>
      <c r="R118" s="675"/>
      <c r="S118" s="675"/>
    </row>
    <row r="119" spans="2:19" ht="14.1" customHeight="1">
      <c r="B119" s="675"/>
      <c r="C119" s="675"/>
      <c r="D119" s="675"/>
      <c r="E119" s="675"/>
      <c r="F119" s="675"/>
      <c r="G119" s="675"/>
      <c r="H119" s="675"/>
      <c r="I119" s="675"/>
      <c r="J119" s="675"/>
      <c r="K119" s="675"/>
      <c r="L119" s="675"/>
      <c r="M119" s="675"/>
      <c r="N119" s="675"/>
      <c r="O119" s="675"/>
      <c r="P119" s="675"/>
      <c r="Q119" s="675"/>
      <c r="R119" s="675"/>
      <c r="S119" s="675"/>
    </row>
    <row r="120" spans="2:19" ht="14.1" customHeight="1">
      <c r="B120" s="675"/>
      <c r="C120" s="675"/>
      <c r="D120" s="675"/>
      <c r="E120" s="675"/>
      <c r="F120" s="675"/>
      <c r="G120" s="675"/>
      <c r="H120" s="675"/>
      <c r="I120" s="675"/>
      <c r="J120" s="675"/>
      <c r="K120" s="675"/>
      <c r="L120" s="675"/>
      <c r="M120" s="675"/>
      <c r="N120" s="675"/>
      <c r="O120" s="675"/>
      <c r="P120" s="675"/>
      <c r="Q120" s="675"/>
      <c r="R120" s="675"/>
      <c r="S120" s="675"/>
    </row>
    <row r="121" spans="2:19" ht="14.1" customHeight="1">
      <c r="B121" s="675"/>
      <c r="C121" s="675"/>
      <c r="D121" s="675"/>
      <c r="E121" s="675"/>
      <c r="F121" s="675"/>
      <c r="G121" s="675"/>
      <c r="H121" s="675"/>
      <c r="I121" s="675"/>
      <c r="J121" s="675"/>
      <c r="K121" s="675"/>
      <c r="L121" s="675"/>
      <c r="M121" s="675"/>
      <c r="N121" s="675"/>
      <c r="O121" s="675"/>
      <c r="P121" s="675"/>
      <c r="Q121" s="675"/>
      <c r="R121" s="675"/>
      <c r="S121" s="675"/>
    </row>
    <row r="122" spans="2:19" ht="14.1" customHeight="1">
      <c r="B122" s="675"/>
      <c r="C122" s="675"/>
      <c r="D122" s="675"/>
      <c r="E122" s="675"/>
      <c r="F122" s="675"/>
      <c r="G122" s="675"/>
      <c r="H122" s="675"/>
      <c r="I122" s="675"/>
      <c r="J122" s="675"/>
      <c r="K122" s="675"/>
      <c r="L122" s="675"/>
      <c r="M122" s="675"/>
      <c r="N122" s="675"/>
      <c r="O122" s="675"/>
      <c r="P122" s="675"/>
      <c r="Q122" s="675"/>
      <c r="R122" s="675"/>
      <c r="S122" s="675"/>
    </row>
    <row r="123" spans="2:19" ht="14.1" customHeight="1">
      <c r="B123" s="675"/>
      <c r="C123" s="675"/>
      <c r="D123" s="675"/>
      <c r="E123" s="675"/>
      <c r="F123" s="675"/>
      <c r="G123" s="675"/>
      <c r="H123" s="675"/>
      <c r="I123" s="675"/>
      <c r="J123" s="675"/>
      <c r="K123" s="675"/>
      <c r="L123" s="675"/>
      <c r="M123" s="675"/>
      <c r="N123" s="675"/>
      <c r="O123" s="675"/>
      <c r="P123" s="675"/>
      <c r="Q123" s="675"/>
      <c r="R123" s="675"/>
      <c r="S123" s="675"/>
    </row>
    <row r="124" spans="2:19" ht="14.1" customHeight="1">
      <c r="B124" s="675"/>
      <c r="C124" s="675"/>
      <c r="D124" s="675"/>
      <c r="E124" s="675"/>
      <c r="F124" s="675"/>
      <c r="G124" s="675"/>
      <c r="H124" s="675"/>
      <c r="I124" s="675"/>
      <c r="J124" s="675"/>
      <c r="K124" s="675"/>
      <c r="L124" s="675"/>
      <c r="M124" s="675"/>
      <c r="N124" s="675"/>
      <c r="O124" s="675"/>
      <c r="P124" s="675"/>
      <c r="Q124" s="675"/>
      <c r="R124" s="675"/>
      <c r="S124" s="675"/>
    </row>
    <row r="125" spans="2:19" ht="14.1" customHeight="1">
      <c r="B125" s="675"/>
      <c r="C125" s="675"/>
      <c r="D125" s="675"/>
      <c r="E125" s="675"/>
      <c r="F125" s="675"/>
      <c r="G125" s="675"/>
      <c r="H125" s="675"/>
      <c r="I125" s="675"/>
      <c r="J125" s="675"/>
      <c r="K125" s="675"/>
      <c r="L125" s="675"/>
      <c r="M125" s="675"/>
      <c r="N125" s="675"/>
      <c r="O125" s="675"/>
      <c r="P125" s="675"/>
      <c r="Q125" s="675"/>
      <c r="R125" s="675"/>
      <c r="S125" s="675"/>
    </row>
    <row r="126" spans="2:19" ht="14.1" customHeight="1">
      <c r="B126" s="675"/>
      <c r="C126" s="675"/>
      <c r="D126" s="675"/>
      <c r="E126" s="675"/>
      <c r="F126" s="675"/>
      <c r="G126" s="675"/>
      <c r="H126" s="675"/>
      <c r="I126" s="675"/>
      <c r="J126" s="675"/>
      <c r="K126" s="675"/>
      <c r="L126" s="675"/>
      <c r="M126" s="675"/>
      <c r="N126" s="675"/>
      <c r="O126" s="675"/>
      <c r="P126" s="675"/>
      <c r="Q126" s="675"/>
      <c r="R126" s="675"/>
      <c r="S126" s="675"/>
    </row>
    <row r="127" spans="2:19" ht="14.1" customHeight="1">
      <c r="B127" s="675"/>
      <c r="C127" s="675"/>
      <c r="D127" s="675"/>
      <c r="E127" s="675"/>
      <c r="F127" s="675"/>
      <c r="G127" s="675"/>
      <c r="H127" s="675"/>
      <c r="I127" s="675"/>
      <c r="J127" s="675"/>
      <c r="K127" s="675"/>
      <c r="L127" s="675"/>
      <c r="M127" s="675"/>
      <c r="N127" s="675"/>
      <c r="O127" s="675"/>
      <c r="P127" s="675"/>
      <c r="Q127" s="675"/>
      <c r="R127" s="675"/>
      <c r="S127" s="675"/>
    </row>
    <row r="128" spans="2:19" ht="14.1" customHeight="1">
      <c r="B128" s="675"/>
      <c r="C128" s="675"/>
      <c r="D128" s="675"/>
      <c r="E128" s="675"/>
      <c r="F128" s="675"/>
      <c r="G128" s="675"/>
      <c r="H128" s="675"/>
      <c r="I128" s="675"/>
      <c r="J128" s="675"/>
      <c r="K128" s="675"/>
      <c r="L128" s="675"/>
      <c r="M128" s="675"/>
      <c r="N128" s="675"/>
      <c r="O128" s="675"/>
      <c r="P128" s="675"/>
      <c r="Q128" s="675"/>
      <c r="R128" s="675"/>
      <c r="S128" s="675"/>
    </row>
    <row r="129" spans="2:19" ht="14.1" customHeight="1">
      <c r="B129" s="675"/>
      <c r="C129" s="675"/>
      <c r="D129" s="675"/>
      <c r="E129" s="675"/>
      <c r="F129" s="675"/>
      <c r="G129" s="675"/>
      <c r="H129" s="675"/>
      <c r="I129" s="675"/>
      <c r="J129" s="675"/>
      <c r="K129" s="675"/>
      <c r="L129" s="675"/>
      <c r="M129" s="675"/>
      <c r="N129" s="675"/>
      <c r="O129" s="675"/>
      <c r="P129" s="675"/>
      <c r="Q129" s="675"/>
      <c r="R129" s="675"/>
      <c r="S129" s="675"/>
    </row>
    <row r="130" spans="2:19" ht="14.1" customHeight="1">
      <c r="B130" s="675"/>
      <c r="C130" s="675"/>
      <c r="D130" s="675"/>
      <c r="E130" s="675"/>
      <c r="F130" s="675"/>
      <c r="G130" s="675"/>
      <c r="H130" s="675"/>
      <c r="I130" s="675"/>
      <c r="J130" s="675"/>
      <c r="K130" s="675"/>
      <c r="L130" s="675"/>
      <c r="M130" s="675"/>
      <c r="N130" s="675"/>
      <c r="O130" s="675"/>
      <c r="P130" s="675"/>
      <c r="Q130" s="675"/>
      <c r="R130" s="675"/>
      <c r="S130" s="675"/>
    </row>
    <row r="131" spans="2:19" ht="14.1" customHeight="1">
      <c r="B131" s="675"/>
      <c r="C131" s="675"/>
      <c r="D131" s="675"/>
      <c r="E131" s="675"/>
      <c r="F131" s="675"/>
      <c r="G131" s="675"/>
      <c r="H131" s="675"/>
      <c r="I131" s="675"/>
      <c r="J131" s="675"/>
      <c r="K131" s="675"/>
      <c r="L131" s="675"/>
      <c r="M131" s="675"/>
      <c r="N131" s="675"/>
      <c r="O131" s="675"/>
      <c r="P131" s="675"/>
      <c r="Q131" s="675"/>
      <c r="R131" s="675"/>
      <c r="S131" s="675"/>
    </row>
    <row r="132" spans="2:19" ht="14.1" customHeight="1">
      <c r="B132" s="675"/>
      <c r="C132" s="675"/>
      <c r="D132" s="675"/>
      <c r="E132" s="675"/>
      <c r="F132" s="675"/>
      <c r="G132" s="675"/>
      <c r="H132" s="675"/>
      <c r="I132" s="675"/>
      <c r="J132" s="675"/>
      <c r="K132" s="675"/>
      <c r="L132" s="675"/>
      <c r="M132" s="675"/>
      <c r="N132" s="675"/>
      <c r="O132" s="675"/>
      <c r="P132" s="675"/>
      <c r="Q132" s="675"/>
      <c r="R132" s="675"/>
      <c r="S132" s="675"/>
    </row>
    <row r="133" spans="2:19" ht="14.1" customHeight="1">
      <c r="B133" s="675"/>
      <c r="C133" s="675"/>
      <c r="D133" s="675"/>
      <c r="E133" s="675"/>
      <c r="F133" s="675"/>
      <c r="G133" s="675"/>
      <c r="H133" s="675"/>
      <c r="I133" s="675"/>
      <c r="J133" s="675"/>
      <c r="K133" s="675"/>
      <c r="L133" s="675"/>
      <c r="M133" s="675"/>
      <c r="N133" s="675"/>
      <c r="O133" s="675"/>
      <c r="P133" s="675"/>
      <c r="Q133" s="675"/>
      <c r="R133" s="675"/>
      <c r="S133" s="675"/>
    </row>
    <row r="134" spans="2:19" ht="14.1" customHeight="1">
      <c r="B134" s="675"/>
      <c r="C134" s="675"/>
      <c r="D134" s="675"/>
      <c r="E134" s="675"/>
      <c r="F134" s="675"/>
      <c r="G134" s="675"/>
      <c r="H134" s="675"/>
      <c r="I134" s="675"/>
      <c r="J134" s="675"/>
      <c r="K134" s="675"/>
      <c r="L134" s="675"/>
      <c r="M134" s="675"/>
      <c r="N134" s="675"/>
      <c r="O134" s="675"/>
      <c r="P134" s="675"/>
      <c r="Q134" s="675"/>
      <c r="R134" s="675"/>
      <c r="S134" s="675"/>
    </row>
    <row r="135" spans="2:19" ht="14.1" customHeight="1">
      <c r="B135" s="675"/>
      <c r="C135" s="675"/>
      <c r="D135" s="675"/>
      <c r="E135" s="675"/>
      <c r="F135" s="675"/>
      <c r="G135" s="675"/>
      <c r="H135" s="675"/>
      <c r="I135" s="675"/>
      <c r="J135" s="675"/>
      <c r="K135" s="675"/>
      <c r="L135" s="675"/>
      <c r="M135" s="675"/>
      <c r="N135" s="675"/>
      <c r="O135" s="675"/>
      <c r="P135" s="675"/>
      <c r="Q135" s="675"/>
      <c r="R135" s="675"/>
      <c r="S135" s="675"/>
    </row>
    <row r="136" spans="2:19" ht="14.1" customHeight="1">
      <c r="B136" s="675"/>
      <c r="C136" s="675"/>
      <c r="D136" s="675"/>
      <c r="E136" s="675"/>
      <c r="F136" s="675"/>
      <c r="G136" s="675"/>
      <c r="H136" s="675"/>
      <c r="I136" s="675"/>
      <c r="J136" s="675"/>
      <c r="K136" s="675"/>
      <c r="L136" s="675"/>
      <c r="M136" s="675"/>
      <c r="N136" s="675"/>
      <c r="O136" s="675"/>
      <c r="P136" s="675"/>
      <c r="Q136" s="675"/>
      <c r="R136" s="675"/>
      <c r="S136" s="675"/>
    </row>
    <row r="137" spans="2:19" ht="14.1" customHeight="1">
      <c r="B137" s="675"/>
      <c r="C137" s="675"/>
      <c r="D137" s="675"/>
      <c r="E137" s="675"/>
      <c r="F137" s="675"/>
      <c r="G137" s="675"/>
      <c r="H137" s="675"/>
      <c r="I137" s="675"/>
      <c r="J137" s="675"/>
      <c r="K137" s="675"/>
      <c r="L137" s="675"/>
      <c r="M137" s="675"/>
      <c r="N137" s="675"/>
      <c r="O137" s="675"/>
      <c r="P137" s="675"/>
      <c r="Q137" s="675"/>
      <c r="R137" s="675"/>
      <c r="S137" s="675"/>
    </row>
    <row r="138" spans="2:19" ht="14.1" customHeight="1">
      <c r="B138" s="675"/>
      <c r="C138" s="675"/>
      <c r="D138" s="675"/>
      <c r="E138" s="675"/>
      <c r="F138" s="675"/>
      <c r="G138" s="675"/>
      <c r="H138" s="675"/>
      <c r="I138" s="675"/>
      <c r="J138" s="675"/>
      <c r="K138" s="675"/>
      <c r="L138" s="675"/>
      <c r="M138" s="675"/>
      <c r="N138" s="675"/>
      <c r="O138" s="675"/>
      <c r="P138" s="675"/>
      <c r="Q138" s="675"/>
      <c r="R138" s="675"/>
      <c r="S138" s="675"/>
    </row>
    <row r="139" spans="2:19" ht="14.1" customHeight="1">
      <c r="B139" s="675"/>
      <c r="C139" s="675"/>
      <c r="D139" s="675"/>
      <c r="E139" s="675"/>
      <c r="F139" s="675"/>
      <c r="G139" s="675"/>
      <c r="H139" s="675"/>
      <c r="I139" s="675"/>
      <c r="J139" s="675"/>
      <c r="K139" s="675"/>
      <c r="L139" s="675"/>
      <c r="M139" s="675"/>
      <c r="N139" s="675"/>
      <c r="O139" s="675"/>
      <c r="P139" s="675"/>
      <c r="Q139" s="675"/>
      <c r="R139" s="675"/>
      <c r="S139" s="675"/>
    </row>
    <row r="140" spans="2:19" ht="14.1" customHeight="1">
      <c r="B140" s="675"/>
      <c r="C140" s="675"/>
      <c r="D140" s="675"/>
      <c r="E140" s="675"/>
      <c r="F140" s="675"/>
      <c r="G140" s="675"/>
      <c r="H140" s="675"/>
      <c r="I140" s="675"/>
      <c r="J140" s="675"/>
      <c r="K140" s="675"/>
      <c r="L140" s="675"/>
      <c r="M140" s="675"/>
      <c r="N140" s="675"/>
      <c r="O140" s="675"/>
      <c r="P140" s="675"/>
      <c r="Q140" s="675"/>
      <c r="R140" s="675"/>
      <c r="S140" s="675"/>
    </row>
    <row r="141" spans="2:19" ht="14.1" customHeight="1">
      <c r="B141" s="675"/>
      <c r="C141" s="675"/>
      <c r="D141" s="675"/>
      <c r="E141" s="675"/>
      <c r="F141" s="675"/>
      <c r="G141" s="675"/>
      <c r="H141" s="675"/>
      <c r="I141" s="675"/>
      <c r="J141" s="675"/>
      <c r="K141" s="675"/>
      <c r="L141" s="675"/>
      <c r="M141" s="675"/>
      <c r="N141" s="675"/>
      <c r="O141" s="675"/>
      <c r="P141" s="675"/>
      <c r="Q141" s="675"/>
      <c r="R141" s="675"/>
      <c r="S141" s="675"/>
    </row>
    <row r="142" spans="2:19" ht="14.1" customHeight="1">
      <c r="B142" s="675"/>
      <c r="C142" s="675"/>
      <c r="D142" s="675"/>
      <c r="E142" s="675"/>
      <c r="F142" s="675"/>
      <c r="G142" s="675"/>
      <c r="H142" s="675"/>
      <c r="I142" s="675"/>
      <c r="J142" s="675"/>
      <c r="K142" s="675"/>
      <c r="L142" s="675"/>
      <c r="M142" s="675"/>
      <c r="N142" s="675"/>
      <c r="O142" s="675"/>
      <c r="P142" s="675"/>
      <c r="Q142" s="675"/>
      <c r="R142" s="675"/>
      <c r="S142" s="675"/>
    </row>
    <row r="143" spans="2:19" ht="14.1" customHeight="1">
      <c r="B143" s="675"/>
      <c r="C143" s="675"/>
      <c r="D143" s="675"/>
      <c r="E143" s="675"/>
      <c r="F143" s="675"/>
      <c r="G143" s="675"/>
      <c r="H143" s="675"/>
      <c r="I143" s="675"/>
      <c r="J143" s="675"/>
      <c r="K143" s="675"/>
      <c r="L143" s="675"/>
      <c r="M143" s="675"/>
      <c r="N143" s="675"/>
      <c r="O143" s="675"/>
      <c r="P143" s="675"/>
      <c r="Q143" s="675"/>
      <c r="R143" s="675"/>
      <c r="S143" s="675"/>
    </row>
    <row r="144" spans="2:19" ht="14.1" customHeight="1">
      <c r="B144" s="675"/>
      <c r="C144" s="675"/>
      <c r="D144" s="675"/>
      <c r="E144" s="675"/>
      <c r="F144" s="675"/>
      <c r="G144" s="675"/>
      <c r="H144" s="675"/>
      <c r="I144" s="675"/>
      <c r="J144" s="675"/>
      <c r="K144" s="675"/>
      <c r="L144" s="675"/>
      <c r="M144" s="675"/>
      <c r="N144" s="675"/>
      <c r="O144" s="675"/>
      <c r="P144" s="675"/>
      <c r="Q144" s="675"/>
      <c r="R144" s="675"/>
      <c r="S144" s="675"/>
    </row>
    <row r="145" spans="2:19" ht="14.1" customHeight="1">
      <c r="B145" s="675"/>
      <c r="C145" s="675"/>
      <c r="D145" s="675"/>
      <c r="E145" s="675"/>
      <c r="F145" s="675"/>
      <c r="G145" s="675"/>
      <c r="H145" s="675"/>
      <c r="I145" s="675"/>
      <c r="J145" s="675"/>
      <c r="K145" s="675"/>
      <c r="L145" s="675"/>
      <c r="M145" s="675"/>
      <c r="N145" s="675"/>
      <c r="O145" s="675"/>
      <c r="P145" s="675"/>
      <c r="Q145" s="675"/>
      <c r="R145" s="675"/>
      <c r="S145" s="675"/>
    </row>
    <row r="146" spans="2:19" ht="14.1" customHeight="1">
      <c r="B146" s="675"/>
      <c r="C146" s="675"/>
      <c r="D146" s="675"/>
      <c r="E146" s="675"/>
      <c r="F146" s="675"/>
      <c r="G146" s="675"/>
      <c r="H146" s="675"/>
      <c r="I146" s="675"/>
      <c r="J146" s="675"/>
      <c r="K146" s="675"/>
      <c r="L146" s="675"/>
      <c r="M146" s="675"/>
      <c r="N146" s="675"/>
      <c r="O146" s="675"/>
      <c r="P146" s="675"/>
      <c r="Q146" s="675"/>
      <c r="R146" s="675"/>
      <c r="S146" s="675"/>
    </row>
    <row r="147" spans="2:19" ht="14.1" customHeight="1">
      <c r="B147" s="675"/>
      <c r="C147" s="675"/>
      <c r="D147" s="675"/>
      <c r="E147" s="675"/>
      <c r="F147" s="675"/>
      <c r="G147" s="675"/>
      <c r="H147" s="675"/>
      <c r="I147" s="675"/>
      <c r="J147" s="675"/>
      <c r="K147" s="675"/>
      <c r="L147" s="675"/>
      <c r="M147" s="675"/>
      <c r="N147" s="675"/>
      <c r="O147" s="675"/>
      <c r="P147" s="675"/>
      <c r="Q147" s="675"/>
      <c r="R147" s="675"/>
      <c r="S147" s="675"/>
    </row>
    <row r="148" spans="2:19" ht="14.1" customHeight="1">
      <c r="B148" s="675"/>
      <c r="C148" s="675"/>
      <c r="D148" s="675"/>
      <c r="E148" s="675"/>
      <c r="F148" s="675"/>
      <c r="G148" s="675"/>
      <c r="H148" s="675"/>
      <c r="I148" s="675"/>
      <c r="J148" s="675"/>
      <c r="K148" s="675"/>
      <c r="L148" s="675"/>
      <c r="M148" s="675"/>
      <c r="N148" s="675"/>
      <c r="O148" s="675"/>
      <c r="P148" s="675"/>
      <c r="Q148" s="675"/>
      <c r="R148" s="675"/>
      <c r="S148" s="675"/>
    </row>
    <row r="149" spans="2:19" ht="14.1" customHeight="1">
      <c r="B149" s="675"/>
      <c r="C149" s="675"/>
      <c r="D149" s="675"/>
      <c r="E149" s="675"/>
      <c r="F149" s="675"/>
      <c r="G149" s="675"/>
      <c r="H149" s="675"/>
      <c r="I149" s="675"/>
      <c r="J149" s="675"/>
      <c r="K149" s="675"/>
      <c r="L149" s="675"/>
      <c r="M149" s="675"/>
      <c r="N149" s="675"/>
      <c r="O149" s="675"/>
      <c r="P149" s="675"/>
      <c r="Q149" s="675"/>
      <c r="R149" s="675"/>
      <c r="S149" s="675"/>
    </row>
    <row r="150" spans="2:19" ht="14.1" customHeight="1">
      <c r="B150" s="675"/>
      <c r="C150" s="675"/>
      <c r="D150" s="675"/>
      <c r="E150" s="675"/>
      <c r="F150" s="675"/>
      <c r="G150" s="675"/>
      <c r="H150" s="675"/>
      <c r="I150" s="675"/>
      <c r="J150" s="675"/>
      <c r="K150" s="675"/>
      <c r="L150" s="675"/>
      <c r="M150" s="675"/>
      <c r="N150" s="675"/>
      <c r="O150" s="675"/>
      <c r="P150" s="675"/>
      <c r="Q150" s="675"/>
      <c r="R150" s="675"/>
      <c r="S150" s="675"/>
    </row>
    <row r="151" spans="2:19" ht="14.1" customHeight="1">
      <c r="B151" s="675"/>
      <c r="C151" s="675"/>
      <c r="D151" s="675"/>
      <c r="E151" s="675"/>
      <c r="F151" s="675"/>
      <c r="G151" s="675"/>
      <c r="H151" s="675"/>
      <c r="I151" s="675"/>
      <c r="J151" s="675"/>
      <c r="K151" s="675"/>
      <c r="L151" s="675"/>
      <c r="M151" s="675"/>
      <c r="N151" s="675"/>
      <c r="O151" s="675"/>
      <c r="P151" s="675"/>
      <c r="Q151" s="675"/>
      <c r="R151" s="675"/>
      <c r="S151" s="675"/>
    </row>
    <row r="152" spans="2:19" ht="14.1" customHeight="1">
      <c r="B152" s="675"/>
      <c r="C152" s="675"/>
      <c r="D152" s="675"/>
      <c r="E152" s="675"/>
      <c r="F152" s="675"/>
      <c r="G152" s="675"/>
      <c r="H152" s="675"/>
      <c r="I152" s="675"/>
      <c r="J152" s="675"/>
      <c r="K152" s="675"/>
      <c r="L152" s="675"/>
      <c r="M152" s="675"/>
      <c r="N152" s="675"/>
      <c r="O152" s="675"/>
      <c r="P152" s="675"/>
      <c r="Q152" s="675"/>
      <c r="R152" s="675"/>
      <c r="S152" s="675"/>
    </row>
    <row r="153" spans="2:19" ht="14.1" customHeight="1">
      <c r="B153" s="675"/>
      <c r="C153" s="675"/>
      <c r="D153" s="675"/>
      <c r="E153" s="675"/>
      <c r="F153" s="675"/>
      <c r="G153" s="675"/>
      <c r="H153" s="675"/>
      <c r="I153" s="675"/>
      <c r="J153" s="675"/>
      <c r="K153" s="675"/>
      <c r="L153" s="675"/>
      <c r="M153" s="675"/>
      <c r="N153" s="675"/>
      <c r="O153" s="675"/>
      <c r="P153" s="675"/>
      <c r="Q153" s="675"/>
      <c r="R153" s="675"/>
      <c r="S153" s="675"/>
    </row>
    <row r="154" spans="2:19" ht="14.1" customHeight="1">
      <c r="B154" s="675"/>
      <c r="C154" s="675"/>
      <c r="D154" s="675"/>
      <c r="E154" s="675"/>
      <c r="F154" s="675"/>
      <c r="G154" s="675"/>
      <c r="H154" s="675"/>
      <c r="I154" s="675"/>
      <c r="J154" s="675"/>
      <c r="K154" s="675"/>
      <c r="L154" s="675"/>
      <c r="M154" s="675"/>
      <c r="N154" s="675"/>
      <c r="O154" s="675"/>
      <c r="P154" s="675"/>
      <c r="Q154" s="675"/>
      <c r="R154" s="675"/>
      <c r="S154" s="675"/>
    </row>
    <row r="155" spans="2:19" ht="14.1" customHeight="1">
      <c r="B155" s="675"/>
      <c r="C155" s="675"/>
      <c r="D155" s="675"/>
      <c r="E155" s="675"/>
      <c r="F155" s="675"/>
      <c r="G155" s="675"/>
      <c r="H155" s="675"/>
      <c r="I155" s="675"/>
      <c r="J155" s="675"/>
      <c r="K155" s="675"/>
      <c r="L155" s="675"/>
      <c r="M155" s="675"/>
      <c r="N155" s="675"/>
      <c r="O155" s="675"/>
      <c r="P155" s="675"/>
      <c r="Q155" s="675"/>
      <c r="R155" s="675"/>
      <c r="S155" s="675"/>
    </row>
    <row r="156" spans="2:19" ht="14.1" customHeight="1">
      <c r="B156" s="675"/>
      <c r="C156" s="675"/>
      <c r="D156" s="675"/>
      <c r="E156" s="675"/>
      <c r="F156" s="675"/>
      <c r="G156" s="675"/>
      <c r="H156" s="675"/>
      <c r="I156" s="675"/>
      <c r="J156" s="675"/>
      <c r="K156" s="675"/>
      <c r="L156" s="675"/>
      <c r="M156" s="675"/>
      <c r="N156" s="675"/>
      <c r="O156" s="675"/>
      <c r="P156" s="675"/>
      <c r="Q156" s="675"/>
      <c r="R156" s="675"/>
      <c r="S156" s="675"/>
    </row>
    <row r="157" spans="2:19" ht="14.1" customHeight="1">
      <c r="B157" s="675"/>
      <c r="C157" s="675"/>
      <c r="D157" s="675"/>
      <c r="E157" s="675"/>
      <c r="F157" s="675"/>
      <c r="G157" s="675"/>
      <c r="H157" s="675"/>
      <c r="I157" s="675"/>
      <c r="J157" s="675"/>
      <c r="K157" s="675"/>
      <c r="L157" s="675"/>
      <c r="M157" s="675"/>
      <c r="N157" s="675"/>
      <c r="O157" s="675"/>
      <c r="P157" s="675"/>
      <c r="Q157" s="675"/>
      <c r="R157" s="675"/>
      <c r="S157" s="675"/>
    </row>
    <row r="158" spans="2:19" ht="14.1" customHeight="1">
      <c r="B158" s="675"/>
      <c r="C158" s="675"/>
      <c r="D158" s="675"/>
      <c r="E158" s="675"/>
      <c r="F158" s="675"/>
      <c r="G158" s="675"/>
      <c r="H158" s="675"/>
      <c r="I158" s="675"/>
      <c r="J158" s="675"/>
      <c r="K158" s="675"/>
      <c r="L158" s="675"/>
      <c r="M158" s="675"/>
      <c r="N158" s="675"/>
      <c r="O158" s="675"/>
      <c r="P158" s="675"/>
      <c r="Q158" s="675"/>
      <c r="R158" s="675"/>
      <c r="S158" s="675"/>
    </row>
    <row r="159" spans="2:19" ht="14.1" customHeight="1">
      <c r="B159" s="675"/>
      <c r="C159" s="675"/>
      <c r="D159" s="675"/>
      <c r="E159" s="675"/>
      <c r="F159" s="675"/>
      <c r="G159" s="675"/>
      <c r="H159" s="675"/>
      <c r="I159" s="675"/>
      <c r="J159" s="675"/>
      <c r="K159" s="675"/>
      <c r="L159" s="675"/>
      <c r="M159" s="675"/>
      <c r="N159" s="675"/>
      <c r="O159" s="675"/>
      <c r="P159" s="675"/>
      <c r="Q159" s="675"/>
      <c r="R159" s="675"/>
      <c r="S159" s="675"/>
    </row>
    <row r="160" spans="2:19" ht="14.1" customHeight="1">
      <c r="B160" s="675"/>
      <c r="C160" s="675"/>
      <c r="D160" s="675"/>
      <c r="E160" s="675"/>
      <c r="F160" s="675"/>
      <c r="G160" s="675"/>
      <c r="H160" s="675"/>
      <c r="I160" s="675"/>
      <c r="J160" s="675"/>
      <c r="K160" s="675"/>
      <c r="L160" s="675"/>
      <c r="M160" s="675"/>
      <c r="N160" s="675"/>
      <c r="O160" s="675"/>
      <c r="P160" s="675"/>
      <c r="Q160" s="675"/>
      <c r="R160" s="675"/>
      <c r="S160" s="675"/>
    </row>
    <row r="161" spans="2:19" ht="14.1" customHeight="1">
      <c r="B161" s="675"/>
      <c r="C161" s="675"/>
      <c r="D161" s="675"/>
      <c r="E161" s="675"/>
      <c r="F161" s="675"/>
      <c r="G161" s="675"/>
      <c r="H161" s="675"/>
      <c r="I161" s="675"/>
      <c r="J161" s="675"/>
      <c r="K161" s="675"/>
      <c r="L161" s="675"/>
      <c r="M161" s="675"/>
      <c r="N161" s="675"/>
      <c r="O161" s="675"/>
      <c r="P161" s="675"/>
      <c r="Q161" s="675"/>
      <c r="R161" s="675"/>
      <c r="S161" s="675"/>
    </row>
    <row r="162" spans="2:19" ht="14.1" customHeight="1">
      <c r="B162" s="675"/>
      <c r="C162" s="675"/>
      <c r="D162" s="675"/>
      <c r="E162" s="675"/>
      <c r="F162" s="675"/>
      <c r="G162" s="675"/>
      <c r="H162" s="675"/>
      <c r="I162" s="675"/>
      <c r="J162" s="675"/>
      <c r="K162" s="675"/>
      <c r="L162" s="675"/>
      <c r="M162" s="675"/>
      <c r="N162" s="675"/>
      <c r="O162" s="675"/>
      <c r="P162" s="675"/>
      <c r="Q162" s="675"/>
      <c r="R162" s="675"/>
      <c r="S162" s="675"/>
    </row>
    <row r="163" spans="2:19" ht="14.1" customHeight="1">
      <c r="B163" s="675"/>
      <c r="C163" s="675"/>
      <c r="D163" s="675"/>
      <c r="E163" s="675"/>
      <c r="F163" s="675"/>
      <c r="G163" s="675"/>
      <c r="H163" s="675"/>
      <c r="I163" s="675"/>
      <c r="J163" s="675"/>
      <c r="K163" s="675"/>
      <c r="L163" s="675"/>
      <c r="M163" s="675"/>
      <c r="N163" s="675"/>
      <c r="O163" s="675"/>
      <c r="P163" s="675"/>
      <c r="Q163" s="675"/>
      <c r="R163" s="675"/>
      <c r="S163" s="675"/>
    </row>
    <row r="164" spans="2:19" ht="14.1" customHeight="1">
      <c r="B164" s="675"/>
      <c r="C164" s="675"/>
      <c r="D164" s="675"/>
      <c r="E164" s="675"/>
      <c r="F164" s="675"/>
      <c r="G164" s="675"/>
      <c r="H164" s="675"/>
      <c r="I164" s="675"/>
      <c r="J164" s="675"/>
      <c r="K164" s="675"/>
      <c r="L164" s="675"/>
      <c r="M164" s="675"/>
      <c r="N164" s="675"/>
      <c r="O164" s="675"/>
      <c r="P164" s="675"/>
      <c r="Q164" s="675"/>
      <c r="R164" s="675"/>
      <c r="S164" s="675"/>
    </row>
    <row r="165" spans="2:19" ht="14.1" customHeight="1">
      <c r="B165" s="675"/>
      <c r="C165" s="675"/>
      <c r="D165" s="675"/>
      <c r="E165" s="675"/>
      <c r="F165" s="675"/>
      <c r="G165" s="675"/>
      <c r="H165" s="675"/>
      <c r="I165" s="675"/>
      <c r="J165" s="675"/>
      <c r="K165" s="675"/>
      <c r="L165" s="675"/>
      <c r="M165" s="675"/>
      <c r="N165" s="675"/>
      <c r="O165" s="675"/>
      <c r="P165" s="675"/>
      <c r="Q165" s="675"/>
      <c r="R165" s="675"/>
      <c r="S165" s="675"/>
    </row>
    <row r="166" spans="2:19" ht="14.1" customHeight="1">
      <c r="B166" s="675"/>
      <c r="C166" s="675"/>
      <c r="D166" s="675"/>
      <c r="E166" s="675"/>
      <c r="F166" s="675"/>
      <c r="G166" s="675"/>
      <c r="H166" s="675"/>
      <c r="I166" s="675"/>
      <c r="J166" s="675"/>
      <c r="K166" s="675"/>
      <c r="L166" s="675"/>
      <c r="M166" s="675"/>
      <c r="N166" s="675"/>
      <c r="O166" s="675"/>
      <c r="P166" s="675"/>
      <c r="Q166" s="675"/>
      <c r="R166" s="675"/>
      <c r="S166" s="675"/>
    </row>
    <row r="167" spans="2:19" ht="14.1" customHeight="1">
      <c r="B167" s="675"/>
      <c r="C167" s="675"/>
      <c r="D167" s="675"/>
      <c r="E167" s="675"/>
      <c r="F167" s="675"/>
      <c r="G167" s="675"/>
      <c r="H167" s="675"/>
      <c r="I167" s="675"/>
      <c r="J167" s="675"/>
      <c r="K167" s="675"/>
      <c r="L167" s="675"/>
      <c r="M167" s="675"/>
      <c r="N167" s="675"/>
      <c r="O167" s="675"/>
      <c r="P167" s="675"/>
      <c r="Q167" s="675"/>
      <c r="R167" s="675"/>
      <c r="S167" s="675"/>
    </row>
    <row r="168" spans="2:19" ht="14.1" customHeight="1">
      <c r="B168" s="675"/>
      <c r="C168" s="675"/>
      <c r="D168" s="675"/>
      <c r="E168" s="675"/>
      <c r="F168" s="675"/>
      <c r="G168" s="675"/>
      <c r="H168" s="675"/>
      <c r="I168" s="675"/>
      <c r="J168" s="675"/>
      <c r="K168" s="675"/>
      <c r="L168" s="675"/>
      <c r="M168" s="675"/>
      <c r="N168" s="675"/>
      <c r="O168" s="675"/>
      <c r="P168" s="675"/>
      <c r="Q168" s="675"/>
      <c r="R168" s="675"/>
      <c r="S168" s="675"/>
    </row>
    <row r="169" spans="2:19" ht="14.1" customHeight="1">
      <c r="B169" s="675"/>
      <c r="C169" s="675"/>
      <c r="D169" s="675"/>
      <c r="E169" s="675"/>
      <c r="F169" s="675"/>
      <c r="G169" s="675"/>
      <c r="H169" s="675"/>
      <c r="I169" s="675"/>
      <c r="J169" s="675"/>
      <c r="K169" s="675"/>
      <c r="L169" s="675"/>
      <c r="M169" s="675"/>
      <c r="N169" s="675"/>
      <c r="O169" s="675"/>
      <c r="P169" s="675"/>
      <c r="Q169" s="675"/>
      <c r="R169" s="675"/>
      <c r="S169" s="675"/>
    </row>
    <row r="170" spans="2:19" ht="14.1" customHeight="1">
      <c r="B170" s="675"/>
      <c r="C170" s="675"/>
      <c r="D170" s="675"/>
      <c r="E170" s="675"/>
      <c r="F170" s="675"/>
      <c r="G170" s="675"/>
      <c r="H170" s="675"/>
      <c r="I170" s="675"/>
      <c r="J170" s="675"/>
      <c r="K170" s="675"/>
      <c r="L170" s="675"/>
      <c r="M170" s="675"/>
      <c r="N170" s="675"/>
      <c r="O170" s="675"/>
      <c r="P170" s="675"/>
      <c r="Q170" s="675"/>
      <c r="R170" s="675"/>
      <c r="S170" s="675"/>
    </row>
    <row r="171" spans="2:19" ht="14.1" customHeight="1">
      <c r="B171" s="675"/>
      <c r="C171" s="675"/>
      <c r="D171" s="675"/>
      <c r="E171" s="675"/>
      <c r="F171" s="675"/>
      <c r="G171" s="675"/>
      <c r="H171" s="675"/>
      <c r="I171" s="675"/>
      <c r="J171" s="675"/>
      <c r="K171" s="675"/>
      <c r="L171" s="675"/>
      <c r="M171" s="675"/>
      <c r="N171" s="675"/>
      <c r="O171" s="675"/>
      <c r="P171" s="675"/>
      <c r="Q171" s="675"/>
      <c r="R171" s="675"/>
      <c r="S171" s="675"/>
    </row>
    <row r="172" spans="2:19" ht="14.1" customHeight="1">
      <c r="B172" s="675"/>
      <c r="C172" s="675"/>
      <c r="D172" s="675"/>
      <c r="E172" s="675"/>
      <c r="F172" s="675"/>
      <c r="G172" s="675"/>
      <c r="H172" s="675"/>
      <c r="I172" s="675"/>
      <c r="J172" s="675"/>
      <c r="K172" s="675"/>
      <c r="L172" s="675"/>
      <c r="M172" s="675"/>
      <c r="N172" s="675"/>
      <c r="O172" s="675"/>
      <c r="P172" s="675"/>
      <c r="Q172" s="675"/>
      <c r="R172" s="675"/>
      <c r="S172" s="675"/>
    </row>
    <row r="173" spans="2:19" ht="14.1" customHeight="1">
      <c r="B173" s="675"/>
      <c r="C173" s="675"/>
      <c r="D173" s="675"/>
      <c r="E173" s="675"/>
      <c r="F173" s="675"/>
      <c r="G173" s="675"/>
      <c r="H173" s="675"/>
      <c r="I173" s="675"/>
      <c r="J173" s="675"/>
      <c r="K173" s="675"/>
      <c r="L173" s="675"/>
      <c r="M173" s="675"/>
      <c r="N173" s="675"/>
      <c r="O173" s="675"/>
      <c r="P173" s="675"/>
      <c r="Q173" s="675"/>
      <c r="R173" s="675"/>
      <c r="S173" s="675"/>
    </row>
    <row r="174" spans="2:19" ht="14.1" customHeight="1">
      <c r="B174" s="675"/>
      <c r="C174" s="675"/>
      <c r="D174" s="675"/>
      <c r="E174" s="675"/>
      <c r="F174" s="675"/>
      <c r="G174" s="675"/>
      <c r="H174" s="675"/>
      <c r="I174" s="675"/>
      <c r="J174" s="675"/>
      <c r="K174" s="675"/>
      <c r="L174" s="675"/>
      <c r="M174" s="675"/>
      <c r="N174" s="675"/>
      <c r="O174" s="675"/>
      <c r="P174" s="675"/>
      <c r="Q174" s="675"/>
      <c r="R174" s="675"/>
      <c r="S174" s="675"/>
    </row>
    <row r="175" spans="2:19" ht="14.1" customHeight="1">
      <c r="B175" s="675"/>
      <c r="C175" s="675"/>
      <c r="D175" s="675"/>
      <c r="E175" s="675"/>
      <c r="F175" s="675"/>
      <c r="G175" s="675"/>
      <c r="H175" s="675"/>
      <c r="I175" s="675"/>
      <c r="J175" s="675"/>
      <c r="K175" s="675"/>
      <c r="L175" s="675"/>
      <c r="M175" s="675"/>
      <c r="N175" s="675"/>
      <c r="O175" s="675"/>
      <c r="P175" s="675"/>
      <c r="Q175" s="675"/>
      <c r="R175" s="675"/>
      <c r="S175" s="675"/>
    </row>
    <row r="176" spans="2:19" ht="14.1" customHeight="1">
      <c r="B176" s="675"/>
      <c r="C176" s="675"/>
      <c r="D176" s="675"/>
      <c r="E176" s="675"/>
      <c r="F176" s="675"/>
      <c r="G176" s="675"/>
      <c r="H176" s="675"/>
      <c r="I176" s="675"/>
      <c r="J176" s="675"/>
      <c r="K176" s="675"/>
      <c r="L176" s="675"/>
      <c r="M176" s="675"/>
      <c r="N176" s="675"/>
      <c r="O176" s="675"/>
      <c r="P176" s="675"/>
      <c r="Q176" s="675"/>
      <c r="R176" s="675"/>
      <c r="S176" s="675"/>
    </row>
    <row r="177" spans="2:19" ht="14.1" customHeight="1">
      <c r="B177" s="675"/>
      <c r="C177" s="675"/>
      <c r="D177" s="675"/>
      <c r="E177" s="675"/>
      <c r="F177" s="675"/>
      <c r="G177" s="675"/>
      <c r="H177" s="675"/>
      <c r="I177" s="675"/>
      <c r="J177" s="675"/>
      <c r="K177" s="675"/>
      <c r="L177" s="675"/>
      <c r="M177" s="675"/>
      <c r="N177" s="675"/>
      <c r="O177" s="675"/>
      <c r="P177" s="675"/>
      <c r="Q177" s="675"/>
      <c r="R177" s="675"/>
      <c r="S177" s="675"/>
    </row>
    <row r="178" spans="2:19" ht="14.1" customHeight="1">
      <c r="B178" s="675"/>
      <c r="C178" s="675"/>
      <c r="D178" s="675"/>
      <c r="E178" s="675"/>
      <c r="F178" s="675"/>
      <c r="G178" s="675"/>
      <c r="H178" s="675"/>
      <c r="I178" s="675"/>
      <c r="J178" s="675"/>
      <c r="K178" s="675"/>
      <c r="L178" s="675"/>
      <c r="M178" s="675"/>
      <c r="N178" s="675"/>
      <c r="O178" s="675"/>
      <c r="P178" s="675"/>
      <c r="Q178" s="675"/>
      <c r="R178" s="675"/>
      <c r="S178" s="675"/>
    </row>
    <row r="179" spans="2:19" ht="14.1" customHeight="1">
      <c r="B179" s="675"/>
      <c r="C179" s="675"/>
      <c r="D179" s="675"/>
      <c r="E179" s="675"/>
      <c r="F179" s="675"/>
      <c r="G179" s="675"/>
      <c r="H179" s="675"/>
      <c r="I179" s="675"/>
      <c r="J179" s="675"/>
      <c r="K179" s="675"/>
      <c r="L179" s="675"/>
      <c r="M179" s="675"/>
      <c r="N179" s="675"/>
      <c r="O179" s="675"/>
      <c r="P179" s="675"/>
      <c r="Q179" s="675"/>
      <c r="R179" s="675"/>
      <c r="S179" s="675"/>
    </row>
    <row r="180" spans="2:19" ht="14.1" customHeight="1">
      <c r="B180" s="675"/>
      <c r="C180" s="675"/>
      <c r="D180" s="675"/>
      <c r="E180" s="675"/>
      <c r="F180" s="675"/>
      <c r="G180" s="675"/>
      <c r="H180" s="675"/>
      <c r="I180" s="675"/>
      <c r="J180" s="675"/>
      <c r="K180" s="675"/>
      <c r="L180" s="675"/>
      <c r="M180" s="675"/>
      <c r="N180" s="675"/>
      <c r="O180" s="675"/>
      <c r="P180" s="675"/>
      <c r="Q180" s="675"/>
      <c r="R180" s="675"/>
      <c r="S180" s="675"/>
    </row>
    <row r="181" spans="2:19" ht="14.1" customHeight="1">
      <c r="B181" s="675"/>
      <c r="C181" s="675"/>
      <c r="D181" s="675"/>
      <c r="E181" s="675"/>
      <c r="F181" s="675"/>
      <c r="G181" s="675"/>
      <c r="H181" s="675"/>
      <c r="I181" s="675"/>
      <c r="J181" s="675"/>
      <c r="K181" s="675"/>
      <c r="L181" s="675"/>
      <c r="M181" s="675"/>
      <c r="N181" s="675"/>
      <c r="O181" s="675"/>
      <c r="P181" s="675"/>
      <c r="Q181" s="675"/>
      <c r="R181" s="675"/>
      <c r="S181" s="675"/>
    </row>
    <row r="182" spans="2:19" ht="14.1" customHeight="1">
      <c r="B182" s="675"/>
      <c r="C182" s="675"/>
      <c r="D182" s="675"/>
      <c r="E182" s="675"/>
      <c r="F182" s="675"/>
      <c r="G182" s="675"/>
      <c r="H182" s="675"/>
      <c r="I182" s="675"/>
      <c r="J182" s="675"/>
      <c r="K182" s="675"/>
      <c r="L182" s="675"/>
      <c r="M182" s="675"/>
      <c r="N182" s="675"/>
      <c r="O182" s="675"/>
      <c r="P182" s="675"/>
      <c r="Q182" s="675"/>
      <c r="R182" s="675"/>
      <c r="S182" s="675"/>
    </row>
    <row r="183" spans="2:19" ht="14.1" customHeight="1">
      <c r="B183" s="675"/>
      <c r="C183" s="675"/>
      <c r="D183" s="675"/>
      <c r="E183" s="675"/>
      <c r="F183" s="675"/>
      <c r="G183" s="675"/>
      <c r="H183" s="675"/>
      <c r="I183" s="675"/>
      <c r="J183" s="675"/>
      <c r="K183" s="675"/>
      <c r="L183" s="675"/>
      <c r="M183" s="675"/>
      <c r="N183" s="675"/>
      <c r="O183" s="675"/>
      <c r="P183" s="675"/>
      <c r="Q183" s="675"/>
      <c r="R183" s="675"/>
      <c r="S183" s="675"/>
    </row>
    <row r="184" spans="2:19" ht="14.1" customHeight="1">
      <c r="B184" s="675"/>
      <c r="C184" s="675"/>
      <c r="D184" s="675"/>
      <c r="E184" s="675"/>
      <c r="F184" s="675"/>
      <c r="G184" s="675"/>
      <c r="H184" s="675"/>
      <c r="I184" s="675"/>
      <c r="J184" s="675"/>
      <c r="K184" s="675"/>
      <c r="L184" s="675"/>
      <c r="M184" s="675"/>
      <c r="N184" s="675"/>
      <c r="O184" s="675"/>
      <c r="P184" s="675"/>
      <c r="Q184" s="675"/>
      <c r="R184" s="675"/>
      <c r="S184" s="675"/>
    </row>
    <row r="185" spans="2:19" ht="14.1" customHeight="1">
      <c r="B185" s="675"/>
      <c r="C185" s="675"/>
      <c r="D185" s="675"/>
      <c r="E185" s="675"/>
      <c r="F185" s="675"/>
      <c r="G185" s="675"/>
      <c r="H185" s="675"/>
      <c r="I185" s="675"/>
      <c r="J185" s="675"/>
      <c r="K185" s="675"/>
      <c r="L185" s="675"/>
      <c r="M185" s="675"/>
      <c r="N185" s="675"/>
      <c r="O185" s="675"/>
      <c r="P185" s="675"/>
      <c r="Q185" s="675"/>
      <c r="R185" s="675"/>
      <c r="S185" s="675"/>
    </row>
    <row r="186" spans="2:19" ht="14.1" customHeight="1">
      <c r="B186" s="675"/>
      <c r="C186" s="675"/>
      <c r="D186" s="675"/>
      <c r="E186" s="675"/>
      <c r="F186" s="675"/>
      <c r="G186" s="675"/>
      <c r="H186" s="675"/>
      <c r="I186" s="675"/>
      <c r="J186" s="675"/>
      <c r="K186" s="675"/>
      <c r="L186" s="675"/>
      <c r="M186" s="675"/>
      <c r="N186" s="675"/>
      <c r="O186" s="675"/>
      <c r="P186" s="675"/>
      <c r="Q186" s="675"/>
      <c r="R186" s="675"/>
      <c r="S186" s="675"/>
    </row>
    <row r="187" spans="2:19" ht="14.1" customHeight="1">
      <c r="B187" s="675"/>
      <c r="C187" s="675"/>
      <c r="D187" s="675"/>
      <c r="E187" s="675"/>
      <c r="F187" s="675"/>
      <c r="G187" s="675"/>
      <c r="H187" s="675"/>
      <c r="I187" s="675"/>
      <c r="J187" s="675"/>
      <c r="K187" s="675"/>
      <c r="L187" s="675"/>
      <c r="M187" s="675"/>
      <c r="N187" s="675"/>
      <c r="O187" s="675"/>
      <c r="P187" s="675"/>
      <c r="Q187" s="675"/>
      <c r="R187" s="675"/>
      <c r="S187" s="675"/>
    </row>
    <row r="188" spans="2:19" ht="14.1" customHeight="1">
      <c r="B188" s="675"/>
      <c r="C188" s="675"/>
      <c r="D188" s="675"/>
      <c r="E188" s="675"/>
      <c r="F188" s="675"/>
      <c r="G188" s="675"/>
      <c r="H188" s="675"/>
      <c r="I188" s="675"/>
      <c r="J188" s="675"/>
      <c r="K188" s="675"/>
      <c r="L188" s="675"/>
      <c r="M188" s="675"/>
      <c r="N188" s="675"/>
      <c r="O188" s="675"/>
      <c r="P188" s="675"/>
      <c r="Q188" s="675"/>
      <c r="R188" s="675"/>
      <c r="S188" s="675"/>
    </row>
    <row r="189" spans="2:19" ht="14.1" customHeight="1">
      <c r="B189" s="675"/>
      <c r="C189" s="675"/>
      <c r="D189" s="675"/>
      <c r="E189" s="675"/>
      <c r="F189" s="675"/>
      <c r="G189" s="675"/>
      <c r="H189" s="675"/>
      <c r="I189" s="675"/>
      <c r="J189" s="675"/>
      <c r="K189" s="675"/>
      <c r="L189" s="675"/>
      <c r="M189" s="675"/>
      <c r="N189" s="675"/>
      <c r="O189" s="675"/>
      <c r="P189" s="675"/>
      <c r="Q189" s="675"/>
      <c r="R189" s="675"/>
      <c r="S189" s="675"/>
    </row>
    <row r="190" spans="2:19" ht="14.1" customHeight="1">
      <c r="B190" s="675"/>
      <c r="C190" s="675"/>
      <c r="D190" s="675"/>
      <c r="E190" s="675"/>
      <c r="F190" s="675"/>
      <c r="G190" s="675"/>
      <c r="H190" s="675"/>
      <c r="I190" s="675"/>
      <c r="J190" s="675"/>
      <c r="K190" s="675"/>
      <c r="L190" s="675"/>
      <c r="M190" s="675"/>
      <c r="N190" s="675"/>
      <c r="O190" s="675"/>
      <c r="P190" s="675"/>
      <c r="Q190" s="675"/>
      <c r="R190" s="675"/>
      <c r="S190" s="675"/>
    </row>
    <row r="191" spans="2:19" ht="14.1" customHeight="1">
      <c r="B191" s="675"/>
      <c r="C191" s="675"/>
      <c r="D191" s="675"/>
      <c r="E191" s="675"/>
      <c r="F191" s="675"/>
      <c r="G191" s="675"/>
      <c r="H191" s="675"/>
      <c r="I191" s="675"/>
      <c r="J191" s="675"/>
      <c r="K191" s="675"/>
      <c r="L191" s="675"/>
      <c r="M191" s="675"/>
      <c r="N191" s="675"/>
      <c r="O191" s="675"/>
      <c r="P191" s="675"/>
      <c r="Q191" s="675"/>
      <c r="R191" s="675"/>
      <c r="S191" s="675"/>
    </row>
    <row r="192" spans="2:19" ht="14.1" customHeight="1">
      <c r="B192" s="675"/>
      <c r="C192" s="675"/>
      <c r="D192" s="675"/>
      <c r="E192" s="675"/>
      <c r="F192" s="675"/>
      <c r="G192" s="675"/>
      <c r="H192" s="675"/>
      <c r="I192" s="675"/>
      <c r="J192" s="675"/>
      <c r="K192" s="675"/>
      <c r="L192" s="675"/>
      <c r="M192" s="675"/>
      <c r="N192" s="675"/>
      <c r="O192" s="675"/>
      <c r="P192" s="675"/>
      <c r="Q192" s="675"/>
      <c r="R192" s="675"/>
      <c r="S192" s="675"/>
    </row>
    <row r="193" spans="2:19" ht="14.1" customHeight="1">
      <c r="B193" s="675"/>
      <c r="C193" s="675"/>
      <c r="D193" s="675"/>
      <c r="E193" s="675"/>
      <c r="F193" s="675"/>
      <c r="G193" s="675"/>
      <c r="H193" s="675"/>
      <c r="I193" s="675"/>
      <c r="J193" s="675"/>
      <c r="K193" s="675"/>
      <c r="L193" s="675"/>
      <c r="M193" s="675"/>
      <c r="N193" s="675"/>
      <c r="O193" s="675"/>
      <c r="P193" s="675"/>
      <c r="Q193" s="675"/>
      <c r="R193" s="675"/>
      <c r="S193" s="675"/>
    </row>
    <row r="194" spans="2:19" ht="14.1" customHeight="1">
      <c r="B194" s="675"/>
      <c r="C194" s="675"/>
      <c r="D194" s="675"/>
      <c r="E194" s="675"/>
      <c r="F194" s="675"/>
      <c r="G194" s="675"/>
      <c r="H194" s="675"/>
      <c r="I194" s="675"/>
      <c r="J194" s="675"/>
      <c r="K194" s="675"/>
      <c r="L194" s="675"/>
      <c r="M194" s="675"/>
      <c r="N194" s="675"/>
      <c r="O194" s="675"/>
      <c r="P194" s="675"/>
      <c r="Q194" s="675"/>
      <c r="R194" s="675"/>
      <c r="S194" s="692"/>
    </row>
  </sheetData>
  <sheetProtection algorithmName="SHA-512" hashValue="bOggLm+jlOKvseKuSqjJk9+7Xs2fcDpshK+dsDUHCeU2PV97L8YmkN9ZIzC99OAN123t3EN5k7+o1a65GHODQg==" saltValue="alDtAkdjjzn+lxeyZBizaw==" spinCount="100000" sheet="1" objects="1" scenarios="1"/>
  <mergeCells count="1">
    <mergeCell ref="J51:L51"/>
  </mergeCells>
  <phoneticPr fontId="65" type="noConversion"/>
  <printOptions horizontalCentered="1"/>
  <pageMargins left="0.56000000000000005" right="0.32" top="0.31496062992125984" bottom="0.59" header="0" footer="0.35"/>
  <pageSetup paperSize="9" scale="79"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2446" r:id="rId4" name="chk_MehrZonen">
              <controlPr defaultSize="0" print="0" autoFill="0" autoLine="0" autoPict="0" macro="[0]!KlickMehrZonenKLB">
                <anchor moveWithCells="1">
                  <from>
                    <xdr:col>4</xdr:col>
                    <xdr:colOff>257175</xdr:colOff>
                    <xdr:row>6</xdr:row>
                    <xdr:rowOff>180975</xdr:rowOff>
                  </from>
                  <to>
                    <xdr:col>4</xdr:col>
                    <xdr:colOff>561975</xdr:colOff>
                    <xdr:row>8</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7">
    <tabColor indexed="27"/>
    <pageSetUpPr fitToPage="1"/>
  </sheetPr>
  <dimension ref="A1:AD91"/>
  <sheetViews>
    <sheetView showGridLines="0" showRowColHeaders="0" showZeros="0" workbookViewId="0">
      <selection activeCell="Q66" sqref="Q66"/>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28515625" style="872" customWidth="1"/>
    <col min="2" max="2" width="1.7109375" style="872" customWidth="1"/>
    <col min="3" max="3" width="16.7109375" style="872" customWidth="1"/>
    <col min="4" max="4" width="7.85546875" style="872" customWidth="1"/>
    <col min="5" max="5" width="10.7109375" style="872" customWidth="1"/>
    <col min="6" max="6" width="8.28515625" style="872" customWidth="1"/>
    <col min="7" max="7" width="10.7109375" style="872" customWidth="1"/>
    <col min="8" max="8" width="8.28515625" style="872" customWidth="1"/>
    <col min="9" max="9" width="10.7109375" style="872" customWidth="1"/>
    <col min="10" max="10" width="8.28515625" style="872" customWidth="1"/>
    <col min="11" max="11" width="9.7109375" style="872" customWidth="1"/>
    <col min="12" max="12" width="8.28515625" style="872" customWidth="1"/>
    <col min="13" max="13" width="10.7109375" style="872" customWidth="1"/>
    <col min="14" max="14" width="8.28515625" style="872" customWidth="1"/>
    <col min="15" max="15" width="9.7109375" style="872" customWidth="1"/>
    <col min="16" max="16" width="8.28515625" style="872" customWidth="1"/>
    <col min="17" max="17" width="12.42578125" style="872" customWidth="1"/>
    <col min="18" max="19" width="0.85546875" style="872" customWidth="1"/>
    <col min="20" max="20" width="11.42578125" style="692" hidden="1" customWidth="1"/>
    <col min="21" max="23" width="11.42578125" style="692"/>
    <col min="24" max="24" width="11.42578125" style="872"/>
    <col min="25" max="25" width="12.28515625" style="872" customWidth="1"/>
    <col min="26" max="26" width="13.5703125" style="872" customWidth="1"/>
    <col min="27" max="27" width="12.140625" style="872" customWidth="1"/>
    <col min="28" max="16384" width="11.42578125" style="872"/>
  </cols>
  <sheetData>
    <row r="1" spans="2:23" ht="42" customHeight="1">
      <c r="B1" s="685" t="str">
        <f>Q!NW_Tit</f>
        <v xml:space="preserve">                                   Nachweis</v>
      </c>
      <c r="C1" s="874"/>
      <c r="D1" s="874"/>
      <c r="E1" s="874"/>
      <c r="F1" s="1315"/>
      <c r="G1" s="874"/>
      <c r="H1" s="874"/>
      <c r="I1" s="874"/>
      <c r="K1" s="874"/>
      <c r="L1" s="874"/>
      <c r="M1" s="874"/>
      <c r="N1" s="874"/>
      <c r="O1" s="874"/>
      <c r="P1" s="874"/>
      <c r="Q1" s="20" t="str">
        <f>Q!F43</f>
        <v>Versorgungssicherheit</v>
      </c>
      <c r="R1" s="20"/>
      <c r="S1" s="675"/>
      <c r="T1" s="675"/>
      <c r="U1" s="675"/>
    </row>
    <row r="2" spans="2:23" s="692" customFormat="1" ht="11.1" customHeight="1" thickBot="1">
      <c r="B2" s="687"/>
      <c r="C2" s="687"/>
      <c r="D2" s="687"/>
      <c r="E2" s="687"/>
      <c r="F2" s="687"/>
      <c r="G2" s="687"/>
      <c r="H2" s="687"/>
      <c r="I2" s="687"/>
      <c r="J2" s="687"/>
      <c r="K2" s="687"/>
      <c r="L2" s="687"/>
      <c r="M2" s="687"/>
      <c r="N2" s="687"/>
      <c r="O2" s="687"/>
      <c r="P2" s="687"/>
      <c r="Q2" s="44"/>
      <c r="R2" s="44"/>
      <c r="S2" s="675"/>
      <c r="T2" s="675"/>
      <c r="U2" s="675"/>
    </row>
    <row r="3" spans="2:23" s="1195" customFormat="1" ht="21.95" customHeight="1">
      <c r="B3" s="1861" t="str">
        <f>Texte!A13</f>
        <v>Betrieb:</v>
      </c>
      <c r="C3" s="1873"/>
      <c r="D3" s="1873" t="str">
        <f>Allg!$C$9&amp;""</f>
        <v>Imhof &amp; Zaehner Betriebsgemeinschaft</v>
      </c>
      <c r="E3" s="1873"/>
      <c r="F3" s="1873"/>
      <c r="G3" s="1873"/>
      <c r="H3" s="1873"/>
      <c r="I3" s="1873"/>
      <c r="J3" s="1863"/>
      <c r="K3" s="1433"/>
      <c r="L3" s="1863" t="str">
        <f>Texte!A14</f>
        <v>Variante:</v>
      </c>
      <c r="M3" s="1433" t="str">
        <f>Allg!$G$7&amp;""</f>
        <v/>
      </c>
      <c r="N3" s="1863"/>
      <c r="O3" s="1433"/>
      <c r="P3" s="1863" t="str">
        <f>Texte!A15</f>
        <v>Jahr:</v>
      </c>
      <c r="Q3" s="1859" t="str">
        <f>Allg!$G$6&amp;""</f>
        <v>2026</v>
      </c>
      <c r="R3" s="1859"/>
      <c r="S3" s="30"/>
      <c r="T3" s="30"/>
      <c r="U3" s="30"/>
      <c r="V3" s="1402"/>
      <c r="W3" s="1402"/>
    </row>
    <row r="4" spans="2:23" ht="12.75" customHeight="1">
      <c r="B4" s="1318"/>
      <c r="C4" s="675"/>
      <c r="D4" s="675"/>
      <c r="E4" s="675"/>
      <c r="F4" s="675"/>
      <c r="G4" s="675"/>
      <c r="H4" s="675"/>
      <c r="I4" s="675"/>
      <c r="J4" s="675"/>
      <c r="K4" s="675"/>
      <c r="L4" s="675"/>
      <c r="M4" s="675"/>
      <c r="N4" s="675"/>
      <c r="O4" s="675"/>
      <c r="P4" s="675"/>
      <c r="Q4" s="675"/>
      <c r="R4" s="675"/>
      <c r="S4" s="675"/>
      <c r="T4" s="675"/>
      <c r="U4" s="675"/>
    </row>
    <row r="5" spans="2:23" ht="26.45" customHeight="1">
      <c r="B5" s="685" t="str">
        <f>Texte!A2465</f>
        <v>Versorgungssicherheitsbeiträge, VSB, Art. 50 bis 54 und Anhang 7 DZV</v>
      </c>
      <c r="C5" s="675"/>
      <c r="D5" s="675"/>
      <c r="E5" s="675"/>
      <c r="F5" s="675"/>
      <c r="G5" s="675"/>
      <c r="H5" s="675"/>
      <c r="I5" s="675"/>
      <c r="J5" s="675"/>
      <c r="K5" s="675"/>
      <c r="L5" s="675"/>
      <c r="M5" s="675"/>
      <c r="N5" s="675"/>
      <c r="O5" s="675"/>
      <c r="P5" s="675"/>
      <c r="Q5" s="675"/>
      <c r="R5" s="675"/>
      <c r="S5" s="675"/>
      <c r="T5" s="675"/>
      <c r="U5" s="675"/>
    </row>
    <row r="6" spans="2:23" ht="7.15" customHeight="1">
      <c r="B6" s="1352"/>
      <c r="C6" s="1322"/>
      <c r="D6" s="1322"/>
      <c r="E6" s="1322"/>
      <c r="F6" s="1322"/>
      <c r="G6" s="1322"/>
      <c r="H6" s="1322"/>
      <c r="I6" s="1322"/>
      <c r="J6" s="1322"/>
      <c r="K6" s="1322"/>
      <c r="L6" s="1322"/>
      <c r="M6" s="1323"/>
      <c r="N6" s="1353"/>
      <c r="O6" s="1323"/>
      <c r="P6" s="1353"/>
      <c r="Q6" s="1323"/>
      <c r="R6" s="528"/>
      <c r="S6" s="675"/>
      <c r="T6" s="675"/>
      <c r="U6" s="675"/>
    </row>
    <row r="7" spans="2:23" ht="12.95" customHeight="1">
      <c r="B7" s="1354"/>
      <c r="C7" s="686" t="str">
        <f>Texte!A2466</f>
        <v xml:space="preserve">Beitragsberechtigte Fläche: Beitragsberechtigte LN (+angestammte Fläche im Ausland), ohne nachwachsende Rohstoffe (Kenaf, Chinaschilf), </v>
      </c>
      <c r="D7" s="686"/>
      <c r="E7" s="686"/>
      <c r="F7" s="686"/>
      <c r="G7" s="686"/>
      <c r="H7" s="686"/>
      <c r="I7" s="686"/>
      <c r="J7" s="686"/>
      <c r="K7" s="686"/>
      <c r="L7" s="686"/>
      <c r="M7" s="686"/>
      <c r="N7" s="686"/>
      <c r="O7" s="686"/>
      <c r="P7" s="686"/>
      <c r="Q7" s="686"/>
      <c r="R7" s="481"/>
      <c r="S7" s="675"/>
      <c r="T7" s="675"/>
      <c r="U7" s="675"/>
    </row>
    <row r="8" spans="2:23" ht="12.95" customHeight="1">
      <c r="B8" s="1354"/>
      <c r="C8" s="675" t="str">
        <f>Texte!A2467</f>
        <v>Brachen, Saum auf Ackerfläche, Maulbeerbäume, Streuefläche, Hecken, Feld- und Ufergehölze.</v>
      </c>
      <c r="D8" s="686"/>
      <c r="E8" s="686"/>
      <c r="F8" s="686"/>
      <c r="G8" s="686"/>
      <c r="H8" s="686"/>
      <c r="I8" s="686"/>
      <c r="J8" s="686"/>
      <c r="K8" s="686"/>
      <c r="L8" s="686"/>
      <c r="M8" s="686"/>
      <c r="N8" s="686"/>
      <c r="O8" s="686"/>
      <c r="P8" s="686"/>
      <c r="Q8" s="686"/>
      <c r="R8" s="481"/>
      <c r="S8" s="675"/>
      <c r="T8" s="675"/>
      <c r="U8" s="675"/>
    </row>
    <row r="9" spans="2:23" ht="3.2" customHeight="1">
      <c r="B9" s="1354"/>
      <c r="C9" s="1467"/>
      <c r="D9" s="686"/>
      <c r="E9" s="686"/>
      <c r="F9" s="686"/>
      <c r="G9" s="686"/>
      <c r="H9" s="686"/>
      <c r="I9" s="686"/>
      <c r="J9" s="686"/>
      <c r="K9" s="686"/>
      <c r="L9" s="686"/>
      <c r="M9" s="686"/>
      <c r="N9" s="686"/>
      <c r="O9" s="686"/>
      <c r="P9" s="686"/>
      <c r="Q9" s="686"/>
      <c r="R9" s="481"/>
      <c r="S9" s="675"/>
      <c r="T9" s="675"/>
      <c r="U9" s="675"/>
    </row>
    <row r="10" spans="2:23" ht="17.100000000000001" customHeight="1">
      <c r="B10" s="1354"/>
      <c r="C10" s="680" t="str">
        <f>Texte!A2469</f>
        <v>Berechnung des Tierbesatzes</v>
      </c>
      <c r="D10" s="675"/>
      <c r="E10" s="675"/>
      <c r="F10" s="675"/>
      <c r="G10" s="675"/>
      <c r="H10" s="675"/>
      <c r="I10" s="675"/>
      <c r="J10" s="675"/>
      <c r="K10" s="675"/>
      <c r="L10" s="675"/>
      <c r="M10" s="1325"/>
      <c r="N10" s="1334"/>
      <c r="O10" s="1325"/>
      <c r="P10" s="1334"/>
      <c r="Q10" s="1325"/>
      <c r="R10" s="481"/>
      <c r="S10" s="675"/>
      <c r="T10" s="675"/>
      <c r="U10" s="675"/>
    </row>
    <row r="11" spans="2:23" ht="7.15" customHeight="1">
      <c r="B11" s="1354"/>
      <c r="C11" s="675"/>
      <c r="D11" s="675"/>
      <c r="E11" s="675"/>
      <c r="F11" s="675"/>
      <c r="G11" s="675"/>
      <c r="H11" s="675"/>
      <c r="I11" s="675"/>
      <c r="J11" s="675"/>
      <c r="K11" s="675"/>
      <c r="L11" s="675"/>
      <c r="M11" s="1325"/>
      <c r="N11" s="1334"/>
      <c r="O11" s="1325"/>
      <c r="P11" s="1334"/>
      <c r="Q11" s="1325"/>
      <c r="R11" s="481"/>
      <c r="S11" s="675"/>
      <c r="T11" s="675"/>
      <c r="U11" s="675"/>
    </row>
    <row r="12" spans="2:23" ht="17.100000000000001" customHeight="1">
      <c r="B12" s="1354"/>
      <c r="C12" s="675"/>
      <c r="D12" s="675"/>
      <c r="E12" s="686" t="str">
        <f>Texte!A2470</f>
        <v>Flächen ohne Mindesttierbesatzanforderung</v>
      </c>
      <c r="F12" s="686"/>
      <c r="G12" s="686"/>
      <c r="H12" s="686"/>
      <c r="I12" s="686"/>
      <c r="J12" s="675"/>
      <c r="K12" s="675" t="str">
        <f>Texte!A2471</f>
        <v>Flächen mit Mindesttierbesatzanforderung</v>
      </c>
      <c r="M12" s="1325"/>
      <c r="N12" s="1334"/>
      <c r="O12" s="1325"/>
      <c r="P12" s="1334"/>
      <c r="Q12" s="1325"/>
      <c r="R12" s="481"/>
      <c r="S12" s="675"/>
      <c r="T12" s="675"/>
      <c r="U12" s="675"/>
    </row>
    <row r="13" spans="2:23" ht="11.25" customHeight="1">
      <c r="B13" s="1354"/>
      <c r="C13" s="675"/>
      <c r="D13" s="675"/>
      <c r="E13" s="686"/>
      <c r="F13" s="686"/>
      <c r="G13" s="686"/>
      <c r="H13" s="686"/>
      <c r="I13" s="686"/>
      <c r="J13" s="675"/>
      <c r="K13" s="675"/>
      <c r="L13" s="675"/>
      <c r="M13" s="1325"/>
      <c r="N13" s="1334"/>
      <c r="O13" s="1325"/>
      <c r="P13" s="1334"/>
      <c r="Q13" s="1325"/>
      <c r="R13" s="481"/>
      <c r="S13" s="675"/>
      <c r="T13" s="675"/>
      <c r="U13" s="675"/>
    </row>
    <row r="14" spans="2:23" ht="14.1" customHeight="1">
      <c r="B14" s="1354"/>
      <c r="C14" s="675"/>
      <c r="D14" s="675"/>
      <c r="E14" s="686" t="str">
        <f>Texte!A2472</f>
        <v>offene Ackerfläche</v>
      </c>
      <c r="F14" s="686"/>
      <c r="G14" s="686" t="str">
        <f>Texte!A2474</f>
        <v>Kunstwiesen</v>
      </c>
      <c r="H14" s="686"/>
      <c r="I14" s="686" t="str">
        <f>Texte!A2476</f>
        <v>BFF</v>
      </c>
      <c r="J14" s="686"/>
      <c r="K14" s="686" t="str">
        <f>Texte!A2478</f>
        <v>Mindesttierbesatz/ha</v>
      </c>
      <c r="L14" s="686"/>
      <c r="M14" s="686" t="str">
        <f>Texte!A2481</f>
        <v>Dauergrünfläche</v>
      </c>
      <c r="N14" s="686"/>
      <c r="O14" s="686" t="str">
        <f>Texte!A2484</f>
        <v>Mindesttierbesatz</v>
      </c>
      <c r="P14" s="686"/>
      <c r="Q14" s="686" t="str">
        <f>Texte!A2487</f>
        <v>RGVE min.</v>
      </c>
      <c r="R14" s="481"/>
      <c r="S14" s="675"/>
      <c r="T14" s="675"/>
      <c r="U14" s="675"/>
    </row>
    <row r="15" spans="2:23" ht="14.1" customHeight="1">
      <c r="B15" s="1354"/>
      <c r="C15" s="675"/>
      <c r="D15" s="675"/>
      <c r="E15" s="675" t="str">
        <f>Texte!A2473</f>
        <v>u. Dauerkulturen</v>
      </c>
      <c r="F15" s="1461"/>
      <c r="G15" s="686">
        <f>Texte!A2475</f>
        <v>0</v>
      </c>
      <c r="H15" s="1461"/>
      <c r="I15" s="686" t="str">
        <f>Texte!A2477</f>
        <v>Grünland**</v>
      </c>
      <c r="J15" s="1461"/>
      <c r="K15" s="675" t="str">
        <f>Texte!A2480</f>
        <v>auf BFF Grünland</v>
      </c>
      <c r="L15" s="672"/>
      <c r="M15" s="675" t="str">
        <f>Texte!A2482</f>
        <v>ausser BFF</v>
      </c>
      <c r="N15" s="1000"/>
      <c r="O15" s="675" t="str">
        <f>Texte!A2485</f>
        <v>/ha Dauergrünfläche</v>
      </c>
      <c r="P15" s="672"/>
      <c r="Q15" s="1461"/>
      <c r="R15" s="481"/>
      <c r="S15" s="675"/>
      <c r="T15" s="675"/>
      <c r="U15" s="675"/>
    </row>
    <row r="16" spans="2:23" ht="14.1" customHeight="1">
      <c r="B16" s="1354"/>
      <c r="C16" s="675"/>
      <c r="D16" s="675"/>
      <c r="E16" s="1451"/>
      <c r="F16" s="1451"/>
      <c r="G16" s="1451"/>
      <c r="H16" s="1451"/>
      <c r="I16" s="1451"/>
      <c r="J16" s="1451"/>
      <c r="K16" s="1451"/>
      <c r="L16" s="1471"/>
      <c r="M16" s="1467">
        <f>Texte!A2483</f>
        <v>0</v>
      </c>
      <c r="N16" s="1472"/>
      <c r="O16" s="1467" t="str">
        <f>Texte!A2486</f>
        <v>ausser BFF</v>
      </c>
      <c r="P16" s="1471"/>
      <c r="Q16" s="1451"/>
      <c r="R16" s="481"/>
      <c r="S16" s="675"/>
      <c r="T16" s="675"/>
      <c r="U16" s="675"/>
    </row>
    <row r="17" spans="2:21" ht="17.100000000000001" customHeight="1">
      <c r="B17" s="1354"/>
      <c r="C17" s="675" t="str">
        <f>Texte!A2415</f>
        <v>Talzone</v>
      </c>
      <c r="D17" s="675"/>
      <c r="E17" s="1946">
        <f>IF(Allg!KlickZonenEintlg=D_Klick!B6,SUM(Fläche!oA_DK_VSB),0)</f>
        <v>75.140699999999995</v>
      </c>
      <c r="F17" s="679"/>
      <c r="G17" s="1946">
        <f>IF(Allg!KlickZonenEintlg=D_Klick!B6,SUM(Fläche!KW),0)</f>
        <v>0</v>
      </c>
      <c r="H17" s="1340" t="s">
        <v>2123</v>
      </c>
      <c r="I17" s="1946">
        <f>IF(Allg!KlickZonenEintlg=D_Klick!B6,SUM(Fläche!BFF_grün),0)</f>
        <v>35.852699999999992</v>
      </c>
      <c r="J17" s="1325" t="s">
        <v>1045</v>
      </c>
      <c r="K17" s="1946">
        <f>D_Klick!DH6</f>
        <v>0.3</v>
      </c>
      <c r="L17" s="1444" t="s">
        <v>4987</v>
      </c>
      <c r="M17" s="1946">
        <f>IF(Allg!KlickZonenEintlg=D_Klick!B6,SUM(Fläche!NW_n_ÖA),0)</f>
        <v>19.12</v>
      </c>
      <c r="N17" s="1325" t="s">
        <v>1045</v>
      </c>
      <c r="O17" s="1946">
        <f>D_Klick!DI6</f>
        <v>1</v>
      </c>
      <c r="P17" s="1325" t="s">
        <v>2124</v>
      </c>
      <c r="Q17" s="1946">
        <f t="shared" ref="Q17:Q22" si="0">I17*K17+M17*O17</f>
        <v>29.875809999999998</v>
      </c>
      <c r="R17" s="481"/>
      <c r="S17" s="675"/>
      <c r="T17" s="675"/>
      <c r="U17" s="675"/>
    </row>
    <row r="18" spans="2:21" ht="17.100000000000001" customHeight="1">
      <c r="B18" s="1354"/>
      <c r="C18" s="675" t="str">
        <f>Texte!A2417</f>
        <v>Hügelzone</v>
      </c>
      <c r="D18" s="675"/>
      <c r="E18" s="1946">
        <f>IF(Allg!KlickZonenEintlg=D_Klick!B7,SUM(Fläche!oA_DK_VSB),0)</f>
        <v>0</v>
      </c>
      <c r="F18" s="1325"/>
      <c r="G18" s="1946">
        <f>IF(Allg!KlickZonenEintlg=D_Klick!B7,SUM(Fläche!KW),0)</f>
        <v>0</v>
      </c>
      <c r="H18" s="1340" t="s">
        <v>2123</v>
      </c>
      <c r="I18" s="1946">
        <f>IF(Allg!KlickZonenEintlg=D_Klick!B7,SUM(Fläche!BFF_grün),0)</f>
        <v>0</v>
      </c>
      <c r="J18" s="1325" t="s">
        <v>1045</v>
      </c>
      <c r="K18" s="1946">
        <f>D_Klick!DH7</f>
        <v>0.24</v>
      </c>
      <c r="L18" s="1444" t="s">
        <v>4987</v>
      </c>
      <c r="M18" s="1946">
        <f>IF(Allg!KlickZonenEintlg=D_Klick!B7,SUM(Fläche!NW_n_ÖA),0)</f>
        <v>0</v>
      </c>
      <c r="N18" s="1325" t="s">
        <v>1045</v>
      </c>
      <c r="O18" s="1946">
        <f>D_Klick!DI7</f>
        <v>0.8</v>
      </c>
      <c r="P18" s="1325" t="s">
        <v>2124</v>
      </c>
      <c r="Q18" s="1946">
        <f t="shared" si="0"/>
        <v>0</v>
      </c>
      <c r="R18" s="481"/>
      <c r="S18" s="675"/>
      <c r="T18" s="675"/>
      <c r="U18" s="675"/>
    </row>
    <row r="19" spans="2:21" ht="17.100000000000001" customHeight="1">
      <c r="B19" s="1354"/>
      <c r="C19" s="675" t="str">
        <f>Texte!A2418</f>
        <v>Bergzone I</v>
      </c>
      <c r="D19" s="675"/>
      <c r="E19" s="1946">
        <f>IF(Allg!KlickZonenEintlg=D_Klick!B8,SUM(Fläche!oA_DK_VSB),0)</f>
        <v>0</v>
      </c>
      <c r="F19" s="1325"/>
      <c r="G19" s="1946">
        <f>IF(Allg!KlickZonenEintlg=D_Klick!B8,SUM(Fläche!KW),0)</f>
        <v>0</v>
      </c>
      <c r="H19" s="1340" t="s">
        <v>2123</v>
      </c>
      <c r="I19" s="1946">
        <f>IF(Allg!KlickZonenEintlg=D_Klick!B8,SUM(Fläche!BFF_grün),0)</f>
        <v>0</v>
      </c>
      <c r="J19" s="1325" t="s">
        <v>1045</v>
      </c>
      <c r="K19" s="1946">
        <f>D_Klick!DH8</f>
        <v>0.21</v>
      </c>
      <c r="L19" s="1444" t="s">
        <v>4987</v>
      </c>
      <c r="M19" s="1946">
        <f>IF(Allg!KlickZonenEintlg=D_Klick!B8,SUM(Fläche!NW_n_ÖA),0)</f>
        <v>0</v>
      </c>
      <c r="N19" s="1325" t="s">
        <v>1045</v>
      </c>
      <c r="O19" s="1946">
        <f>D_Klick!DI8</f>
        <v>0.7</v>
      </c>
      <c r="P19" s="1325" t="s">
        <v>2124</v>
      </c>
      <c r="Q19" s="1946">
        <f t="shared" si="0"/>
        <v>0</v>
      </c>
      <c r="R19" s="481"/>
      <c r="S19" s="675"/>
      <c r="T19" s="675"/>
      <c r="U19" s="675"/>
    </row>
    <row r="20" spans="2:21" ht="17.100000000000001" customHeight="1">
      <c r="B20" s="1354"/>
      <c r="C20" s="675" t="str">
        <f>Texte!A2419</f>
        <v>Bergzone II</v>
      </c>
      <c r="D20" s="675"/>
      <c r="E20" s="1946">
        <f>IF(Allg!KlickZonenEintlg=D_Klick!B9,SUM(Fläche!oA_DK_VSB),0)</f>
        <v>0</v>
      </c>
      <c r="F20" s="1325"/>
      <c r="G20" s="1946">
        <f>IF(Allg!KlickZonenEintlg=D_Klick!B9,SUM(Fläche!KW),0)</f>
        <v>0</v>
      </c>
      <c r="H20" s="1340" t="s">
        <v>2123</v>
      </c>
      <c r="I20" s="1946">
        <f>IF(Allg!KlickZonenEintlg=D_Klick!B9,SUM(Fläche!BFF_grün),0)</f>
        <v>0</v>
      </c>
      <c r="J20" s="1325" t="s">
        <v>1045</v>
      </c>
      <c r="K20" s="1946">
        <f>D_Klick!DH9</f>
        <v>0.18</v>
      </c>
      <c r="L20" s="1444" t="s">
        <v>4987</v>
      </c>
      <c r="M20" s="1946">
        <f>IF(Allg!KlickZonenEintlg=D_Klick!B9,SUM(Fläche!NW_n_ÖA),0)</f>
        <v>0</v>
      </c>
      <c r="N20" s="1325" t="s">
        <v>1045</v>
      </c>
      <c r="O20" s="1946">
        <f>D_Klick!DI9</f>
        <v>0.6</v>
      </c>
      <c r="P20" s="1325" t="s">
        <v>2124</v>
      </c>
      <c r="Q20" s="1946">
        <f t="shared" si="0"/>
        <v>0</v>
      </c>
      <c r="R20" s="481"/>
      <c r="S20" s="675"/>
      <c r="T20" s="675"/>
      <c r="U20" s="675"/>
    </row>
    <row r="21" spans="2:21" ht="17.100000000000001" customHeight="1">
      <c r="B21" s="1354"/>
      <c r="C21" s="675" t="str">
        <f>Texte!A2420</f>
        <v>Bergzone III</v>
      </c>
      <c r="D21" s="675"/>
      <c r="E21" s="1946">
        <f>IF(Allg!KlickZonenEintlg=D_Klick!B10,SUM(Fläche!oA_DK_VSB),0)</f>
        <v>0</v>
      </c>
      <c r="F21" s="1325"/>
      <c r="G21" s="1946">
        <f>IF(Allg!KlickZonenEintlg=D_Klick!B10,SUM(Fläche!KW),0)</f>
        <v>0</v>
      </c>
      <c r="H21" s="1340" t="s">
        <v>2123</v>
      </c>
      <c r="I21" s="1946">
        <f>IF(Allg!KlickZonenEintlg=D_Klick!B10,SUM(Fläche!BFF_grün),0)</f>
        <v>0</v>
      </c>
      <c r="J21" s="1325" t="s">
        <v>1045</v>
      </c>
      <c r="K21" s="1946">
        <f>D_Klick!DH10</f>
        <v>0.15</v>
      </c>
      <c r="L21" s="1444" t="s">
        <v>4987</v>
      </c>
      <c r="M21" s="1946">
        <f>IF(Allg!KlickZonenEintlg=D_Klick!B10,SUM(Fläche!NW_n_ÖA),0)</f>
        <v>0</v>
      </c>
      <c r="N21" s="1325" t="s">
        <v>1045</v>
      </c>
      <c r="O21" s="1946">
        <f>D_Klick!DI10</f>
        <v>0.5</v>
      </c>
      <c r="P21" s="1325" t="s">
        <v>2124</v>
      </c>
      <c r="Q21" s="1946">
        <f t="shared" si="0"/>
        <v>0</v>
      </c>
      <c r="R21" s="481"/>
      <c r="S21" s="675"/>
      <c r="T21" s="675"/>
      <c r="U21" s="675"/>
    </row>
    <row r="22" spans="2:21" ht="17.100000000000001" customHeight="1">
      <c r="B22" s="1354"/>
      <c r="C22" s="675" t="str">
        <f>Texte!A2421</f>
        <v>Bergzone IV</v>
      </c>
      <c r="D22" s="675"/>
      <c r="E22" s="1946">
        <f>IF(Allg!KlickZonenEintlg=D_Klick!B11,SUM(Fläche!oA_DK_VSB),0)</f>
        <v>0</v>
      </c>
      <c r="F22" s="1325"/>
      <c r="G22" s="1946">
        <f>IF(Allg!KlickZonenEintlg=D_Klick!B11,SUM(Fläche!KW),0)</f>
        <v>0</v>
      </c>
      <c r="H22" s="1340" t="s">
        <v>2123</v>
      </c>
      <c r="I22" s="1946">
        <f>IF(Allg!KlickZonenEintlg=D_Klick!B11,SUM(Fläche!BFF_grün),0)</f>
        <v>0</v>
      </c>
      <c r="J22" s="1325" t="s">
        <v>1045</v>
      </c>
      <c r="K22" s="1946">
        <f>D_Klick!DH11</f>
        <v>0.12</v>
      </c>
      <c r="L22" s="1444" t="s">
        <v>4987</v>
      </c>
      <c r="M22" s="1946">
        <f>IF(Allg!KlickZonenEintlg=D_Klick!B11,SUM(Fläche!NW_n_ÖA),0)</f>
        <v>0</v>
      </c>
      <c r="N22" s="1325" t="s">
        <v>1045</v>
      </c>
      <c r="O22" s="1946">
        <f>D_Klick!DI11</f>
        <v>0.4</v>
      </c>
      <c r="P22" s="1325" t="s">
        <v>2124</v>
      </c>
      <c r="Q22" s="1946">
        <f t="shared" si="0"/>
        <v>0</v>
      </c>
      <c r="R22" s="481"/>
      <c r="S22" s="675"/>
      <c r="T22" s="675"/>
      <c r="U22" s="675"/>
    </row>
    <row r="23" spans="2:21" ht="17.100000000000001" customHeight="1">
      <c r="B23" s="1339"/>
      <c r="C23" s="680" t="str">
        <f>Texte!A2907</f>
        <v>Total</v>
      </c>
      <c r="D23" s="1325"/>
      <c r="E23" s="1946">
        <f>SUM(FL_oA_DK_Zonen)</f>
        <v>75.140699999999995</v>
      </c>
      <c r="F23" s="1355"/>
      <c r="G23" s="1946">
        <f>SUM(FL_KW_Zonen)</f>
        <v>0</v>
      </c>
      <c r="H23" s="1355"/>
      <c r="I23" s="1946">
        <f>SUM(FL_BFF_grün_Zonen)</f>
        <v>35.852699999999992</v>
      </c>
      <c r="J23" s="1355"/>
      <c r="L23" s="1342"/>
      <c r="M23" s="1946">
        <f>SUM(FL_NW_n_ÖA_Zonen)</f>
        <v>19.12</v>
      </c>
      <c r="P23" s="1356"/>
      <c r="Q23" s="1946">
        <f>SUM(Q17:Q22)</f>
        <v>29.875809999999998</v>
      </c>
      <c r="R23" s="481"/>
      <c r="S23" s="679"/>
      <c r="T23" s="675"/>
      <c r="U23" s="675"/>
    </row>
    <row r="24" spans="2:21" ht="17.100000000000001" customHeight="1">
      <c r="B24" s="1339"/>
      <c r="C24" s="680"/>
      <c r="D24" s="680"/>
      <c r="E24" s="680"/>
      <c r="F24" s="680"/>
      <c r="G24" s="680"/>
      <c r="H24" s="680"/>
      <c r="I24" s="680"/>
      <c r="J24" s="680"/>
      <c r="K24" s="680"/>
      <c r="L24" s="679"/>
      <c r="M24" s="675"/>
      <c r="N24" s="1325"/>
      <c r="O24" s="691"/>
      <c r="Q24" s="675"/>
      <c r="R24" s="481"/>
      <c r="S24" s="679"/>
      <c r="T24" s="1905" t="b">
        <v>0</v>
      </c>
      <c r="U24" s="675"/>
    </row>
    <row r="25" spans="2:21" ht="17.100000000000001" customHeight="1">
      <c r="B25" s="1339"/>
      <c r="D25" s="680"/>
      <c r="E25" s="680"/>
      <c r="G25" s="680"/>
      <c r="H25" s="680"/>
      <c r="I25" s="680"/>
      <c r="J25" s="680"/>
      <c r="K25" s="680"/>
      <c r="L25" s="679"/>
      <c r="M25" s="675"/>
      <c r="N25" s="675"/>
      <c r="Q25" s="675" t="str">
        <f>Texte!A2489</f>
        <v>RGVE eff.</v>
      </c>
      <c r="R25" s="481"/>
      <c r="S25" s="679"/>
      <c r="T25" s="675"/>
      <c r="U25" s="675"/>
    </row>
    <row r="26" spans="2:21" ht="17.100000000000001" customHeight="1">
      <c r="B26" s="1339"/>
      <c r="C26" s="675"/>
      <c r="D26" s="680"/>
      <c r="E26" s="680"/>
      <c r="F26" s="675" t="str">
        <f>Texte!A2488</f>
        <v>Raufutterverzehrer, Total inkl. gesömmerte Tiere</v>
      </c>
      <c r="G26" s="680"/>
      <c r="H26" s="680"/>
      <c r="I26" s="680"/>
      <c r="J26" s="680"/>
      <c r="K26" s="680"/>
      <c r="L26" s="679"/>
      <c r="M26" s="675"/>
      <c r="N26" s="675"/>
      <c r="O26" s="675"/>
      <c r="Q26" s="1946">
        <f>Tierb!RiGVE_eff+SUM(Tierb!RGVE_oRi)</f>
        <v>78.13</v>
      </c>
      <c r="R26" s="481"/>
      <c r="S26" s="679"/>
      <c r="T26" s="675"/>
      <c r="U26" s="675"/>
    </row>
    <row r="27" spans="2:21" ht="17.100000000000001" customHeight="1">
      <c r="B27" s="1339"/>
      <c r="C27" s="680" t="str">
        <f>Texte!A2490</f>
        <v>Mindesttierbesatz für Dauergrünfläche ausser BFF und BFF-Grünland erreicht:</v>
      </c>
      <c r="D27" s="680"/>
      <c r="E27" s="680"/>
      <c r="F27" s="680"/>
      <c r="G27" s="680"/>
      <c r="H27" s="680"/>
      <c r="I27" s="680"/>
      <c r="J27" s="680"/>
      <c r="K27" s="680" t="str">
        <f>IF(OR(Q23=0,Q26=0),"",IF(Q26&gt;=Q23,Texte!A2493,Texte!A2492))</f>
        <v>ja</v>
      </c>
      <c r="L27" s="872" t="s">
        <v>4998</v>
      </c>
      <c r="M27" s="675" t="str">
        <f>Texte!A2494</f>
        <v>Faktor für Ansatz</v>
      </c>
      <c r="N27" s="1721"/>
      <c r="O27" s="1733"/>
      <c r="P27" s="1733" t="s">
        <v>4999</v>
      </c>
      <c r="Q27" s="1948">
        <f>IF(OR(Q26=0,Q23=0),0,IF(Q26&gt;=Q23,1,Q26/Q23))</f>
        <v>1</v>
      </c>
      <c r="R27" s="481"/>
      <c r="S27" s="679"/>
      <c r="T27" s="675"/>
      <c r="U27" s="675"/>
    </row>
    <row r="28" spans="2:21" ht="5.25" customHeight="1">
      <c r="B28" s="1339"/>
      <c r="D28" s="680"/>
      <c r="E28" s="680"/>
      <c r="F28" s="680"/>
      <c r="G28" s="680"/>
      <c r="H28" s="680"/>
      <c r="I28" s="680"/>
      <c r="J28" s="680"/>
      <c r="K28" s="675"/>
      <c r="M28" s="675"/>
      <c r="N28" s="675"/>
      <c r="O28" s="1358"/>
      <c r="Q28" s="675"/>
      <c r="R28" s="481"/>
      <c r="S28" s="679"/>
      <c r="T28" s="675"/>
      <c r="U28" s="675"/>
    </row>
    <row r="29" spans="2:21" ht="5.25" customHeight="1">
      <c r="B29" s="1339"/>
      <c r="C29" s="675"/>
      <c r="E29" s="680"/>
      <c r="F29" s="680"/>
      <c r="G29" s="680"/>
      <c r="H29" s="680"/>
      <c r="I29" s="680"/>
      <c r="J29" s="680"/>
      <c r="K29" s="675"/>
      <c r="M29" s="675"/>
      <c r="N29" s="675"/>
      <c r="O29" s="675"/>
      <c r="P29" s="1358"/>
      <c r="Q29" s="675"/>
      <c r="R29" s="481"/>
      <c r="S29" s="679"/>
      <c r="T29" s="675"/>
      <c r="U29" s="675"/>
    </row>
    <row r="30" spans="2:21" ht="17.100000000000001" customHeight="1">
      <c r="B30" s="1339"/>
      <c r="C30" s="675" t="str">
        <f>Texte!A2496</f>
        <v>** BFF Grünland = extensiv und wenig intensiv genutzte Wiesen, extensive Weiden und Waldweiden, Uferwiesen entlang von Fliessgewässern</v>
      </c>
      <c r="E30" s="680"/>
      <c r="F30" s="680"/>
      <c r="G30" s="680"/>
      <c r="H30" s="680"/>
      <c r="I30" s="680"/>
      <c r="J30" s="680"/>
      <c r="K30" s="675"/>
      <c r="M30" s="675"/>
      <c r="N30" s="675"/>
      <c r="O30" s="675"/>
      <c r="P30" s="1358"/>
      <c r="Q30" s="675"/>
      <c r="R30" s="481"/>
      <c r="S30" s="679"/>
      <c r="T30" s="675"/>
      <c r="U30" s="675"/>
    </row>
    <row r="31" spans="2:21" ht="17.100000000000001" customHeight="1">
      <c r="B31" s="1339"/>
      <c r="C31" s="675" t="str">
        <f>Texte!A2497</f>
        <v>BFF = Biodiversitätsförderflächen</v>
      </c>
      <c r="E31" s="680"/>
      <c r="F31" s="680"/>
      <c r="G31" s="680"/>
      <c r="H31" s="680"/>
      <c r="I31" s="680"/>
      <c r="J31" s="680"/>
      <c r="K31" s="680"/>
      <c r="L31" s="679"/>
      <c r="M31" s="675"/>
      <c r="N31" s="675"/>
      <c r="O31" s="675"/>
      <c r="P31" s="675"/>
      <c r="Q31" s="675"/>
      <c r="R31" s="481"/>
      <c r="S31" s="679"/>
      <c r="T31" s="679"/>
      <c r="U31" s="675"/>
    </row>
    <row r="32" spans="2:21" ht="3.75" customHeight="1">
      <c r="B32" s="1339"/>
      <c r="C32" s="680"/>
      <c r="D32" s="675"/>
      <c r="E32" s="680"/>
      <c r="F32" s="680"/>
      <c r="G32" s="680"/>
      <c r="H32" s="680"/>
      <c r="I32" s="680"/>
      <c r="J32" s="680"/>
      <c r="K32" s="680"/>
      <c r="L32" s="679"/>
      <c r="M32" s="675"/>
      <c r="N32" s="675"/>
      <c r="O32" s="675"/>
      <c r="P32" s="675"/>
      <c r="Q32" s="675"/>
      <c r="R32" s="481"/>
      <c r="S32" s="679"/>
      <c r="T32" s="679"/>
      <c r="U32" s="675"/>
    </row>
    <row r="33" spans="2:30" ht="17.100000000000001" customHeight="1">
      <c r="B33" s="1339"/>
      <c r="C33" s="1346" t="str">
        <f>Texte!A2502</f>
        <v>Basisbeitrag</v>
      </c>
      <c r="D33" s="680"/>
      <c r="E33" s="680"/>
      <c r="F33" s="680"/>
      <c r="G33" s="680"/>
      <c r="H33" s="680"/>
      <c r="J33" s="680"/>
      <c r="K33" s="675" t="str">
        <f>Texte!A2498</f>
        <v>Fläche (ha)</v>
      </c>
      <c r="L33" s="679"/>
      <c r="M33" s="675" t="str">
        <f>Texte!A2499</f>
        <v>Betrag (CHF/ha)</v>
      </c>
      <c r="O33" s="675" t="str">
        <f>Texte!A2500</f>
        <v>Zwischentotal (CHF)</v>
      </c>
      <c r="P33" s="675"/>
      <c r="Q33" s="675" t="str">
        <f>Texte!A2501</f>
        <v>Total (CHF)</v>
      </c>
      <c r="R33" s="481"/>
      <c r="S33" s="679"/>
      <c r="T33" s="679"/>
      <c r="U33" s="675"/>
    </row>
    <row r="34" spans="2:30" ht="7.15" customHeight="1">
      <c r="B34" s="1339"/>
      <c r="C34" s="680"/>
      <c r="D34" s="680"/>
      <c r="E34" s="680"/>
      <c r="F34" s="680"/>
      <c r="G34" s="680"/>
      <c r="H34" s="680"/>
      <c r="J34" s="680"/>
      <c r="K34" s="680"/>
      <c r="L34" s="679"/>
      <c r="M34" s="680"/>
      <c r="O34" s="675"/>
      <c r="P34" s="675"/>
      <c r="Q34" s="675"/>
      <c r="R34" s="481"/>
      <c r="S34" s="679"/>
      <c r="T34" s="679"/>
      <c r="U34" s="675"/>
    </row>
    <row r="35" spans="2:30" ht="17.100000000000001" customHeight="1">
      <c r="B35" s="1324"/>
      <c r="C35" s="675" t="str">
        <f>Texte!A2503</f>
        <v>offene Ackerfläche und Dauerkulturen (1)</v>
      </c>
      <c r="D35" s="675"/>
      <c r="E35" s="1355"/>
      <c r="F35" s="1355"/>
      <c r="G35" s="1355"/>
      <c r="H35" s="1355"/>
      <c r="K35" s="1946">
        <f>E23</f>
        <v>75.140699999999995</v>
      </c>
      <c r="L35" s="1325" t="s">
        <v>1045</v>
      </c>
      <c r="M35" s="557">
        <f>D_Klick!C125</f>
        <v>600</v>
      </c>
      <c r="N35" s="1325" t="s">
        <v>4983</v>
      </c>
      <c r="O35" s="557">
        <f>K35*M35</f>
        <v>45084.42</v>
      </c>
      <c r="Q35" s="1320"/>
      <c r="R35" s="481"/>
      <c r="S35" s="679"/>
      <c r="T35" s="1701"/>
      <c r="U35" s="1701"/>
      <c r="V35" s="1701">
        <f>E23</f>
        <v>75.140699999999995</v>
      </c>
      <c r="W35" s="1701">
        <f>O35</f>
        <v>45084.42</v>
      </c>
      <c r="X35" s="1701"/>
      <c r="Y35" s="1701"/>
      <c r="Z35" s="1701" t="s">
        <v>6940</v>
      </c>
      <c r="AA35" s="1701"/>
      <c r="AB35" s="1701"/>
      <c r="AC35" s="1701"/>
      <c r="AD35" s="1701"/>
    </row>
    <row r="36" spans="2:30" ht="17.100000000000001" customHeight="1">
      <c r="B36" s="1324"/>
      <c r="C36" s="675" t="str">
        <f>Texte!A2504</f>
        <v>Kunstwiesen</v>
      </c>
      <c r="D36" s="675"/>
      <c r="E36" s="1355"/>
      <c r="F36" s="1355"/>
      <c r="G36" s="1355"/>
      <c r="H36" s="1355"/>
      <c r="K36" s="1946">
        <f>G23</f>
        <v>0</v>
      </c>
      <c r="L36" s="1325" t="s">
        <v>1045</v>
      </c>
      <c r="M36" s="557">
        <f>D_Klick!C126</f>
        <v>600</v>
      </c>
      <c r="N36" s="1359" t="s">
        <v>4983</v>
      </c>
      <c r="O36" s="557">
        <f>K36*M36</f>
        <v>0</v>
      </c>
      <c r="Q36" s="1320"/>
      <c r="R36" s="481"/>
      <c r="S36" s="679"/>
      <c r="T36" s="1701"/>
      <c r="U36" s="1701"/>
      <c r="V36" s="1701">
        <f>G23</f>
        <v>0</v>
      </c>
      <c r="W36" s="1701">
        <f>O36</f>
        <v>0</v>
      </c>
      <c r="X36" s="1701"/>
      <c r="Y36" s="1707">
        <f>IF(OR(Z36=1,Z36=0),1,Z36-1)</f>
        <v>1</v>
      </c>
      <c r="Z36" s="1707">
        <f>Allg!BGIdx</f>
        <v>0</v>
      </c>
      <c r="AA36" s="1701"/>
      <c r="AB36" s="1701"/>
      <c r="AC36" s="1701"/>
      <c r="AD36" s="1701"/>
    </row>
    <row r="37" spans="2:30" ht="17.100000000000001" customHeight="1">
      <c r="B37" s="1324"/>
      <c r="C37" s="675" t="str">
        <f>Texte!A2505</f>
        <v>Dauergrünfläche ausser BFF</v>
      </c>
      <c r="D37" s="675"/>
      <c r="E37" s="1355"/>
      <c r="F37" s="1355"/>
      <c r="G37" s="1355"/>
      <c r="H37" s="1355"/>
      <c r="K37" s="1946">
        <f>M23</f>
        <v>19.12</v>
      </c>
      <c r="L37" s="1325" t="s">
        <v>1045</v>
      </c>
      <c r="M37" s="557">
        <f>IF($Q$27&gt;=1,D_Klick!C127,$Q$27*D_Klick!C127)</f>
        <v>600</v>
      </c>
      <c r="N37" s="1325" t="s">
        <v>4983</v>
      </c>
      <c r="O37" s="557">
        <f>K37*M37</f>
        <v>11472</v>
      </c>
      <c r="Q37" s="1320"/>
      <c r="R37" s="481"/>
      <c r="S37" s="679"/>
      <c r="T37" s="1701"/>
      <c r="U37" s="1701"/>
      <c r="V37" s="1701">
        <f>M23</f>
        <v>19.12</v>
      </c>
      <c r="W37" s="1701">
        <f>M23*900</f>
        <v>17208</v>
      </c>
      <c r="X37" s="1701"/>
      <c r="Y37" s="1701"/>
      <c r="Z37" s="1701"/>
      <c r="AA37" s="1701"/>
      <c r="AB37" s="1701"/>
      <c r="AC37" s="1701"/>
      <c r="AD37" s="1701"/>
    </row>
    <row r="38" spans="2:30" ht="17.100000000000001" customHeight="1">
      <c r="B38" s="1324"/>
      <c r="C38" s="675" t="str">
        <f>Texte!A2506</f>
        <v>BFF Grünland (2)</v>
      </c>
      <c r="D38" s="675"/>
      <c r="E38" s="1355"/>
      <c r="F38" s="1355"/>
      <c r="G38" s="1355"/>
      <c r="H38" s="1355"/>
      <c r="K38" s="1946">
        <f>I23</f>
        <v>35.852699999999992</v>
      </c>
      <c r="L38" s="1325" t="s">
        <v>1045</v>
      </c>
      <c r="M38" s="557">
        <f>IF($Q$27&gt;=1,D_Klick!C128,$Q$27*D_Klick!C128)</f>
        <v>300</v>
      </c>
      <c r="N38" s="1325" t="s">
        <v>4983</v>
      </c>
      <c r="O38" s="557">
        <f>K38*M38</f>
        <v>10755.809999999998</v>
      </c>
      <c r="Q38" s="1320"/>
      <c r="R38" s="481"/>
      <c r="S38" s="679"/>
      <c r="T38" s="1701"/>
      <c r="U38" s="1701"/>
      <c r="V38" s="1701">
        <f>I23</f>
        <v>35.852699999999992</v>
      </c>
      <c r="W38" s="1701">
        <f>I23*450</f>
        <v>16133.714999999997</v>
      </c>
      <c r="X38" s="1701"/>
      <c r="Y38" s="1701"/>
      <c r="Z38" s="1701"/>
      <c r="AA38" s="1701"/>
      <c r="AB38" s="1701"/>
      <c r="AC38" s="1701"/>
      <c r="AD38" s="1701"/>
    </row>
    <row r="39" spans="2:30" ht="17.100000000000001" customHeight="1">
      <c r="B39" s="1324"/>
      <c r="C39" s="680" t="str">
        <f>Texte!A2507</f>
        <v>Abstufung des Beitrags, wenn mehr als 60 ha je Betrieb:</v>
      </c>
      <c r="D39" s="1365"/>
      <c r="E39" s="933"/>
      <c r="F39" s="933"/>
      <c r="G39" s="933"/>
      <c r="H39" s="679"/>
      <c r="I39" s="1338"/>
      <c r="J39" s="675"/>
      <c r="K39" s="296"/>
      <c r="L39" s="1325"/>
      <c r="M39" s="1355"/>
      <c r="N39" s="1325"/>
      <c r="O39" s="296"/>
      <c r="Q39" s="1320"/>
      <c r="R39" s="481"/>
      <c r="S39" s="679"/>
      <c r="T39" s="1701"/>
      <c r="U39" s="1701"/>
      <c r="V39" s="1701"/>
      <c r="W39" s="1701"/>
      <c r="X39" s="1701"/>
      <c r="Y39" s="1701"/>
      <c r="Z39" s="1701" t="s">
        <v>3748</v>
      </c>
      <c r="AA39" s="1701"/>
      <c r="AB39" s="1701"/>
      <c r="AC39" s="1701"/>
      <c r="AD39" s="1701"/>
    </row>
    <row r="40" spans="2:30" ht="17.100000000000001" customHeight="1">
      <c r="B40" s="1324"/>
      <c r="C40" s="872" t="str">
        <f>Texte!A2508</f>
        <v>Fläche zwischen</v>
      </c>
      <c r="D40" s="1325"/>
      <c r="F40" s="872" t="str">
        <f>Texte!A2509</f>
        <v>Abstufung</v>
      </c>
      <c r="I40" s="296" t="str">
        <f>Texte!A2510</f>
        <v>gewichtete Fläche</v>
      </c>
      <c r="J40" s="679"/>
      <c r="K40" s="296" t="str">
        <f>Texte!A2511</f>
        <v>gesamte Fläche</v>
      </c>
      <c r="L40" s="675"/>
      <c r="O40" s="552" t="str">
        <f>Texte!A2512</f>
        <v>Zwischentotal des Basisbeitrags</v>
      </c>
      <c r="P40" s="1325"/>
      <c r="Q40" s="1320"/>
      <c r="R40" s="481"/>
      <c r="S40" s="679"/>
      <c r="T40" s="1701"/>
      <c r="U40" s="1701"/>
      <c r="V40" s="1701"/>
      <c r="W40" s="1701"/>
      <c r="X40" s="1701"/>
      <c r="Y40" s="1701">
        <v>1</v>
      </c>
      <c r="Z40" s="1701">
        <v>2</v>
      </c>
      <c r="AA40" s="1701">
        <v>3</v>
      </c>
      <c r="AB40" s="1701">
        <v>4</v>
      </c>
      <c r="AC40" s="1701"/>
      <c r="AD40" s="1701"/>
    </row>
    <row r="41" spans="2:30" ht="17.100000000000001" customHeight="1">
      <c r="B41" s="1445"/>
      <c r="C41" s="1454" t="str">
        <f>HLOOKUP($Y$36,$Y$40:$AB$46,2) &amp;  " "</f>
        <v xml:space="preserve">0 - 60 ha </v>
      </c>
      <c r="D41" s="1909">
        <f>IF(K$41&lt;=$Y$36*60,K$41,$Y$36*60)</f>
        <v>60</v>
      </c>
      <c r="E41" s="1446" t="s">
        <v>1045</v>
      </c>
      <c r="F41" s="243">
        <v>1</v>
      </c>
      <c r="G41" s="1447"/>
      <c r="H41" s="1448" t="s">
        <v>4983</v>
      </c>
      <c r="I41" s="1946">
        <f>D41*F41+D42*F42+D43*F43+D44*F44+D45*F45+D46*F46</f>
        <v>98.022679999999994</v>
      </c>
      <c r="J41" s="1449" t="s">
        <v>4708</v>
      </c>
      <c r="K41" s="1946">
        <f>SUM(K35:K38)</f>
        <v>130.11339999999998</v>
      </c>
      <c r="L41" s="1325"/>
      <c r="N41" s="2" t="s">
        <v>1045</v>
      </c>
      <c r="O41" s="557">
        <f>SUM(O35:O38)</f>
        <v>67312.23</v>
      </c>
      <c r="Q41" s="1320"/>
      <c r="R41" s="481"/>
      <c r="S41" s="679"/>
      <c r="T41" s="1701">
        <f>IF(V$41&lt;=Y36*60,V$41,Y36*60)</f>
        <v>60</v>
      </c>
      <c r="U41" s="1701">
        <f>T41*F41+T42*F42+T43*F43+T44*F44+T45*F45+T46*F46</f>
        <v>98.022679999999994</v>
      </c>
      <c r="V41" s="1701">
        <f>SUM(V35:V40)</f>
        <v>130.11339999999998</v>
      </c>
      <c r="W41" s="1701">
        <f>SUM(W35:W38)</f>
        <v>78426.134999999995</v>
      </c>
      <c r="X41" s="1701"/>
      <c r="Y41" s="1701" t="s">
        <v>1958</v>
      </c>
      <c r="Z41" s="1701" t="s">
        <v>3754</v>
      </c>
      <c r="AA41" s="1701" t="s">
        <v>3757</v>
      </c>
      <c r="AB41" s="1701" t="s">
        <v>3756</v>
      </c>
      <c r="AC41" s="1701"/>
      <c r="AD41" s="1701"/>
    </row>
    <row r="42" spans="2:30" ht="17.100000000000001" customHeight="1">
      <c r="B42" s="1445"/>
      <c r="C42" s="1454" t="str">
        <f>"+ " &amp; HLOOKUP($Y$36,$Y$40:$AB$46,3)&amp;  " "</f>
        <v xml:space="preserve">+ 60 - 80 ha </v>
      </c>
      <c r="D42" s="1946">
        <f>IF((K$41-D$41)&lt;=$Y$36*20,K$41-D$41,$Y$36*20)</f>
        <v>20</v>
      </c>
      <c r="E42" s="1446" t="s">
        <v>1045</v>
      </c>
      <c r="F42" s="243">
        <v>0.8</v>
      </c>
      <c r="I42" s="675"/>
      <c r="J42" s="675"/>
      <c r="K42" s="675"/>
      <c r="L42" s="679"/>
      <c r="M42" s="1338"/>
      <c r="Q42" s="1320"/>
      <c r="R42" s="481"/>
      <c r="S42" s="679"/>
      <c r="T42" s="1701">
        <f>IF((V$41-T$41)&lt;=Y36*20,V$41-T$41,Y36*20)</f>
        <v>20</v>
      </c>
      <c r="U42" s="1701"/>
      <c r="V42" s="1701"/>
      <c r="W42" s="1701"/>
      <c r="X42" s="1701"/>
      <c r="Y42" s="1701" t="s">
        <v>1959</v>
      </c>
      <c r="Z42" s="1701" t="s">
        <v>3749</v>
      </c>
      <c r="AA42" s="1701" t="s">
        <v>3758</v>
      </c>
      <c r="AB42" s="1701" t="s">
        <v>3763</v>
      </c>
      <c r="AC42" s="1701"/>
      <c r="AD42" s="1701"/>
    </row>
    <row r="43" spans="2:30" ht="17.100000000000001" customHeight="1">
      <c r="B43" s="1445"/>
      <c r="C43" s="1454" t="str">
        <f>"+ " &amp;HLOOKUP($Y$36,$Y$40:$AB$46,4)&amp;  " "</f>
        <v xml:space="preserve">+ 80 - 100 ha </v>
      </c>
      <c r="D43" s="1946">
        <f>IF((K$41-D$41-D$42)&lt;=$Y$36*20,K$41-D$41-D$42,$Y$36*20)</f>
        <v>20</v>
      </c>
      <c r="E43" s="1446" t="s">
        <v>1045</v>
      </c>
      <c r="F43" s="243">
        <v>0.6</v>
      </c>
      <c r="H43" s="872" t="str">
        <f>Texte!A2514</f>
        <v>Einzelbetrieb oder Gemeinschaft</v>
      </c>
      <c r="I43" s="675"/>
      <c r="J43" s="675"/>
      <c r="K43" s="675"/>
      <c r="L43" s="679"/>
      <c r="M43" s="1338"/>
      <c r="N43" s="1325"/>
      <c r="O43" s="1441" t="str">
        <f>Texte!A2513</f>
        <v>Beitrag total</v>
      </c>
      <c r="P43" s="1325" t="s">
        <v>4983</v>
      </c>
      <c r="Q43" s="1920">
        <f>IF(K41=0,0,I41/K41*O41)</f>
        <v>50710.573863847996</v>
      </c>
      <c r="R43" s="481"/>
      <c r="S43" s="679"/>
      <c r="T43" s="1701">
        <f>IF((V$41-T$41-T$42)&lt;=Y36*20,V$41-T$41-T$42,Y36*20)</f>
        <v>20</v>
      </c>
      <c r="U43" s="1701"/>
      <c r="V43" s="1701"/>
      <c r="W43" s="1701">
        <f>IF(V41=0,0,U41/V41*W41)</f>
        <v>59083.383684861052</v>
      </c>
      <c r="X43" s="1701"/>
      <c r="Y43" s="1701" t="s">
        <v>5185</v>
      </c>
      <c r="Z43" s="1701" t="s">
        <v>3750</v>
      </c>
      <c r="AA43" s="1701" t="s">
        <v>3759</v>
      </c>
      <c r="AB43" s="1701" t="s">
        <v>3764</v>
      </c>
      <c r="AC43" s="1701"/>
      <c r="AD43" s="1701"/>
    </row>
    <row r="44" spans="2:30" ht="17.100000000000001" customHeight="1">
      <c r="B44" s="1445"/>
      <c r="C44" s="1454" t="str">
        <f>"+ " &amp;HLOOKUP($Y$36,$Y$40:$AB$46,5)&amp;  " "</f>
        <v xml:space="preserve">+ 100 - 120 ha </v>
      </c>
      <c r="D44" s="1946">
        <f>IF((K$41-D$41-D$42-D$43)&lt;=$Y$36*20,K$41-D$41-D$42-D$43,$Y$36*20)</f>
        <v>20</v>
      </c>
      <c r="E44" s="1446" t="s">
        <v>1045</v>
      </c>
      <c r="F44" s="243">
        <v>0.4</v>
      </c>
      <c r="H44" s="680" t="str">
        <f>HLOOKUP($Y$36,$Y$40:$AB$47,8)</f>
        <v>Einzelbetrieb</v>
      </c>
      <c r="I44" s="675"/>
      <c r="J44" s="1334"/>
      <c r="K44" s="679"/>
      <c r="L44" s="679"/>
      <c r="M44" s="1338"/>
      <c r="N44" s="1325"/>
      <c r="O44" s="1338"/>
      <c r="P44" s="1325"/>
      <c r="Q44" s="1320"/>
      <c r="R44" s="481"/>
      <c r="S44" s="679"/>
      <c r="T44" s="1701">
        <f>IF((V$41-T$41-T$42-T$43)&lt;=Y36*20,V$41-T$41-T$42-T$43,Y36*20)</f>
        <v>20</v>
      </c>
      <c r="U44" s="1701"/>
      <c r="V44" s="1701"/>
      <c r="W44" s="1701"/>
      <c r="X44" s="1701"/>
      <c r="Y44" s="1701" t="s">
        <v>5186</v>
      </c>
      <c r="Z44" s="1701" t="s">
        <v>3751</v>
      </c>
      <c r="AA44" s="1701" t="s">
        <v>3760</v>
      </c>
      <c r="AB44" s="1701" t="s">
        <v>3765</v>
      </c>
      <c r="AC44" s="1701"/>
      <c r="AD44" s="1701"/>
    </row>
    <row r="45" spans="2:30" ht="17.100000000000001" customHeight="1">
      <c r="B45" s="1445"/>
      <c r="C45" s="1454" t="str">
        <f>"+ " &amp;HLOOKUP($Y$36,$Y$40:$AB$46,6)&amp;  " "</f>
        <v xml:space="preserve">+ 120 - 140 ha </v>
      </c>
      <c r="D45" s="1946">
        <f>IF((K$41-D$41-D$42-D$43-D$44)&lt;=$Y$36*20,K$41-D$41-D$42-D$43-D$44,$Y$36*20)</f>
        <v>10.113399999999984</v>
      </c>
      <c r="E45" s="1446" t="s">
        <v>1045</v>
      </c>
      <c r="F45" s="243">
        <v>0.2</v>
      </c>
      <c r="I45" s="675"/>
      <c r="J45" s="675"/>
      <c r="K45" s="675"/>
      <c r="L45" s="679"/>
      <c r="M45" s="1338"/>
      <c r="N45" s="1325"/>
      <c r="O45" s="1338"/>
      <c r="P45" s="1325"/>
      <c r="Q45" s="1320"/>
      <c r="R45" s="481"/>
      <c r="S45" s="679"/>
      <c r="T45" s="1701">
        <f>IF((V$41-T$41-T$42-T$43-T$44)&lt;=Y36*20,V$41-T$41-T$42-T$43-T$44,Y36*20)</f>
        <v>10.113399999999984</v>
      </c>
      <c r="U45" s="1701"/>
      <c r="V45" s="1701"/>
      <c r="W45" s="1701"/>
      <c r="X45" s="1701"/>
      <c r="Y45" s="1701" t="s">
        <v>5187</v>
      </c>
      <c r="Z45" s="1701" t="s">
        <v>3752</v>
      </c>
      <c r="AA45" s="1701" t="s">
        <v>3761</v>
      </c>
      <c r="AB45" s="1701" t="s">
        <v>3766</v>
      </c>
      <c r="AC45" s="1701"/>
      <c r="AD45" s="1701"/>
    </row>
    <row r="46" spans="2:30" ht="17.100000000000001" customHeight="1">
      <c r="B46" s="1445"/>
      <c r="C46" s="1454" t="str">
        <f>"+ " &amp;HLOOKUP($Y$36,$Y$40:$AB$46,7)&amp;  " "</f>
        <v xml:space="preserve">+ &gt; 140 ha </v>
      </c>
      <c r="D46" s="1946">
        <f>K$41-D$41-D$42-D$43-D$44-D$45</f>
        <v>0</v>
      </c>
      <c r="E46" s="1446" t="s">
        <v>1045</v>
      </c>
      <c r="F46" s="1450" t="s">
        <v>2000</v>
      </c>
      <c r="G46" s="1446"/>
      <c r="H46" s="243"/>
      <c r="I46" s="675"/>
      <c r="J46" s="675"/>
      <c r="K46" s="675"/>
      <c r="L46" s="679"/>
      <c r="M46" s="1338"/>
      <c r="N46" s="1325"/>
      <c r="O46" s="1338"/>
      <c r="P46" s="1325"/>
      <c r="Q46" s="1320"/>
      <c r="R46" s="481"/>
      <c r="S46" s="679"/>
      <c r="T46" s="1701">
        <f>V$41-T$41-T$42-T$43-T$44-T$45</f>
        <v>0</v>
      </c>
      <c r="U46" s="1701"/>
      <c r="V46" s="1701"/>
      <c r="W46" s="1701"/>
      <c r="X46" s="1701"/>
      <c r="Y46" s="1701" t="s">
        <v>1999</v>
      </c>
      <c r="Z46" s="1701" t="s">
        <v>3753</v>
      </c>
      <c r="AA46" s="1701" t="s">
        <v>3762</v>
      </c>
      <c r="AB46" s="1701" t="s">
        <v>3767</v>
      </c>
      <c r="AC46" s="1701"/>
      <c r="AD46" s="1701"/>
    </row>
    <row r="47" spans="2:30" ht="17.100000000000001" customHeight="1">
      <c r="B47" s="1324"/>
      <c r="C47" s="675"/>
      <c r="D47" s="675"/>
      <c r="E47" s="675"/>
      <c r="F47" s="675"/>
      <c r="G47" s="675"/>
      <c r="H47" s="675"/>
      <c r="I47" s="675"/>
      <c r="J47" s="675"/>
      <c r="K47" s="675"/>
      <c r="L47" s="679"/>
      <c r="M47" s="1338"/>
      <c r="N47" s="675"/>
      <c r="O47" s="1338"/>
      <c r="P47" s="1325"/>
      <c r="Q47" s="1320"/>
      <c r="R47" s="481"/>
      <c r="S47" s="679"/>
      <c r="T47" s="1701"/>
      <c r="U47" s="1701"/>
      <c r="V47" s="1701"/>
      <c r="W47" s="1701"/>
      <c r="X47" s="1701"/>
      <c r="Y47" s="1701" t="str">
        <f>Texte!A2515</f>
        <v>Einzelbetrieb</v>
      </c>
      <c r="Z47" s="1701" t="str">
        <f>Texte!A2516</f>
        <v>BG mit 2 Betrieben</v>
      </c>
      <c r="AA47" s="1701" t="str">
        <f>Texte!A2517</f>
        <v>BG mit 3 Betrieben</v>
      </c>
      <c r="AB47" s="1701" t="str">
        <f>Texte!A2518</f>
        <v>BG mit 4 Betrieben</v>
      </c>
      <c r="AC47" s="1701"/>
      <c r="AD47" s="1701"/>
    </row>
    <row r="48" spans="2:30" ht="17.100000000000001" customHeight="1">
      <c r="B48" s="1324"/>
      <c r="C48" s="1346" t="str">
        <f>Texte!A2522</f>
        <v>Produktionserschwernisbeitrag</v>
      </c>
      <c r="D48" s="675"/>
      <c r="E48" s="675"/>
      <c r="F48" s="675"/>
      <c r="G48" s="675"/>
      <c r="H48" s="675"/>
      <c r="I48" s="675"/>
      <c r="J48" s="675"/>
      <c r="K48" s="675"/>
      <c r="L48" s="679"/>
      <c r="M48" s="1338"/>
      <c r="N48" s="675"/>
      <c r="O48" s="1338"/>
      <c r="P48" s="1325"/>
      <c r="Q48" s="1320"/>
      <c r="R48" s="481"/>
      <c r="S48" s="679"/>
      <c r="T48" s="1701"/>
      <c r="U48" s="1701"/>
      <c r="V48" s="1701"/>
      <c r="W48" s="1701"/>
      <c r="X48" s="1701"/>
      <c r="Y48" s="1701"/>
      <c r="Z48" s="1701"/>
      <c r="AA48" s="1701"/>
      <c r="AB48" s="1701"/>
      <c r="AC48" s="1701"/>
      <c r="AD48" s="1701"/>
    </row>
    <row r="49" spans="2:30" ht="7.15" customHeight="1">
      <c r="B49" s="1324"/>
      <c r="C49" s="680"/>
      <c r="D49" s="675"/>
      <c r="E49" s="675"/>
      <c r="F49" s="675"/>
      <c r="G49" s="675"/>
      <c r="H49" s="675"/>
      <c r="I49" s="675"/>
      <c r="J49" s="675"/>
      <c r="K49" s="675"/>
      <c r="L49" s="679"/>
      <c r="M49" s="1338"/>
      <c r="N49" s="675"/>
      <c r="O49" s="1338"/>
      <c r="P49" s="1325"/>
      <c r="Q49" s="1320"/>
      <c r="R49" s="481"/>
      <c r="S49" s="679"/>
      <c r="T49" s="1701"/>
      <c r="U49" s="1701"/>
      <c r="V49" s="1701"/>
      <c r="W49" s="1701"/>
      <c r="X49" s="1701"/>
      <c r="Y49" s="1701"/>
      <c r="Z49" s="1701"/>
      <c r="AA49" s="1701"/>
      <c r="AB49" s="1701"/>
      <c r="AC49" s="1701"/>
      <c r="AD49" s="1701"/>
    </row>
    <row r="50" spans="2:30" ht="14.1" customHeight="1">
      <c r="B50" s="1324"/>
      <c r="C50" s="675"/>
      <c r="D50" s="675"/>
      <c r="E50" s="675" t="str">
        <f>Texte!A2472</f>
        <v>offene Ackerfläche</v>
      </c>
      <c r="F50" s="675"/>
      <c r="G50" s="675" t="str">
        <f>Texte!A2474</f>
        <v>Kunstwiesen</v>
      </c>
      <c r="H50" s="675"/>
      <c r="I50" s="675" t="str">
        <f>Texte!A2476</f>
        <v>BFF</v>
      </c>
      <c r="J50" s="675"/>
      <c r="K50" s="675" t="str">
        <f>Texte!A2481</f>
        <v>Dauergrünfläche</v>
      </c>
      <c r="L50" s="675"/>
      <c r="M50" s="1338"/>
      <c r="N50" s="675"/>
      <c r="O50" s="1338"/>
      <c r="P50" s="1325"/>
      <c r="Q50" s="1320"/>
      <c r="R50" s="481"/>
      <c r="S50" s="679"/>
      <c r="T50" s="1701"/>
      <c r="U50" s="1701"/>
      <c r="V50" s="1701"/>
      <c r="W50" s="1701"/>
      <c r="X50" s="1701"/>
      <c r="Y50" s="1701"/>
      <c r="Z50" s="1701"/>
      <c r="AA50" s="1701"/>
      <c r="AB50" s="1701"/>
      <c r="AC50" s="1701"/>
      <c r="AD50" s="1701"/>
    </row>
    <row r="51" spans="2:30" ht="14.1" customHeight="1">
      <c r="B51" s="1324"/>
      <c r="C51" s="675"/>
      <c r="D51" s="675"/>
      <c r="E51" s="675" t="str">
        <f>Texte!A2473</f>
        <v>u. Dauerkulturen</v>
      </c>
      <c r="F51" s="675"/>
      <c r="G51" s="675">
        <f>Texte!A2475</f>
        <v>0</v>
      </c>
      <c r="H51" s="675"/>
      <c r="I51" s="675" t="str">
        <f>Texte!A2477</f>
        <v>Grünland**</v>
      </c>
      <c r="J51" s="675"/>
      <c r="K51" s="675" t="str">
        <f>Texte!A2482</f>
        <v>ausser BFF</v>
      </c>
      <c r="L51" s="675"/>
      <c r="M51" s="1338" t="str">
        <f>Texte!A2499</f>
        <v>Betrag (CHF/ha)</v>
      </c>
      <c r="N51" s="675"/>
      <c r="O51" s="1338"/>
      <c r="P51" s="1325"/>
      <c r="Q51" s="1320"/>
      <c r="R51" s="481"/>
      <c r="S51" s="679"/>
      <c r="T51" s="1701"/>
      <c r="U51" s="1701"/>
      <c r="V51" s="1701"/>
      <c r="W51" s="1701"/>
      <c r="X51" s="1701"/>
      <c r="Y51" s="1701"/>
      <c r="Z51" s="1701"/>
      <c r="AA51" s="1701"/>
      <c r="AB51" s="1701"/>
      <c r="AC51" s="1701"/>
      <c r="AD51" s="1701"/>
    </row>
    <row r="52" spans="2:30" ht="14.1" customHeight="1">
      <c r="B52" s="1324"/>
      <c r="C52" s="675"/>
      <c r="D52" s="675"/>
      <c r="E52" s="675"/>
      <c r="F52" s="675"/>
      <c r="G52" s="675"/>
      <c r="H52" s="675"/>
      <c r="I52" s="675"/>
      <c r="J52" s="675"/>
      <c r="K52" s="675">
        <f>Texte!A2483</f>
        <v>0</v>
      </c>
      <c r="L52" s="675"/>
      <c r="M52" s="1338"/>
      <c r="N52" s="675"/>
      <c r="O52" s="1338"/>
      <c r="P52" s="1325"/>
      <c r="Q52" s="1320"/>
      <c r="R52" s="481"/>
      <c r="S52" s="679"/>
      <c r="T52" s="1701"/>
      <c r="U52" s="1701"/>
      <c r="V52" s="1701"/>
      <c r="W52" s="1701"/>
      <c r="X52" s="1701"/>
      <c r="Y52" s="1701"/>
      <c r="Z52" s="1701"/>
      <c r="AA52" s="1701"/>
      <c r="AB52" s="1701"/>
      <c r="AC52" s="1701"/>
      <c r="AD52" s="1701"/>
    </row>
    <row r="53" spans="2:30" ht="7.15" customHeight="1">
      <c r="B53" s="1324"/>
      <c r="C53" s="675"/>
      <c r="D53" s="675"/>
      <c r="E53" s="675"/>
      <c r="F53" s="675"/>
      <c r="G53" s="675"/>
      <c r="H53" s="675"/>
      <c r="I53" s="675"/>
      <c r="J53" s="675"/>
      <c r="K53" s="675"/>
      <c r="L53" s="675"/>
      <c r="M53" s="1338"/>
      <c r="N53" s="675"/>
      <c r="O53" s="1338"/>
      <c r="P53" s="1325"/>
      <c r="Q53" s="1320"/>
      <c r="R53" s="481"/>
      <c r="S53" s="679"/>
      <c r="T53" s="1701"/>
      <c r="U53" s="1701"/>
      <c r="V53" s="1701"/>
      <c r="W53" s="1701"/>
      <c r="X53" s="1701"/>
      <c r="Y53" s="1701"/>
      <c r="Z53" s="1701"/>
      <c r="AA53" s="1701"/>
      <c r="AB53" s="1701"/>
      <c r="AC53" s="1701"/>
      <c r="AD53" s="1701"/>
    </row>
    <row r="54" spans="2:30" ht="17.100000000000001" customHeight="1">
      <c r="B54" s="1324"/>
      <c r="C54" s="675" t="str">
        <f>Texte!A2417</f>
        <v>Hügelzone</v>
      </c>
      <c r="D54" s="1334"/>
      <c r="E54" s="1946">
        <f>E18</f>
        <v>0</v>
      </c>
      <c r="F54" s="691" t="s">
        <v>4987</v>
      </c>
      <c r="G54" s="1946">
        <f>G18</f>
        <v>0</v>
      </c>
      <c r="H54" s="691" t="s">
        <v>4987</v>
      </c>
      <c r="I54" s="1946">
        <f>I18</f>
        <v>0</v>
      </c>
      <c r="J54" s="691" t="s">
        <v>4987</v>
      </c>
      <c r="K54" s="1946">
        <f>M18</f>
        <v>0</v>
      </c>
      <c r="L54" s="1325" t="s">
        <v>1045</v>
      </c>
      <c r="M54" s="557">
        <f>IF(Allg!Erntejahr&gt;2023,390,290)</f>
        <v>390</v>
      </c>
      <c r="N54" s="1360" t="s">
        <v>4983</v>
      </c>
      <c r="O54" s="557">
        <f>(E54+G54+I54+K54)*M54</f>
        <v>0</v>
      </c>
      <c r="P54" s="1325"/>
      <c r="Q54" s="1320"/>
      <c r="R54" s="481"/>
      <c r="S54" s="679"/>
      <c r="T54" s="1701"/>
      <c r="U54" s="1701"/>
      <c r="V54" s="1701"/>
      <c r="W54" s="1701">
        <f>(E18+G18+I18+M18)*M54</f>
        <v>0</v>
      </c>
      <c r="X54" s="1701"/>
      <c r="Y54" s="1701"/>
      <c r="Z54" s="1701"/>
      <c r="AA54" s="1701"/>
      <c r="AB54" s="1701"/>
      <c r="AC54" s="1701"/>
      <c r="AD54" s="1701"/>
    </row>
    <row r="55" spans="2:30" ht="17.100000000000001" customHeight="1">
      <c r="B55" s="1324"/>
      <c r="C55" s="675" t="str">
        <f>Texte!A2418</f>
        <v>Bergzone I</v>
      </c>
      <c r="D55" s="675"/>
      <c r="E55" s="1946">
        <f>E19</f>
        <v>0</v>
      </c>
      <c r="F55" s="691" t="s">
        <v>4987</v>
      </c>
      <c r="G55" s="1946">
        <f>G19</f>
        <v>0</v>
      </c>
      <c r="H55" s="691" t="s">
        <v>4987</v>
      </c>
      <c r="I55" s="1946">
        <f>I19</f>
        <v>0</v>
      </c>
      <c r="J55" s="691" t="s">
        <v>4987</v>
      </c>
      <c r="K55" s="1946">
        <f>M19</f>
        <v>0</v>
      </c>
      <c r="L55" s="1325" t="s">
        <v>1045</v>
      </c>
      <c r="M55" s="557">
        <f>IF(Allg!Erntejahr&gt;2023,510,410)</f>
        <v>510</v>
      </c>
      <c r="N55" s="1360" t="s">
        <v>4983</v>
      </c>
      <c r="O55" s="557">
        <f>(E55+G55+I55+K55)*M55</f>
        <v>0</v>
      </c>
      <c r="P55" s="1325"/>
      <c r="Q55" s="1320"/>
      <c r="R55" s="481"/>
      <c r="S55" s="679"/>
      <c r="T55" s="1699"/>
      <c r="U55" s="1699"/>
      <c r="V55" s="1699"/>
      <c r="W55" s="1699">
        <f>(E19+G19+I19+M19)*M55</f>
        <v>0</v>
      </c>
      <c r="X55" s="1699"/>
    </row>
    <row r="56" spans="2:30" ht="17.100000000000001" customHeight="1">
      <c r="B56" s="1324"/>
      <c r="C56" s="675" t="str">
        <f>Texte!A2419</f>
        <v>Bergzone II</v>
      </c>
      <c r="D56" s="675"/>
      <c r="E56" s="1946">
        <f>E20</f>
        <v>0</v>
      </c>
      <c r="F56" s="691" t="s">
        <v>4987</v>
      </c>
      <c r="G56" s="1946">
        <f>G20</f>
        <v>0</v>
      </c>
      <c r="H56" s="691" t="s">
        <v>4987</v>
      </c>
      <c r="I56" s="1946">
        <f>I20</f>
        <v>0</v>
      </c>
      <c r="J56" s="691" t="s">
        <v>4987</v>
      </c>
      <c r="K56" s="1946">
        <f>M20</f>
        <v>0</v>
      </c>
      <c r="L56" s="1325" t="s">
        <v>1045</v>
      </c>
      <c r="M56" s="557">
        <f>IF(Allg!Erntejahr&gt;2023,550,450)</f>
        <v>550</v>
      </c>
      <c r="N56" s="1360" t="s">
        <v>4983</v>
      </c>
      <c r="O56" s="557">
        <f>(E56+G56+I56+K56)*M56</f>
        <v>0</v>
      </c>
      <c r="P56" s="1325"/>
      <c r="Q56" s="1320"/>
      <c r="R56" s="481"/>
      <c r="S56" s="679"/>
      <c r="T56" s="1699"/>
      <c r="U56" s="1699"/>
      <c r="V56" s="1699"/>
      <c r="W56" s="1701">
        <f>(E20+G20+I20+M20)*M56</f>
        <v>0</v>
      </c>
      <c r="X56" s="1699"/>
    </row>
    <row r="57" spans="2:30" ht="17.100000000000001" customHeight="1">
      <c r="B57" s="1324"/>
      <c r="C57" s="675" t="str">
        <f>Texte!A2420</f>
        <v>Bergzone III</v>
      </c>
      <c r="D57" s="675"/>
      <c r="E57" s="1946">
        <f>E21</f>
        <v>0</v>
      </c>
      <c r="F57" s="691" t="s">
        <v>4987</v>
      </c>
      <c r="G57" s="1946">
        <f>G21</f>
        <v>0</v>
      </c>
      <c r="H57" s="691" t="s">
        <v>4987</v>
      </c>
      <c r="I57" s="1946">
        <f>I21</f>
        <v>0</v>
      </c>
      <c r="J57" s="691" t="s">
        <v>4987</v>
      </c>
      <c r="K57" s="1946">
        <f>M21</f>
        <v>0</v>
      </c>
      <c r="L57" s="1325" t="s">
        <v>1045</v>
      </c>
      <c r="M57" s="557">
        <f>IF(Allg!Erntejahr&gt;2023,570,470)</f>
        <v>570</v>
      </c>
      <c r="N57" s="1360" t="s">
        <v>4983</v>
      </c>
      <c r="O57" s="557">
        <f>(E57+G57+I57+K57)*M57</f>
        <v>0</v>
      </c>
      <c r="P57" s="1325"/>
      <c r="Q57" s="1320"/>
      <c r="R57" s="481"/>
      <c r="S57" s="679"/>
      <c r="T57" s="1699"/>
      <c r="U57" s="1699"/>
      <c r="V57" s="1699"/>
      <c r="W57" s="1701">
        <f>(E21+G21+I21+M21)*M57</f>
        <v>0</v>
      </c>
      <c r="X57" s="1699"/>
    </row>
    <row r="58" spans="2:30" ht="17.100000000000001" customHeight="1">
      <c r="B58" s="1324"/>
      <c r="C58" s="675" t="str">
        <f>Texte!A2421</f>
        <v>Bergzone IV</v>
      </c>
      <c r="D58" s="675"/>
      <c r="E58" s="1909">
        <f>E22</f>
        <v>0</v>
      </c>
      <c r="F58" s="691" t="s">
        <v>4987</v>
      </c>
      <c r="G58" s="1946">
        <f>G22</f>
        <v>0</v>
      </c>
      <c r="H58" s="691" t="s">
        <v>4987</v>
      </c>
      <c r="I58" s="1946">
        <f>I22</f>
        <v>0</v>
      </c>
      <c r="J58" s="691" t="s">
        <v>4987</v>
      </c>
      <c r="K58" s="1946">
        <f>M22</f>
        <v>0</v>
      </c>
      <c r="L58" s="1325" t="s">
        <v>1045</v>
      </c>
      <c r="M58" s="557">
        <f>IF(Allg!Erntejahr&gt;2023,590,490)</f>
        <v>590</v>
      </c>
      <c r="N58" s="1360" t="s">
        <v>4983</v>
      </c>
      <c r="O58" s="557">
        <f>(E58+G58+I58+K58)*M58</f>
        <v>0</v>
      </c>
      <c r="P58" s="1325"/>
      <c r="Q58" s="1320"/>
      <c r="R58" s="481"/>
      <c r="S58" s="679"/>
      <c r="V58" s="675"/>
      <c r="W58" s="1701">
        <f>(E22+G22+I22+M22)*M58</f>
        <v>0</v>
      </c>
    </row>
    <row r="59" spans="2:30" ht="17.100000000000001" customHeight="1">
      <c r="B59" s="1324"/>
      <c r="C59" s="675"/>
      <c r="D59" s="675"/>
      <c r="E59" s="675" t="str">
        <f>Texte!A2520</f>
        <v>Reduktion des Beitrags für Grünland infolge Nichterreichen des Mindesttierbesatzes</v>
      </c>
      <c r="F59" s="691"/>
      <c r="G59" s="691"/>
      <c r="H59" s="691"/>
      <c r="I59" s="691"/>
      <c r="J59" s="691"/>
      <c r="K59" s="691"/>
      <c r="L59" s="1325"/>
      <c r="M59" s="1325"/>
      <c r="N59" s="1360"/>
      <c r="O59" s="557">
        <f>IF(Q27&gt;=1,0,-(1-Q27)*((I54+K54)*M54)-(1-Q27)*((I55+K55)*M55)-(1-Q27)*((I56+K56))*M56-(1-Q27)*((I57+K57)*M57)-(1-Q27)*((I58+K58)*M58))</f>
        <v>0</v>
      </c>
      <c r="P59" s="1325"/>
      <c r="Q59" s="1320"/>
      <c r="R59" s="481"/>
      <c r="S59" s="679"/>
      <c r="V59" s="675"/>
      <c r="W59" s="1701"/>
    </row>
    <row r="60" spans="2:30" ht="17.100000000000001" customHeight="1">
      <c r="B60" s="1324"/>
      <c r="C60" s="675"/>
      <c r="D60" s="675"/>
      <c r="E60" s="675"/>
      <c r="F60" s="675"/>
      <c r="G60" s="675"/>
      <c r="H60" s="675"/>
      <c r="I60" s="675"/>
      <c r="J60" s="675"/>
      <c r="K60" s="675"/>
      <c r="L60" s="1325"/>
      <c r="M60" s="1338"/>
      <c r="N60" s="675"/>
      <c r="O60" s="1454" t="str">
        <f>Texte!A2513</f>
        <v>Beitrag total</v>
      </c>
      <c r="P60" s="1325" t="s">
        <v>4983</v>
      </c>
      <c r="Q60" s="1912">
        <f>SUM(O54:O59)</f>
        <v>0</v>
      </c>
      <c r="R60" s="481"/>
      <c r="S60" s="679"/>
      <c r="V60" s="675"/>
      <c r="W60" s="1701">
        <f>SUM(W54:W59)</f>
        <v>0</v>
      </c>
    </row>
    <row r="61" spans="2:30" ht="17.100000000000001" customHeight="1">
      <c r="B61" s="1324"/>
      <c r="C61" s="1346" t="str">
        <f>Texte!A2523</f>
        <v>Beitrag für die offene Ackerfläche und Dauerkulturen</v>
      </c>
      <c r="D61" s="1361"/>
      <c r="E61" s="1361"/>
      <c r="F61" s="1361"/>
      <c r="G61" s="1361"/>
      <c r="H61" s="1361"/>
      <c r="I61" s="1361"/>
      <c r="J61" s="1361"/>
      <c r="K61" s="675" t="str">
        <f>Texte!A2472</f>
        <v>offene Ackerfläche</v>
      </c>
      <c r="L61" s="675"/>
      <c r="M61" s="872" t="str">
        <f>Texte!A2499</f>
        <v>Betrag (CHF/ha)</v>
      </c>
      <c r="P61" s="1362"/>
      <c r="Q61" s="1320"/>
      <c r="R61" s="481"/>
      <c r="S61" s="679"/>
      <c r="V61" s="675"/>
      <c r="W61" s="1701"/>
    </row>
    <row r="62" spans="2:30" ht="17.100000000000001" customHeight="1">
      <c r="B62" s="1324"/>
      <c r="C62" s="1346"/>
      <c r="D62" s="1361"/>
      <c r="E62" s="1361"/>
      <c r="F62" s="1361"/>
      <c r="G62" s="1361"/>
      <c r="H62" s="1361"/>
      <c r="I62" s="1361"/>
      <c r="J62" s="1361"/>
      <c r="K62" s="675" t="str">
        <f>Texte!A2473</f>
        <v>u. Dauerkulturen</v>
      </c>
      <c r="L62" s="675"/>
      <c r="P62" s="1362"/>
      <c r="Q62" s="1320"/>
      <c r="R62" s="481"/>
      <c r="S62" s="679"/>
      <c r="V62" s="675"/>
      <c r="W62" s="1701"/>
    </row>
    <row r="63" spans="2:30" ht="7.15" customHeight="1">
      <c r="B63" s="1324"/>
      <c r="C63" s="1346"/>
      <c r="D63" s="1361"/>
      <c r="E63" s="1361"/>
      <c r="F63" s="1361"/>
      <c r="G63" s="1361"/>
      <c r="H63" s="1361"/>
      <c r="I63" s="1361"/>
      <c r="J63" s="1361"/>
      <c r="K63" s="675"/>
      <c r="L63" s="675"/>
      <c r="P63" s="1362"/>
      <c r="Q63" s="1320"/>
      <c r="R63" s="481"/>
      <c r="S63" s="679"/>
      <c r="V63" s="675"/>
      <c r="W63" s="1701"/>
    </row>
    <row r="64" spans="2:30" ht="17.100000000000001" customHeight="1">
      <c r="B64" s="1324"/>
      <c r="C64" s="675"/>
      <c r="D64" s="675"/>
      <c r="E64" s="675"/>
      <c r="F64" s="675"/>
      <c r="G64" s="675"/>
      <c r="H64" s="675"/>
      <c r="I64" s="675"/>
      <c r="J64" s="675"/>
      <c r="K64" s="1946">
        <f>E23</f>
        <v>75.140699999999995</v>
      </c>
      <c r="L64" s="1325" t="s">
        <v>1045</v>
      </c>
      <c r="M64" s="557">
        <f>D_Klick!F125</f>
        <v>400</v>
      </c>
      <c r="N64" s="1360"/>
      <c r="O64" s="1360"/>
      <c r="P64" s="1325" t="s">
        <v>4983</v>
      </c>
      <c r="Q64" s="1912">
        <f>K64*M64</f>
        <v>30056.28</v>
      </c>
      <c r="R64" s="481"/>
      <c r="S64" s="679"/>
      <c r="V64" s="675"/>
      <c r="W64" s="1701">
        <f>Q64</f>
        <v>30056.28</v>
      </c>
    </row>
    <row r="65" spans="1:23" ht="7.15" customHeight="1">
      <c r="B65" s="1324"/>
      <c r="C65" s="675"/>
      <c r="D65" s="675"/>
      <c r="E65" s="675"/>
      <c r="F65" s="675"/>
      <c r="G65" s="675"/>
      <c r="H65" s="675"/>
      <c r="I65" s="675"/>
      <c r="J65" s="675"/>
      <c r="K65" s="691"/>
      <c r="L65" s="1325"/>
      <c r="M65" s="1325"/>
      <c r="N65" s="1360"/>
      <c r="O65" s="1360"/>
      <c r="P65" s="1325"/>
      <c r="Q65" s="1320"/>
      <c r="R65" s="481"/>
      <c r="S65" s="679"/>
      <c r="V65" s="675"/>
      <c r="W65" s="1701"/>
    </row>
    <row r="66" spans="1:23" ht="17.100000000000001" customHeight="1">
      <c r="B66" s="1324"/>
      <c r="C66" s="675" t="str">
        <f>Texte!A2524</f>
        <v>Korrektur für Flächen im Ausland und nicht beitragsberechtigtes Bauland</v>
      </c>
      <c r="D66" s="675"/>
      <c r="E66" s="675"/>
      <c r="F66" s="675"/>
      <c r="G66" s="675"/>
      <c r="H66" s="675"/>
      <c r="I66" s="675"/>
      <c r="J66" s="675"/>
      <c r="K66" s="691"/>
      <c r="L66" s="1325"/>
      <c r="M66" s="1325"/>
      <c r="N66" s="1360"/>
      <c r="O66" s="1360"/>
      <c r="P66" s="1325"/>
      <c r="Q66" s="712"/>
      <c r="R66" s="481"/>
      <c r="S66" s="679"/>
      <c r="V66" s="675"/>
      <c r="W66" s="1701"/>
    </row>
    <row r="67" spans="1:23" s="692" customFormat="1" ht="7.15" customHeight="1">
      <c r="B67" s="1324"/>
      <c r="C67" s="296"/>
      <c r="D67" s="675"/>
      <c r="E67" s="296"/>
      <c r="F67" s="296"/>
      <c r="G67" s="296"/>
      <c r="H67" s="296"/>
      <c r="I67" s="296"/>
      <c r="J67" s="675"/>
      <c r="K67" s="296"/>
      <c r="L67" s="679"/>
      <c r="M67" s="296"/>
      <c r="N67" s="679"/>
      <c r="O67" s="552"/>
      <c r="P67" s="675"/>
      <c r="Q67" s="1921"/>
      <c r="R67" s="481"/>
      <c r="S67" s="679"/>
      <c r="W67" s="1701"/>
    </row>
    <row r="68" spans="1:23" s="692" customFormat="1" ht="17.100000000000001" customHeight="1">
      <c r="B68" s="1383" t="str">
        <f>Texte!A2525</f>
        <v>Total Versorgungssicherheitsbeiträge</v>
      </c>
      <c r="C68" s="675"/>
      <c r="D68" s="675"/>
      <c r="E68" s="675"/>
      <c r="F68" s="675"/>
      <c r="G68" s="675"/>
      <c r="H68" s="675"/>
      <c r="I68" s="675"/>
      <c r="J68" s="675"/>
      <c r="K68" s="675"/>
      <c r="L68" s="675"/>
      <c r="M68" s="675"/>
      <c r="N68" s="675"/>
      <c r="O68" s="675"/>
      <c r="P68" s="675"/>
      <c r="Q68" s="1345">
        <f>Q43+Q60+Q64-Q66</f>
        <v>80766.853863847995</v>
      </c>
      <c r="R68" s="481"/>
      <c r="S68" s="679"/>
      <c r="W68" s="1701">
        <f>W43+W60+W64</f>
        <v>89139.663684861051</v>
      </c>
    </row>
    <row r="69" spans="1:23" s="692" customFormat="1" ht="8.1" customHeight="1">
      <c r="B69" s="1350"/>
      <c r="C69" s="1351"/>
      <c r="D69" s="1351"/>
      <c r="E69" s="1351"/>
      <c r="F69" s="1351"/>
      <c r="G69" s="1351"/>
      <c r="H69" s="1351"/>
      <c r="I69" s="1351"/>
      <c r="J69" s="1351"/>
      <c r="K69" s="1351"/>
      <c r="L69" s="1351"/>
      <c r="M69" s="1351"/>
      <c r="N69" s="1351"/>
      <c r="O69" s="1351"/>
      <c r="P69" s="1351"/>
      <c r="Q69" s="1919"/>
      <c r="R69" s="1329"/>
      <c r="S69" s="679"/>
      <c r="U69" s="675"/>
    </row>
    <row r="70" spans="1:23" s="692" customFormat="1" ht="8.1" customHeight="1">
      <c r="B70" s="1456"/>
      <c r="C70" s="679"/>
      <c r="D70" s="679"/>
      <c r="E70" s="679"/>
      <c r="F70" s="679"/>
      <c r="G70" s="679"/>
      <c r="H70" s="679"/>
      <c r="I70" s="679"/>
      <c r="J70" s="675"/>
      <c r="K70" s="675"/>
      <c r="L70" s="1340"/>
      <c r="M70" s="296"/>
      <c r="N70" s="1363"/>
      <c r="O70" s="296"/>
      <c r="P70" s="30"/>
      <c r="Q70" s="1457"/>
      <c r="R70" s="570"/>
      <c r="S70" s="679"/>
      <c r="U70" s="675"/>
    </row>
    <row r="71" spans="1:23" ht="26.1" customHeight="1">
      <c r="B71" s="1396" t="str">
        <f>Texte!A2526</f>
        <v>Beiträge für einzelne Kulturen (nach Einzelkulturbeitragsverordnung)</v>
      </c>
      <c r="C71" s="1346"/>
      <c r="D71" s="679"/>
      <c r="E71" s="679"/>
      <c r="F71" s="679"/>
      <c r="G71" s="679"/>
      <c r="H71" s="679"/>
      <c r="I71" s="679"/>
      <c r="J71" s="675"/>
      <c r="K71" s="675"/>
      <c r="L71" s="1340"/>
      <c r="M71" s="296"/>
      <c r="N71" s="1363"/>
      <c r="O71" s="296"/>
      <c r="P71" s="30"/>
      <c r="Q71" s="1458"/>
      <c r="R71" s="570"/>
      <c r="S71" s="679"/>
      <c r="U71" s="675"/>
    </row>
    <row r="72" spans="1:23" s="922" customFormat="1" ht="17.100000000000001" customHeight="1">
      <c r="A72" s="874"/>
      <c r="B72" s="1455"/>
      <c r="C72" s="1322"/>
      <c r="D72" s="770"/>
      <c r="E72" s="770"/>
      <c r="F72" s="770"/>
      <c r="G72" s="770"/>
      <c r="H72" s="770"/>
      <c r="I72" s="770"/>
      <c r="J72" s="770"/>
      <c r="K72" s="1419" t="str">
        <f>Texte!A2498</f>
        <v>Fläche (ha)</v>
      </c>
      <c r="L72" s="1323"/>
      <c r="M72" s="1474" t="str">
        <f>Texte!A2499</f>
        <v>Betrag (CHF/ha)</v>
      </c>
      <c r="N72" s="1380"/>
      <c r="O72" s="1459"/>
      <c r="P72" s="682"/>
      <c r="Q72" s="682"/>
      <c r="R72" s="528"/>
    </row>
    <row r="73" spans="1:23" s="922" customFormat="1" ht="7.15" customHeight="1">
      <c r="A73" s="874"/>
      <c r="B73" s="1337"/>
      <c r="C73" s="675"/>
      <c r="D73" s="674"/>
      <c r="E73" s="674"/>
      <c r="F73" s="674"/>
      <c r="G73" s="674"/>
      <c r="H73" s="674"/>
      <c r="I73" s="674"/>
      <c r="J73" s="674"/>
      <c r="K73" s="1425"/>
      <c r="L73" s="1362"/>
      <c r="M73" s="1452"/>
      <c r="N73" s="1362"/>
      <c r="O73" s="1473"/>
      <c r="P73" s="679"/>
      <c r="Q73" s="679"/>
      <c r="R73" s="481"/>
    </row>
    <row r="74" spans="1:23" s="922" customFormat="1" ht="17.100000000000001" customHeight="1">
      <c r="A74" s="874"/>
      <c r="B74" s="1337"/>
      <c r="C74" s="675" t="str">
        <f>Texte!A2527</f>
        <v>Raps, Sonnenblumen, Öllein</v>
      </c>
      <c r="D74" s="674"/>
      <c r="E74" s="674"/>
      <c r="F74" s="674"/>
      <c r="G74" s="674"/>
      <c r="H74" s="674"/>
      <c r="I74" s="674"/>
      <c r="J74" s="674"/>
      <c r="K74" s="1946">
        <f>Fläche!E26+Fläche!E27+Fläche!E49+Fläche!E44</f>
        <v>0</v>
      </c>
      <c r="L74" s="1362" t="s">
        <v>1045</v>
      </c>
      <c r="M74" s="557">
        <f>D_Klick!C132</f>
        <v>700</v>
      </c>
      <c r="N74" s="1362" t="s">
        <v>4983</v>
      </c>
      <c r="O74" s="557">
        <f t="shared" ref="O74:O81" si="1">K74*M74</f>
        <v>0</v>
      </c>
      <c r="P74" s="679"/>
      <c r="Q74" s="679"/>
      <c r="R74" s="481"/>
    </row>
    <row r="75" spans="1:23" s="922" customFormat="1" ht="17.100000000000001" customHeight="1">
      <c r="A75" s="874"/>
      <c r="B75" s="1337"/>
      <c r="C75" s="675" t="str">
        <f>Texte!A2528</f>
        <v>Ölkürbisse, Mohn und Saflor</v>
      </c>
      <c r="D75" s="674"/>
      <c r="E75" s="674"/>
      <c r="F75" s="674"/>
      <c r="G75" s="674"/>
      <c r="H75" s="674"/>
      <c r="I75" s="674"/>
      <c r="J75" s="674"/>
      <c r="K75" s="1906"/>
      <c r="L75" s="1362" t="s">
        <v>1045</v>
      </c>
      <c r="M75" s="557">
        <f>D_Klick!C133</f>
        <v>700</v>
      </c>
      <c r="N75" s="1362" t="s">
        <v>4983</v>
      </c>
      <c r="O75" s="557">
        <f t="shared" si="1"/>
        <v>0</v>
      </c>
      <c r="P75" s="679"/>
      <c r="Q75" s="679"/>
      <c r="R75" s="481"/>
    </row>
    <row r="76" spans="1:23" s="922" customFormat="1" ht="17.100000000000001" customHeight="1">
      <c r="A76" s="874"/>
      <c r="B76" s="1337"/>
      <c r="C76" s="675" t="str">
        <f>Texte!A2529</f>
        <v>Saatgut von Kartoffeln und Mais</v>
      </c>
      <c r="D76"/>
      <c r="E76"/>
      <c r="F76"/>
      <c r="G76"/>
      <c r="H76"/>
      <c r="I76"/>
      <c r="J76"/>
      <c r="K76" s="1906">
        <f>Fläche!E30+Fläche!N23+Fläche!N24</f>
        <v>6.1825000000000001</v>
      </c>
      <c r="L76" s="1362" t="s">
        <v>1045</v>
      </c>
      <c r="M76" s="557">
        <f>D_Klick!C134</f>
        <v>700</v>
      </c>
      <c r="N76" s="1362" t="s">
        <v>4983</v>
      </c>
      <c r="O76" s="557">
        <f t="shared" si="1"/>
        <v>4327.75</v>
      </c>
      <c r="Q76" s="679"/>
      <c r="R76" s="481"/>
    </row>
    <row r="77" spans="1:23" s="922" customFormat="1" ht="17.100000000000001" customHeight="1">
      <c r="A77" s="874"/>
      <c r="B77" s="1337"/>
      <c r="C77" s="675" t="str">
        <f>Texte!A2530</f>
        <v>Soja</v>
      </c>
      <c r="D77" s="1439"/>
      <c r="E77" s="1439"/>
      <c r="F77" s="1439"/>
      <c r="G77" s="1439"/>
      <c r="H77" s="1439"/>
      <c r="I77" s="1439"/>
      <c r="J77" s="1439"/>
      <c r="K77" s="1946">
        <f>Fläche!E35</f>
        <v>0</v>
      </c>
      <c r="L77" s="1362" t="s">
        <v>1045</v>
      </c>
      <c r="M77" s="557">
        <f>D_Klick!C135</f>
        <v>1000</v>
      </c>
      <c r="N77" s="1362" t="s">
        <v>4983</v>
      </c>
      <c r="O77" s="557">
        <f t="shared" si="1"/>
        <v>0</v>
      </c>
      <c r="Q77" s="679"/>
      <c r="R77" s="481"/>
    </row>
    <row r="78" spans="1:23" s="922" customFormat="1" ht="17.100000000000001" customHeight="1">
      <c r="A78" s="874"/>
      <c r="B78" s="1337"/>
      <c r="C78" s="675" t="str">
        <f>Texte!A2531</f>
        <v>Ackerbohnen, Eiweisserbsen</v>
      </c>
      <c r="D78" s="1439"/>
      <c r="E78" s="1439"/>
      <c r="F78" s="1439"/>
      <c r="G78" s="1439"/>
      <c r="H78" s="1439"/>
      <c r="I78" s="1439"/>
      <c r="J78" s="1439"/>
      <c r="K78" s="1946">
        <f>Fläche!E33+Fläche!E34</f>
        <v>0</v>
      </c>
      <c r="L78" s="1362" t="s">
        <v>1045</v>
      </c>
      <c r="M78" s="557">
        <f>D_Klick!C136</f>
        <v>1000</v>
      </c>
      <c r="N78" s="1362" t="s">
        <v>4983</v>
      </c>
      <c r="O78" s="557">
        <f t="shared" si="1"/>
        <v>0</v>
      </c>
      <c r="Q78" s="679"/>
      <c r="R78" s="481"/>
    </row>
    <row r="79" spans="1:23" ht="17.100000000000001" customHeight="1">
      <c r="A79" s="874"/>
      <c r="B79" s="1337"/>
      <c r="C79" s="675" t="str">
        <f>Texte!A2532</f>
        <v>Lupinen zu Futterzwecken, Saatgut von Futtergräsern und Futterleguminosen</v>
      </c>
      <c r="D79" s="675"/>
      <c r="E79" s="679"/>
      <c r="F79" s="679"/>
      <c r="G79" s="679"/>
      <c r="H79" s="679"/>
      <c r="I79" s="679"/>
      <c r="J79" s="679"/>
      <c r="K79" s="1906"/>
      <c r="L79" s="1325" t="s">
        <v>1045</v>
      </c>
      <c r="M79" s="557">
        <f>D_Klick!C137</f>
        <v>1000</v>
      </c>
      <c r="N79" s="1325" t="s">
        <v>4983</v>
      </c>
      <c r="O79" s="557">
        <f t="shared" si="1"/>
        <v>0</v>
      </c>
      <c r="Q79" s="1917"/>
      <c r="R79" s="481"/>
    </row>
    <row r="80" spans="1:23" ht="17.100000000000001" customHeight="1">
      <c r="A80" s="874"/>
      <c r="B80" s="1337"/>
      <c r="C80" s="675" t="str">
        <f>Texte!A2533</f>
        <v>Zuckerrüben zur Zuckerherstellung</v>
      </c>
      <c r="D80" s="675"/>
      <c r="E80" s="679"/>
      <c r="F80" s="679"/>
      <c r="G80" s="679"/>
      <c r="H80" s="679"/>
      <c r="I80" s="679"/>
      <c r="J80" s="679"/>
      <c r="K80" s="1946">
        <f>Fläche!E31</f>
        <v>0</v>
      </c>
      <c r="L80" s="1325" t="s">
        <v>1045</v>
      </c>
      <c r="M80" s="557">
        <f>D_Klick!C138</f>
        <v>2100</v>
      </c>
      <c r="N80" s="1325" t="s">
        <v>4983</v>
      </c>
      <c r="O80" s="557">
        <f t="shared" si="1"/>
        <v>0</v>
      </c>
      <c r="P80" s="1325"/>
      <c r="Q80" s="1917"/>
      <c r="R80" s="481"/>
    </row>
    <row r="81" spans="1:23" ht="17.100000000000001" customHeight="1">
      <c r="A81" s="874"/>
      <c r="B81" s="1337"/>
      <c r="C81" s="675" t="str">
        <f>Texte!A2534</f>
        <v>Zusatzbeitrag f. Zuckerr. z. Zuckerherst. bei Bio oder Verzicht auf Fungizid- und Herbizideinsatz</v>
      </c>
      <c r="D81" s="675"/>
      <c r="E81" s="679"/>
      <c r="F81" s="679"/>
      <c r="G81" s="679"/>
      <c r="H81" s="679"/>
      <c r="I81" s="679"/>
      <c r="J81" s="679"/>
      <c r="K81" s="1906"/>
      <c r="L81" s="1325" t="s">
        <v>1045</v>
      </c>
      <c r="M81" s="557">
        <f>D_Klick!C139</f>
        <v>200</v>
      </c>
      <c r="N81" s="1325" t="s">
        <v>4983</v>
      </c>
      <c r="O81" s="557">
        <f t="shared" si="1"/>
        <v>0</v>
      </c>
      <c r="P81" s="1325"/>
      <c r="Q81" s="1917"/>
      <c r="R81" s="481"/>
    </row>
    <row r="82" spans="1:23" s="922" customFormat="1" ht="17.100000000000001" customHeight="1">
      <c r="A82" s="874"/>
      <c r="B82" s="1337"/>
      <c r="C82" s="675" t="str">
        <f>IF(Allg!Erntejahr&gt;2018,Texte!A2535,"")</f>
        <v>Getreidezulage</v>
      </c>
      <c r="D82" s="1439"/>
      <c r="E82" s="1439"/>
      <c r="F82" s="1439"/>
      <c r="G82" s="1439"/>
      <c r="H82" s="1439"/>
      <c r="I82" s="1439"/>
      <c r="J82" s="1439"/>
      <c r="K82" s="1946">
        <f>IF(Allg!Erntejahr&gt;2018,SUM(Fläche!KörnerG),0)</f>
        <v>11.836600000000001</v>
      </c>
      <c r="L82" s="1362" t="s">
        <v>1045</v>
      </c>
      <c r="M82" s="712">
        <f>D_Klick!C140</f>
        <v>120</v>
      </c>
      <c r="N82" s="1362" t="s">
        <v>4983</v>
      </c>
      <c r="O82" s="557">
        <f>K82*M82</f>
        <v>1420.3920000000001</v>
      </c>
      <c r="Q82" s="679"/>
      <c r="R82" s="481"/>
    </row>
    <row r="83" spans="1:23" ht="7.15" customHeight="1">
      <c r="A83" s="874"/>
      <c r="B83" s="1337"/>
      <c r="C83" s="675"/>
      <c r="D83" s="675"/>
      <c r="E83" s="679"/>
      <c r="F83" s="679"/>
      <c r="G83" s="679"/>
      <c r="H83" s="679"/>
      <c r="I83" s="679"/>
      <c r="J83" s="679"/>
      <c r="K83" s="296"/>
      <c r="L83" s="1325"/>
      <c r="M83" s="1338"/>
      <c r="N83" s="1325"/>
      <c r="O83" s="1338"/>
      <c r="P83" s="1325"/>
      <c r="Q83" s="1917"/>
      <c r="R83" s="481"/>
    </row>
    <row r="84" spans="1:23" ht="17.100000000000001" customHeight="1">
      <c r="A84" s="874"/>
      <c r="B84" s="1337"/>
      <c r="C84" s="675" t="str">
        <f>Texte!A2536</f>
        <v>Korrektur für Flächen im Ausland</v>
      </c>
      <c r="D84" s="675"/>
      <c r="E84" s="679"/>
      <c r="F84" s="679"/>
      <c r="G84" s="679"/>
      <c r="H84" s="679"/>
      <c r="I84" s="679"/>
      <c r="J84" s="679"/>
      <c r="K84" s="2105"/>
      <c r="L84" s="1325"/>
      <c r="M84" s="1338"/>
      <c r="N84" s="1325"/>
      <c r="O84" s="1453"/>
      <c r="P84" s="1325"/>
      <c r="Q84" s="712"/>
      <c r="R84" s="481"/>
    </row>
    <row r="85" spans="1:23" ht="7.15" customHeight="1">
      <c r="A85" s="874"/>
      <c r="B85" s="1337"/>
      <c r="C85" s="675"/>
      <c r="D85" s="675"/>
      <c r="E85" s="679"/>
      <c r="F85" s="679"/>
      <c r="G85" s="679"/>
      <c r="H85" s="679"/>
      <c r="I85" s="679"/>
      <c r="J85" s="679"/>
      <c r="K85" s="296"/>
      <c r="L85" s="1325"/>
      <c r="M85" s="1338"/>
      <c r="N85" s="1325"/>
      <c r="O85" s="1453"/>
      <c r="P85" s="1325"/>
      <c r="Q85" s="1918"/>
      <c r="R85" s="481"/>
    </row>
    <row r="86" spans="1:23" s="922" customFormat="1" ht="17.100000000000001" customHeight="1">
      <c r="B86" s="1383" t="str">
        <f>Texte!A2537</f>
        <v>Total Einzelkulturbeiträge</v>
      </c>
      <c r="C86" s="675"/>
      <c r="D86" s="675"/>
      <c r="E86" s="675"/>
      <c r="F86" s="675"/>
      <c r="G86" s="675"/>
      <c r="H86" s="675"/>
      <c r="I86" s="675"/>
      <c r="J86" s="675"/>
      <c r="K86" s="675"/>
      <c r="L86" s="675"/>
      <c r="M86" s="675"/>
      <c r="N86" s="675"/>
      <c r="O86" s="675"/>
      <c r="P86" s="675"/>
      <c r="Q86" s="1345">
        <f>SUM(O74:O82)-Q84</f>
        <v>5748.1419999999998</v>
      </c>
      <c r="R86" s="481"/>
      <c r="S86" s="679"/>
      <c r="T86" s="679"/>
      <c r="U86" s="679"/>
    </row>
    <row r="87" spans="1:23" s="922" customFormat="1" ht="8.1" customHeight="1">
      <c r="B87" s="1350"/>
      <c r="C87" s="1351"/>
      <c r="D87" s="1351"/>
      <c r="E87" s="1351"/>
      <c r="F87" s="1351"/>
      <c r="G87" s="1351"/>
      <c r="H87" s="1351"/>
      <c r="I87" s="1351"/>
      <c r="J87" s="1351"/>
      <c r="K87" s="1351"/>
      <c r="L87" s="1351"/>
      <c r="M87" s="1351"/>
      <c r="N87" s="1351"/>
      <c r="O87" s="1351"/>
      <c r="P87" s="1351"/>
      <c r="Q87" s="1919"/>
      <c r="R87" s="1329"/>
      <c r="S87" s="679"/>
      <c r="T87" s="679"/>
      <c r="U87" s="679"/>
    </row>
    <row r="88" spans="1:23" s="922" customFormat="1" ht="8.1" customHeight="1">
      <c r="B88" s="675"/>
      <c r="C88" s="675"/>
      <c r="D88" s="675"/>
      <c r="E88" s="675"/>
      <c r="F88" s="675"/>
      <c r="G88" s="675"/>
      <c r="H88" s="675"/>
      <c r="I88" s="675"/>
      <c r="J88" s="675"/>
      <c r="K88" s="675"/>
      <c r="L88" s="675"/>
      <c r="M88" s="675"/>
      <c r="N88" s="675"/>
      <c r="O88" s="675"/>
      <c r="P88" s="675"/>
      <c r="Q88" s="675"/>
      <c r="R88" s="1320"/>
      <c r="S88" s="679"/>
      <c r="T88" s="679"/>
      <c r="U88" s="679"/>
    </row>
    <row r="89" spans="1:23" ht="12.75" customHeight="1">
      <c r="B89" s="1465" t="str">
        <f>Texte!A20</f>
        <v>Stand der Bestimmungen gültig ab 1.1.2025 oder 1.1.2026 oder 1.1.2027, gemäss den vorgeschlagenen Verordnungen des</v>
      </c>
      <c r="D89" s="675"/>
      <c r="E89" s="675"/>
      <c r="F89" s="675"/>
      <c r="G89" s="675"/>
      <c r="H89" s="675"/>
      <c r="I89" s="675"/>
      <c r="J89" s="675"/>
      <c r="K89" s="675"/>
      <c r="L89" s="675"/>
      <c r="M89" s="675"/>
      <c r="N89" s="675"/>
      <c r="O89" s="675"/>
      <c r="P89" s="675"/>
      <c r="Q89" s="675"/>
      <c r="R89" s="675"/>
      <c r="S89" s="675"/>
      <c r="T89" s="872"/>
      <c r="U89" s="872"/>
      <c r="V89" s="872"/>
      <c r="W89" s="872"/>
    </row>
    <row r="90" spans="1:23" ht="12.75" customHeight="1">
      <c r="B90" s="1465" t="str">
        <f>Texte!A18</f>
        <v xml:space="preserve">Bundesrates vor der Wintersession. Die Berechnung erfolgt für das im Blatt "Allg" eingestellte Jahr. </v>
      </c>
      <c r="D90" s="675"/>
      <c r="E90" s="675"/>
      <c r="F90" s="675"/>
      <c r="G90" s="675"/>
      <c r="H90" s="675"/>
      <c r="I90" s="675"/>
      <c r="J90" s="675"/>
      <c r="K90" s="675"/>
      <c r="L90" s="675"/>
      <c r="M90" s="675"/>
      <c r="N90" s="675"/>
      <c r="O90" s="675"/>
      <c r="P90" s="675"/>
      <c r="Q90" s="675"/>
      <c r="R90" s="675"/>
      <c r="S90" s="675"/>
      <c r="T90" s="872"/>
      <c r="U90" s="872"/>
      <c r="V90" s="872"/>
      <c r="W90" s="872"/>
    </row>
    <row r="91" spans="1:23" ht="12.75" customHeight="1">
      <c r="B91" s="1465" t="str">
        <f>Texte!A22</f>
        <v>AGRIDEA lehnt jede Haftung und Gewährleistung ab, die aus Berechnungen mit diesem Instrument abgeleitet werden.</v>
      </c>
    </row>
  </sheetData>
  <sheetProtection algorithmName="SHA-512" hashValue="mR61/mpdobWhEKz0iZ6t+ofziwUvQFehw574wuMbRG2SdhzAS7LryO0IeFL3TWvimITtBz5NbTzrm2LSOfEhWw==" saltValue="SIXQjaFu8JowgOI8q+Dlew==" spinCount="100000" sheet="1" objects="1" scenarios="1"/>
  <phoneticPr fontId="0" type="noConversion"/>
  <pageMargins left="0.68" right="0.39370078740157483" top="0.43307086614173229" bottom="0.59055118110236227" header="0.23622047244094491" footer="0.31496062992125984"/>
  <pageSetup paperSize="9" scale="60"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6056" r:id="rId4" name="chk_MehrZonen">
              <controlPr defaultSize="0" print="0" autoFill="0" autoLine="0" autoPict="0" macro="[0]!KlickMehrZonenVSB">
                <anchor moveWithCells="1">
                  <from>
                    <xdr:col>3</xdr:col>
                    <xdr:colOff>466725</xdr:colOff>
                    <xdr:row>23</xdr:row>
                    <xdr:rowOff>57150</xdr:rowOff>
                  </from>
                  <to>
                    <xdr:col>4</xdr:col>
                    <xdr:colOff>247650</xdr:colOff>
                    <xdr:row>24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0">
    <tabColor indexed="27"/>
    <pageSetUpPr fitToPage="1"/>
  </sheetPr>
  <dimension ref="A1:AC83"/>
  <sheetViews>
    <sheetView showGridLines="0" showRowColHeaders="0" showZeros="0" zoomScaleNormal="100" workbookViewId="0">
      <selection activeCell="J13" sqref="J13"/>
      <extLst>
        <ext xmlns:xlsdti="http://schemas.microsoft.com/office/spreadsheetml/2023/showDataTypeIcons" uri="{77bfe23e-c014-4d31-8a63-9c772dbf06b6}">
          <xlsdti:showDataTypeIcons visible="0"/>
        </ext>
      </extLst>
    </sheetView>
  </sheetViews>
  <sheetFormatPr baseColWidth="10" defaultRowHeight="12"/>
  <cols>
    <col min="1" max="2" width="0.85546875" customWidth="1"/>
    <col min="3" max="3" width="3.7109375" customWidth="1"/>
    <col min="4" max="4" width="39.85546875" customWidth="1"/>
    <col min="5" max="5" width="5.7109375" customWidth="1"/>
    <col min="6" max="6" width="6.7109375" customWidth="1"/>
    <col min="7" max="7" width="3.7109375" customWidth="1"/>
    <col min="8" max="8" width="7.7109375" customWidth="1"/>
    <col min="9" max="9" width="3.7109375" customWidth="1"/>
    <col min="10" max="10" width="6.7109375" customWidth="1"/>
    <col min="11" max="11" width="3.7109375" customWidth="1"/>
    <col min="12" max="12" width="7.7109375" customWidth="1"/>
    <col min="13" max="13" width="1.85546875" customWidth="1"/>
    <col min="14" max="14" width="6.7109375" customWidth="1"/>
    <col min="15" max="15" width="1.7109375" customWidth="1"/>
    <col min="16" max="16" width="7.7109375" customWidth="1"/>
    <col min="17" max="17" width="3.7109375" customWidth="1"/>
    <col min="18" max="18" width="6.7109375" customWidth="1"/>
    <col min="19" max="19" width="3.7109375" customWidth="1"/>
    <col min="20" max="20" width="7.7109375" customWidth="1"/>
    <col min="21" max="21" width="3.7109375" customWidth="1"/>
    <col min="22" max="22" width="10.7109375" customWidth="1"/>
    <col min="23" max="24" width="0.85546875" customWidth="1"/>
    <col min="25" max="28" width="11.42578125" hidden="1" customWidth="1"/>
  </cols>
  <sheetData>
    <row r="1" spans="1:25" ht="42" customHeight="1">
      <c r="B1" s="1378" t="str">
        <f>Q!NW_Tit</f>
        <v xml:space="preserve">                                   Nachweis</v>
      </c>
      <c r="V1" s="20" t="str">
        <f>Q!F44</f>
        <v>Biodiversität</v>
      </c>
    </row>
    <row r="2" spans="1:25" ht="11.1" customHeight="1" thickBot="1"/>
    <row r="3" spans="1:25" ht="21.95" customHeight="1">
      <c r="B3" s="1861" t="str">
        <f>Texte!A13 &amp; " " &amp; Allg!$C$9&amp;""</f>
        <v>Betrieb: Imhof &amp; Zaehner Betriebsgemeinschaft</v>
      </c>
      <c r="C3" s="1861"/>
      <c r="D3" s="1873"/>
      <c r="E3" s="1873"/>
      <c r="F3" s="1873"/>
      <c r="G3" s="1873"/>
      <c r="H3" s="1874"/>
      <c r="I3" s="1874"/>
      <c r="J3" s="1874"/>
      <c r="K3" s="1874"/>
      <c r="L3" s="1863"/>
      <c r="M3" s="1863" t="str">
        <f>Texte!A14</f>
        <v>Variante:</v>
      </c>
      <c r="N3" s="1433" t="str">
        <f>Allg!$G$7&amp;""</f>
        <v/>
      </c>
      <c r="O3" s="1874"/>
      <c r="P3" s="1874"/>
      <c r="Q3" s="1874"/>
      <c r="R3" s="1874"/>
      <c r="S3" s="1874"/>
      <c r="T3" s="1874"/>
      <c r="U3" s="1863" t="str">
        <f>Texte!A15</f>
        <v>Jahr:</v>
      </c>
      <c r="V3" s="1859" t="str">
        <f>Allg!$G$6&amp;""</f>
        <v>2026</v>
      </c>
      <c r="W3" s="1874"/>
    </row>
    <row r="4" spans="1:25" ht="10.5" customHeight="1"/>
    <row r="5" spans="1:25" ht="15.75" customHeight="1">
      <c r="A5" s="872"/>
      <c r="B5" s="685" t="str">
        <f>Texte!A2539</f>
        <v>Biodiversitätsbeiträge (BDB, Art. 55 bis 60 und Anhang 7 DZV)</v>
      </c>
      <c r="C5" s="45"/>
    </row>
    <row r="6" spans="1:25" ht="5.0999999999999996" customHeight="1">
      <c r="B6" s="1346"/>
      <c r="C6" s="1346"/>
      <c r="D6" s="678"/>
      <c r="E6" s="678"/>
      <c r="F6" s="678"/>
      <c r="G6" s="1931"/>
      <c r="H6" s="869"/>
      <c r="I6" s="1458"/>
      <c r="J6" s="1458"/>
      <c r="K6" s="1396"/>
      <c r="L6" s="1932"/>
      <c r="M6" s="678"/>
      <c r="N6" s="678"/>
      <c r="O6" s="678"/>
      <c r="P6" s="678"/>
      <c r="Q6" s="678"/>
      <c r="R6" s="678"/>
      <c r="S6" s="678"/>
    </row>
    <row r="7" spans="1:25" ht="5.0999999999999996" customHeight="1">
      <c r="B7" s="559"/>
      <c r="C7" s="1907"/>
      <c r="D7" s="12"/>
      <c r="E7" s="12"/>
      <c r="F7" s="12"/>
      <c r="G7" s="12"/>
      <c r="H7" s="12"/>
      <c r="I7" s="12"/>
      <c r="J7" s="12"/>
      <c r="K7" s="12"/>
      <c r="L7" s="12"/>
      <c r="M7" s="12"/>
      <c r="N7" s="12"/>
      <c r="O7" s="12"/>
      <c r="P7" s="12"/>
      <c r="Q7" s="12"/>
      <c r="R7" s="12"/>
      <c r="S7" s="12"/>
      <c r="T7" s="12"/>
      <c r="U7" s="12"/>
      <c r="V7" s="12"/>
      <c r="W7" s="528"/>
    </row>
    <row r="8" spans="1:25" ht="15.75" customHeight="1">
      <c r="B8" s="560"/>
      <c r="C8" s="680" t="str">
        <f>Texte!A2540</f>
        <v>Biodiversitätsförderfläche</v>
      </c>
      <c r="D8" s="680"/>
      <c r="E8" s="1910">
        <f>Texte!A2543</f>
        <v>0</v>
      </c>
      <c r="F8" s="680" t="str">
        <f>Texte!A2544</f>
        <v>Qualitätsstufe I</v>
      </c>
      <c r="J8" s="680" t="str">
        <f>Texte!A2569</f>
        <v>Qualitätsstufe II</v>
      </c>
      <c r="N8" s="680" t="str">
        <f>Texte!A2588</f>
        <v>Qualitätsstufe III</v>
      </c>
      <c r="R8" s="680" t="str">
        <f>Texte!A2591</f>
        <v>Vernetzung**</v>
      </c>
      <c r="W8" s="481"/>
    </row>
    <row r="9" spans="1:25" ht="12.75" customHeight="1">
      <c r="B9" s="560"/>
      <c r="C9" s="45"/>
      <c r="N9" t="str">
        <f>Texte!A2587</f>
        <v>*****</v>
      </c>
      <c r="W9" s="481"/>
    </row>
    <row r="10" spans="1:25" ht="6" customHeight="1">
      <c r="B10" s="560"/>
      <c r="C10" s="45"/>
      <c r="W10" s="481"/>
    </row>
    <row r="11" spans="1:25" ht="14.85" customHeight="1">
      <c r="B11" s="560"/>
      <c r="C11" s="45"/>
      <c r="E11" s="672" t="str">
        <f>Texte!A2560</f>
        <v>Einh.</v>
      </c>
      <c r="F11" s="1908" t="str">
        <f>Texte!A2561</f>
        <v>Anzahl</v>
      </c>
      <c r="H11" s="1908" t="str">
        <f>Texte!A2562</f>
        <v>CHF/Einh.</v>
      </c>
      <c r="J11" s="1908" t="str">
        <f>Texte!A2561</f>
        <v>Anzahl</v>
      </c>
      <c r="L11" s="1908" t="str">
        <f>Texte!A2562</f>
        <v>CHF/Einh.</v>
      </c>
      <c r="N11" s="1908" t="str">
        <f>Texte!A2561</f>
        <v>Anzahl</v>
      </c>
      <c r="P11" s="1908" t="str">
        <f>Texte!A2562</f>
        <v>CHF/Einh.</v>
      </c>
      <c r="R11" s="1908" t="str">
        <f>Texte!A2561</f>
        <v>Anzahl</v>
      </c>
      <c r="T11" s="1908" t="str">
        <f>Texte!A2562</f>
        <v>CHF/Einh.</v>
      </c>
      <c r="V11" s="1908" t="str">
        <f>Texte!A2565</f>
        <v>Total/CHF</v>
      </c>
      <c r="W11" s="481"/>
      <c r="Y11" s="1905" t="b">
        <v>0</v>
      </c>
    </row>
    <row r="12" spans="1:25" ht="17.100000000000001" customHeight="1">
      <c r="B12" s="560"/>
      <c r="C12" s="1006" t="str">
        <f>Texte!A2548</f>
        <v>Extensiv genutzte Wiesen*</v>
      </c>
      <c r="E12" t="s">
        <v>5675</v>
      </c>
      <c r="F12" s="3100">
        <f>Kennz!BFF_ExtWiese</f>
        <v>14.054399999999999</v>
      </c>
      <c r="G12" s="672"/>
      <c r="H12" s="672"/>
      <c r="I12" s="672"/>
      <c r="J12" s="672"/>
      <c r="K12" s="672"/>
      <c r="L12" s="672"/>
      <c r="M12" s="672"/>
      <c r="N12" s="672"/>
      <c r="O12" s="672"/>
      <c r="P12" s="672"/>
      <c r="Q12" s="672"/>
      <c r="R12" s="672"/>
      <c r="S12" s="672"/>
      <c r="T12" s="672"/>
      <c r="U12" s="672"/>
      <c r="V12" s="672"/>
      <c r="W12" s="481"/>
    </row>
    <row r="13" spans="1:25" ht="15.75" customHeight="1">
      <c r="B13" s="560"/>
      <c r="C13" s="45"/>
      <c r="D13" t="str">
        <f>Texte!A2582</f>
        <v>Talzone</v>
      </c>
      <c r="E13" t="s">
        <v>5675</v>
      </c>
      <c r="F13" s="1946">
        <f>IF(Allg!KlickZonenEintlg=D_Klick!B6, Kennz!BFF_ExtWiese,0)</f>
        <v>14.054399999999999</v>
      </c>
      <c r="G13" s="1325" t="s">
        <v>1045</v>
      </c>
      <c r="H13" s="557">
        <f>D_Klick!AT6</f>
        <v>780</v>
      </c>
      <c r="I13" s="1325" t="s">
        <v>4987</v>
      </c>
      <c r="J13" s="1906"/>
      <c r="K13" s="1325" t="s">
        <v>1045</v>
      </c>
      <c r="L13" s="557">
        <f>D_Klick!BG6</f>
        <v>1920</v>
      </c>
      <c r="M13" s="1325" t="s">
        <v>4987</v>
      </c>
      <c r="N13" s="1906"/>
      <c r="O13" s="1325" t="s">
        <v>1045</v>
      </c>
      <c r="P13" s="557">
        <v>200</v>
      </c>
      <c r="Q13" s="1325" t="s">
        <v>4987</v>
      </c>
      <c r="R13" s="1906"/>
      <c r="S13" s="1325" t="s">
        <v>1045</v>
      </c>
      <c r="T13" s="712">
        <v>1000</v>
      </c>
      <c r="U13" s="1325" t="s">
        <v>4983</v>
      </c>
      <c r="V13" s="557">
        <f>F13*H13+J13*L13+N13*P13+R13*T13</f>
        <v>10962.431999999999</v>
      </c>
      <c r="W13" s="481"/>
    </row>
    <row r="14" spans="1:25" ht="15.75" customHeight="1">
      <c r="B14" s="215"/>
      <c r="C14" s="1"/>
      <c r="D14" t="str">
        <f>Texte!A2583</f>
        <v>Hügelzone</v>
      </c>
      <c r="E14" t="s">
        <v>5675</v>
      </c>
      <c r="F14" s="1946">
        <f>IF(Allg!KlickZonenEintlg=D_Klick!B7,Kennz!BFF_ExtWiese,0)</f>
        <v>0</v>
      </c>
      <c r="G14" s="1325" t="s">
        <v>1045</v>
      </c>
      <c r="H14" s="557">
        <f>D_Klick!AT7</f>
        <v>560</v>
      </c>
      <c r="I14" s="1325" t="s">
        <v>4987</v>
      </c>
      <c r="J14" s="1906"/>
      <c r="K14" s="1325" t="s">
        <v>1045</v>
      </c>
      <c r="L14" s="557">
        <f>D_Klick!BG7</f>
        <v>1840</v>
      </c>
      <c r="M14" s="1325" t="s">
        <v>4987</v>
      </c>
      <c r="N14" s="1906"/>
      <c r="O14" s="1325" t="s">
        <v>1045</v>
      </c>
      <c r="P14" s="557">
        <v>200</v>
      </c>
      <c r="Q14" s="1325" t="s">
        <v>4987</v>
      </c>
      <c r="R14" s="1906"/>
      <c r="S14" s="1325" t="s">
        <v>1045</v>
      </c>
      <c r="T14" s="712">
        <v>1000</v>
      </c>
      <c r="U14" s="1325" t="s">
        <v>4983</v>
      </c>
      <c r="V14" s="557">
        <f>F14*H14+J14*L14+N14*P14+R14*T14</f>
        <v>0</v>
      </c>
      <c r="W14" s="481"/>
    </row>
    <row r="15" spans="1:25" ht="15.75" customHeight="1">
      <c r="B15" s="215"/>
      <c r="C15" s="1"/>
      <c r="D15" t="str">
        <f>Texte!A2584</f>
        <v>Bergzone I und II</v>
      </c>
      <c r="E15" t="s">
        <v>5675</v>
      </c>
      <c r="F15" s="1946">
        <f>IF(OR(Allg!KlickZonenEintlg=D_Klick!B8,Allg!KlickZonenEintlg=D_Klick!B9),Kennz!BFF_ExtWiese,0)</f>
        <v>0</v>
      </c>
      <c r="G15" s="1325" t="s">
        <v>1045</v>
      </c>
      <c r="H15" s="557">
        <f>D_Klick!AT8</f>
        <v>300</v>
      </c>
      <c r="I15" s="1325" t="s">
        <v>4987</v>
      </c>
      <c r="J15" s="1906"/>
      <c r="K15" s="1325" t="s">
        <v>1045</v>
      </c>
      <c r="L15" s="557">
        <f>D_Klick!BG8</f>
        <v>1700</v>
      </c>
      <c r="M15" s="1325" t="s">
        <v>4987</v>
      </c>
      <c r="N15" s="1906"/>
      <c r="O15" s="1325" t="s">
        <v>1045</v>
      </c>
      <c r="P15" s="557">
        <v>200</v>
      </c>
      <c r="Q15" s="1325" t="s">
        <v>4987</v>
      </c>
      <c r="R15" s="1906"/>
      <c r="S15" s="1325" t="s">
        <v>1045</v>
      </c>
      <c r="T15" s="712">
        <v>1000</v>
      </c>
      <c r="U15" s="1325" t="s">
        <v>4983</v>
      </c>
      <c r="V15" s="557">
        <f>F15*H15+J15*L15+N15*P15+R15*T15</f>
        <v>0</v>
      </c>
      <c r="W15" s="481"/>
    </row>
    <row r="16" spans="1:25" ht="15.75" customHeight="1">
      <c r="B16" s="215"/>
      <c r="C16" s="1"/>
      <c r="D16" t="str">
        <f>Texte!A2585</f>
        <v>Bergzone III und IV</v>
      </c>
      <c r="E16" t="s">
        <v>5675</v>
      </c>
      <c r="F16" s="1946">
        <f>IF(OR(Allg!KlickZonenEintlg=D_Klick!B10,Allg!KlickZonenEintlg=D_Klick!B11),Kennz!BFF_ExtWiese,0)</f>
        <v>0</v>
      </c>
      <c r="G16" s="1325" t="s">
        <v>1045</v>
      </c>
      <c r="H16" s="557">
        <f>D_Klick!AT10</f>
        <v>300</v>
      </c>
      <c r="I16" s="1325" t="s">
        <v>4987</v>
      </c>
      <c r="J16" s="1906"/>
      <c r="K16" s="1325" t="s">
        <v>1045</v>
      </c>
      <c r="L16" s="557">
        <f>D_Klick!BG10</f>
        <v>1100</v>
      </c>
      <c r="M16" s="1325" t="s">
        <v>4987</v>
      </c>
      <c r="N16" s="1906"/>
      <c r="O16" s="1325" t="s">
        <v>1045</v>
      </c>
      <c r="P16" s="557">
        <v>200</v>
      </c>
      <c r="Q16" s="1325" t="s">
        <v>4987</v>
      </c>
      <c r="R16" s="1906"/>
      <c r="S16" s="1325" t="s">
        <v>1045</v>
      </c>
      <c r="T16" s="712">
        <v>1000</v>
      </c>
      <c r="U16" s="1325" t="s">
        <v>4983</v>
      </c>
      <c r="V16" s="557">
        <f>F16*H16+J16*L16+N16*P16+R16*T16</f>
        <v>0</v>
      </c>
      <c r="W16" s="481"/>
    </row>
    <row r="17" spans="2:28" ht="9" customHeight="1">
      <c r="B17" s="215"/>
      <c r="C17" s="1"/>
      <c r="F17" s="672"/>
      <c r="G17" s="672"/>
      <c r="H17" s="672"/>
      <c r="I17" s="672"/>
      <c r="J17" s="672"/>
      <c r="K17" s="672"/>
      <c r="L17" s="672"/>
      <c r="M17" s="672"/>
      <c r="N17" s="672"/>
      <c r="O17" s="672"/>
      <c r="P17" s="672"/>
      <c r="Q17" s="672"/>
      <c r="R17" s="672"/>
      <c r="S17" s="672"/>
      <c r="T17" s="672"/>
      <c r="U17" s="672"/>
      <c r="V17" s="672"/>
      <c r="W17" s="481"/>
    </row>
    <row r="18" spans="2:28" ht="14.85" customHeight="1">
      <c r="B18" s="215"/>
      <c r="C18" s="1" t="str">
        <f>Texte!A2549</f>
        <v>Streueflächen*</v>
      </c>
      <c r="E18" t="s">
        <v>5675</v>
      </c>
      <c r="F18" s="3100">
        <f>Kennz!BFF_Streue</f>
        <v>0.502</v>
      </c>
      <c r="G18" s="672"/>
      <c r="H18" s="672"/>
      <c r="I18" s="672"/>
      <c r="J18" s="672"/>
      <c r="K18" s="672"/>
      <c r="L18" s="672"/>
      <c r="M18" s="672"/>
      <c r="N18" s="672"/>
      <c r="O18" s="672"/>
      <c r="P18" s="672"/>
      <c r="Q18" s="672"/>
      <c r="R18" s="672"/>
      <c r="S18" s="672"/>
      <c r="T18" s="672"/>
      <c r="U18" s="672"/>
      <c r="V18" s="672"/>
      <c r="W18" s="481"/>
    </row>
    <row r="19" spans="2:28" ht="15.75" customHeight="1">
      <c r="B19" s="215"/>
      <c r="C19" s="1"/>
      <c r="D19" t="str">
        <f>Texte!A2582</f>
        <v>Talzone</v>
      </c>
      <c r="E19" t="s">
        <v>5675</v>
      </c>
      <c r="F19" s="1946">
        <f>IF(Allg!KlickZonenEintlg=D_Klick!B6, Kennz!BFF_Streue,0)</f>
        <v>0.502</v>
      </c>
      <c r="G19" s="1325" t="s">
        <v>1045</v>
      </c>
      <c r="H19" s="557">
        <f>D_Klick!AU6</f>
        <v>1440</v>
      </c>
      <c r="I19" s="1325" t="s">
        <v>4987</v>
      </c>
      <c r="J19" s="1906"/>
      <c r="K19" s="1325" t="s">
        <v>1045</v>
      </c>
      <c r="L19" s="557">
        <f>D_Klick!BH6</f>
        <v>2060</v>
      </c>
      <c r="M19" s="1325" t="s">
        <v>4987</v>
      </c>
      <c r="N19" s="1906"/>
      <c r="O19" s="1325" t="s">
        <v>1045</v>
      </c>
      <c r="P19" s="557">
        <v>200</v>
      </c>
      <c r="Q19" s="1325" t="s">
        <v>4987</v>
      </c>
      <c r="R19" s="1906"/>
      <c r="S19" s="1325" t="s">
        <v>1045</v>
      </c>
      <c r="T19" s="712">
        <v>1000</v>
      </c>
      <c r="U19" s="1325" t="s">
        <v>4983</v>
      </c>
      <c r="V19" s="557">
        <f>F19*H19+J19*L19+N19*P19+R19*T19</f>
        <v>722.88</v>
      </c>
      <c r="W19" s="481"/>
    </row>
    <row r="20" spans="2:28" ht="15.75" customHeight="1">
      <c r="B20" s="215"/>
      <c r="C20" s="1"/>
      <c r="D20" t="str">
        <f>Texte!A2583</f>
        <v>Hügelzone</v>
      </c>
      <c r="E20" t="s">
        <v>5675</v>
      </c>
      <c r="F20" s="1946">
        <f>IF(Allg!KlickZonenEintlg=D_Klick!B7,Kennz!BFF_Streue,0)</f>
        <v>0</v>
      </c>
      <c r="G20" s="1325" t="s">
        <v>1045</v>
      </c>
      <c r="H20" s="557">
        <f>D_Klick!AU7</f>
        <v>1220</v>
      </c>
      <c r="I20" s="1325" t="s">
        <v>4987</v>
      </c>
      <c r="J20" s="1906"/>
      <c r="K20" s="1325" t="s">
        <v>1045</v>
      </c>
      <c r="L20" s="557">
        <f>D_Klick!BH7</f>
        <v>1980</v>
      </c>
      <c r="M20" s="1325" t="s">
        <v>4987</v>
      </c>
      <c r="N20" s="1906"/>
      <c r="O20" s="1325" t="s">
        <v>1045</v>
      </c>
      <c r="P20" s="557">
        <v>200</v>
      </c>
      <c r="Q20" s="1325" t="s">
        <v>4987</v>
      </c>
      <c r="R20" s="1906"/>
      <c r="S20" s="1325" t="s">
        <v>1045</v>
      </c>
      <c r="T20" s="712">
        <v>1000</v>
      </c>
      <c r="U20" s="1325" t="s">
        <v>4983</v>
      </c>
      <c r="V20" s="557">
        <f>F20*H20+J20*L20+N20*P20+R20*T20</f>
        <v>0</v>
      </c>
      <c r="W20" s="481"/>
    </row>
    <row r="21" spans="2:28" ht="15.75" customHeight="1">
      <c r="B21" s="560"/>
      <c r="C21" s="45"/>
      <c r="D21" t="str">
        <f>Texte!A2584</f>
        <v>Bergzone I und II</v>
      </c>
      <c r="E21" t="s">
        <v>5675</v>
      </c>
      <c r="F21" s="1946">
        <f>IF(OR(Allg!KlickZonenEintlg=D_Klick!B8,Allg!KlickZonenEintlg=D_Klick!B9),Kennz!BFF_Streue,0)</f>
        <v>0</v>
      </c>
      <c r="G21" s="1325" t="s">
        <v>1045</v>
      </c>
      <c r="H21" s="557">
        <f>D_Klick!AU8</f>
        <v>860</v>
      </c>
      <c r="I21" s="1325" t="s">
        <v>4987</v>
      </c>
      <c r="J21" s="1906"/>
      <c r="K21" s="1325" t="s">
        <v>1045</v>
      </c>
      <c r="L21" s="557">
        <f>D_Klick!BH8</f>
        <v>1840</v>
      </c>
      <c r="M21" s="1325" t="s">
        <v>4987</v>
      </c>
      <c r="N21" s="1906"/>
      <c r="O21" s="1325" t="s">
        <v>1045</v>
      </c>
      <c r="P21" s="557">
        <v>200</v>
      </c>
      <c r="Q21" s="1325" t="s">
        <v>4987</v>
      </c>
      <c r="R21" s="1906"/>
      <c r="S21" s="1325" t="s">
        <v>1045</v>
      </c>
      <c r="T21" s="712">
        <v>1000</v>
      </c>
      <c r="U21" s="1325" t="s">
        <v>4983</v>
      </c>
      <c r="V21" s="557">
        <f>F21*H21+J21*L21+N21*P21+R21*T21</f>
        <v>0</v>
      </c>
      <c r="W21" s="481"/>
    </row>
    <row r="22" spans="2:28" ht="15.75" customHeight="1">
      <c r="B22" s="560"/>
      <c r="C22" s="45"/>
      <c r="D22" t="str">
        <f>Texte!A2585</f>
        <v>Bergzone III und IV</v>
      </c>
      <c r="E22" t="s">
        <v>5675</v>
      </c>
      <c r="F22" s="1946">
        <f>IF(OR(Allg!KlickZonenEintlg=D_Klick!B10,Allg!KlickZonenEintlg=D_Klick!B11),Kennz!BFF_Streue,0)</f>
        <v>0</v>
      </c>
      <c r="G22" s="1325" t="s">
        <v>1045</v>
      </c>
      <c r="H22" s="557">
        <f>D_Klick!AU10</f>
        <v>680</v>
      </c>
      <c r="I22" s="1325" t="s">
        <v>4987</v>
      </c>
      <c r="J22" s="1906"/>
      <c r="K22" s="1325" t="s">
        <v>1045</v>
      </c>
      <c r="L22" s="557">
        <f>D_Klick!BH10</f>
        <v>1770</v>
      </c>
      <c r="M22" s="1325" t="s">
        <v>4987</v>
      </c>
      <c r="N22" s="1906"/>
      <c r="O22" s="1325" t="s">
        <v>1045</v>
      </c>
      <c r="P22" s="557">
        <v>200</v>
      </c>
      <c r="Q22" s="1325" t="s">
        <v>4987</v>
      </c>
      <c r="R22" s="1906"/>
      <c r="S22" s="1325" t="s">
        <v>1045</v>
      </c>
      <c r="T22" s="712">
        <v>1000</v>
      </c>
      <c r="U22" s="1325" t="s">
        <v>4983</v>
      </c>
      <c r="V22" s="557">
        <f>F22*H22+J22*L22+N22*P22+R22*T22</f>
        <v>0</v>
      </c>
      <c r="W22" s="481"/>
    </row>
    <row r="23" spans="2:28" ht="9" customHeight="1">
      <c r="B23" s="560"/>
      <c r="C23" s="45"/>
      <c r="F23" s="672"/>
      <c r="G23" s="672"/>
      <c r="H23" s="672"/>
      <c r="I23" s="672"/>
      <c r="J23" s="672"/>
      <c r="K23" s="672"/>
      <c r="L23" s="672"/>
      <c r="M23" s="672"/>
      <c r="N23" s="672"/>
      <c r="O23" s="672"/>
      <c r="P23" s="672"/>
      <c r="Q23" s="672"/>
      <c r="R23" s="672"/>
      <c r="S23" s="672"/>
      <c r="T23" s="672"/>
      <c r="U23" s="672"/>
      <c r="V23" s="672"/>
      <c r="W23" s="481"/>
    </row>
    <row r="24" spans="2:28" ht="14.85" customHeight="1">
      <c r="B24" s="560"/>
      <c r="C24" s="1" t="str">
        <f>Texte!A2550</f>
        <v>Wenig intensiv genutzte Wiesen*</v>
      </c>
      <c r="E24" t="s">
        <v>5675</v>
      </c>
      <c r="F24" s="3100">
        <f>Kennz!BFF_WenigIntWiese</f>
        <v>19.454699999999999</v>
      </c>
      <c r="G24" s="672"/>
      <c r="H24" s="672"/>
      <c r="I24" s="672"/>
      <c r="J24" s="672"/>
      <c r="K24" s="672"/>
      <c r="L24" s="672"/>
      <c r="M24" s="672"/>
      <c r="N24" s="672"/>
      <c r="O24" s="672"/>
      <c r="P24" s="672"/>
      <c r="Q24" s="672"/>
      <c r="R24" s="672"/>
      <c r="S24" s="672"/>
      <c r="T24" s="672"/>
      <c r="U24" s="672"/>
      <c r="V24" s="672"/>
      <c r="W24" s="481"/>
    </row>
    <row r="25" spans="2:28" ht="15.75" customHeight="1">
      <c r="B25" s="560"/>
      <c r="C25" s="45"/>
      <c r="D25" t="str">
        <f>Texte!A2582</f>
        <v>Talzone</v>
      </c>
      <c r="E25" t="s">
        <v>5675</v>
      </c>
      <c r="F25" s="1946">
        <f>IF(Allg!KlickZonenEintlg=D_Klick!B6, Kennz!BFF_WenigIntWiese,0)</f>
        <v>19.454699999999999</v>
      </c>
      <c r="G25" s="1325" t="s">
        <v>1045</v>
      </c>
      <c r="H25" s="557">
        <f>D_Klick!AV6</f>
        <v>300</v>
      </c>
      <c r="I25" s="1325" t="s">
        <v>4987</v>
      </c>
      <c r="J25" s="1906"/>
      <c r="K25" s="1325" t="s">
        <v>1045</v>
      </c>
      <c r="L25" s="557">
        <f>D_Klick!BI6</f>
        <v>1540</v>
      </c>
      <c r="M25" s="1325" t="s">
        <v>4987</v>
      </c>
      <c r="N25" s="1906"/>
      <c r="O25" s="1325" t="s">
        <v>1045</v>
      </c>
      <c r="P25" s="557">
        <v>200</v>
      </c>
      <c r="Q25" s="1325" t="s">
        <v>4987</v>
      </c>
      <c r="R25" s="1906"/>
      <c r="S25" s="1325" t="s">
        <v>1045</v>
      </c>
      <c r="T25" s="712">
        <v>1000</v>
      </c>
      <c r="U25" s="1325" t="s">
        <v>4983</v>
      </c>
      <c r="V25" s="557">
        <f>F25*H25+J25*L25+N25*P25+R25*T25</f>
        <v>5836.41</v>
      </c>
      <c r="W25" s="481"/>
    </row>
    <row r="26" spans="2:28" ht="15.75" customHeight="1">
      <c r="B26" s="560"/>
      <c r="C26" s="45"/>
      <c r="D26" t="str">
        <f>Texte!A2583</f>
        <v>Hügelzone</v>
      </c>
      <c r="E26" t="s">
        <v>5675</v>
      </c>
      <c r="F26" s="1946">
        <f>IF(Allg!KlickZonenEintlg=D_Klick!B7, Kennz!BFF_WenigIntWiese,0)</f>
        <v>0</v>
      </c>
      <c r="G26" s="1325" t="s">
        <v>1045</v>
      </c>
      <c r="H26" s="557">
        <f>D_Klick!AV7</f>
        <v>300</v>
      </c>
      <c r="I26" s="1325" t="s">
        <v>4987</v>
      </c>
      <c r="J26" s="1906"/>
      <c r="K26" s="1325" t="s">
        <v>1045</v>
      </c>
      <c r="L26" s="557">
        <f>D_Klick!BI7</f>
        <v>1470</v>
      </c>
      <c r="M26" s="1325" t="s">
        <v>4987</v>
      </c>
      <c r="N26" s="1906"/>
      <c r="O26" s="1325" t="s">
        <v>1045</v>
      </c>
      <c r="P26" s="557">
        <v>200</v>
      </c>
      <c r="Q26" s="1325" t="s">
        <v>4987</v>
      </c>
      <c r="R26" s="1906"/>
      <c r="S26" s="1325" t="s">
        <v>1045</v>
      </c>
      <c r="T26" s="712">
        <v>1000</v>
      </c>
      <c r="U26" s="1325" t="s">
        <v>4983</v>
      </c>
      <c r="V26" s="557">
        <f>F26*H26+J26*L26+N26*P26+R26*T26</f>
        <v>0</v>
      </c>
      <c r="W26" s="481"/>
    </row>
    <row r="27" spans="2:28" ht="15.75" customHeight="1">
      <c r="B27" s="560"/>
      <c r="C27" s="45"/>
      <c r="D27" t="str">
        <f>Texte!A2584</f>
        <v>Bergzone I und II</v>
      </c>
      <c r="E27" t="s">
        <v>5675</v>
      </c>
      <c r="F27" s="1946">
        <f>IF(OR(Allg!KlickZonenEintlg=D_Klick!B8,Allg!KlickZonenEintlg=D_Klick!B9),Kennz!BFF_WenigIntWiese,0)</f>
        <v>0</v>
      </c>
      <c r="G27" s="1325" t="s">
        <v>1045</v>
      </c>
      <c r="H27" s="557">
        <f>D_Klick!AV8</f>
        <v>300</v>
      </c>
      <c r="I27" s="1325" t="s">
        <v>4987</v>
      </c>
      <c r="J27" s="1906"/>
      <c r="K27" s="1325" t="s">
        <v>1045</v>
      </c>
      <c r="L27" s="557">
        <f>D_Klick!BI8</f>
        <v>1360</v>
      </c>
      <c r="M27" s="1325" t="s">
        <v>4987</v>
      </c>
      <c r="N27" s="1906"/>
      <c r="O27" s="1325" t="s">
        <v>1045</v>
      </c>
      <c r="P27" s="557">
        <v>200</v>
      </c>
      <c r="Q27" s="1325" t="s">
        <v>4987</v>
      </c>
      <c r="R27" s="1906"/>
      <c r="S27" s="1325" t="s">
        <v>1045</v>
      </c>
      <c r="T27" s="712">
        <v>1000</v>
      </c>
      <c r="U27" s="1325" t="s">
        <v>4983</v>
      </c>
      <c r="V27" s="557">
        <f>F27*H27+J27*L27+N27*P27+R27*T27</f>
        <v>0</v>
      </c>
      <c r="W27" s="481"/>
    </row>
    <row r="28" spans="2:28" ht="15.75" customHeight="1">
      <c r="B28" s="560"/>
      <c r="C28" s="45"/>
      <c r="D28" t="str">
        <f>Texte!A2585</f>
        <v>Bergzone III und IV</v>
      </c>
      <c r="E28" t="s">
        <v>5675</v>
      </c>
      <c r="F28" s="1946">
        <f>IF(OR(Allg!KlickZonenEintlg=D_Klick!B10,Allg!KlickZonenEintlg=D_Klick!B11),Kennz!BFF_WenigIntWiese,0)</f>
        <v>0</v>
      </c>
      <c r="G28" s="1325" t="s">
        <v>1045</v>
      </c>
      <c r="H28" s="557">
        <f>D_Klick!AV10</f>
        <v>300</v>
      </c>
      <c r="I28" s="1325" t="s">
        <v>4987</v>
      </c>
      <c r="J28" s="1906"/>
      <c r="K28" s="1325" t="s">
        <v>1045</v>
      </c>
      <c r="L28" s="557">
        <f>D_Klick!BI10</f>
        <v>1000</v>
      </c>
      <c r="M28" s="1325" t="s">
        <v>4987</v>
      </c>
      <c r="N28" s="1906"/>
      <c r="O28" s="1325" t="s">
        <v>1045</v>
      </c>
      <c r="P28" s="557">
        <v>200</v>
      </c>
      <c r="Q28" s="1325" t="s">
        <v>4987</v>
      </c>
      <c r="R28" s="1906"/>
      <c r="S28" s="1325" t="s">
        <v>1045</v>
      </c>
      <c r="T28" s="712">
        <v>1000</v>
      </c>
      <c r="U28" s="1325" t="s">
        <v>4983</v>
      </c>
      <c r="V28" s="557">
        <f>F28*H28+J28*L28+N28*P28+R28*T28</f>
        <v>0</v>
      </c>
      <c r="W28" s="481"/>
    </row>
    <row r="29" spans="2:28" ht="9" customHeight="1">
      <c r="B29" s="215"/>
      <c r="C29" s="1"/>
      <c r="F29" s="672"/>
      <c r="G29" s="672"/>
      <c r="H29" s="672"/>
      <c r="I29" s="672"/>
      <c r="J29" s="672"/>
      <c r="K29" s="672"/>
      <c r="L29" s="672"/>
      <c r="M29" s="672"/>
      <c r="N29" s="672"/>
      <c r="O29" s="672"/>
      <c r="P29" s="672"/>
      <c r="Q29" s="672"/>
      <c r="R29" s="672"/>
      <c r="S29" s="672"/>
      <c r="T29" s="672"/>
      <c r="U29" s="672"/>
      <c r="V29" s="672"/>
      <c r="W29" s="481"/>
    </row>
    <row r="30" spans="2:28" s="672" customFormat="1" ht="14.85" customHeight="1">
      <c r="B30" s="215"/>
      <c r="C30" s="1" t="str">
        <f>Texte!A2551</f>
        <v xml:space="preserve">Extensiv genutzte Weiden </v>
      </c>
      <c r="F30" s="3100">
        <f>Kennz!G41</f>
        <v>0</v>
      </c>
      <c r="W30" s="481"/>
    </row>
    <row r="31" spans="2:28" ht="15.75" customHeight="1">
      <c r="B31" s="1424"/>
      <c r="D31" s="30" t="str">
        <f>Texte!A2552</f>
        <v>und Waldweiden</v>
      </c>
      <c r="E31" t="s">
        <v>5675</v>
      </c>
      <c r="F31" s="1946">
        <f>SUM(Kennz!G28:G29)</f>
        <v>2.2204000000000002</v>
      </c>
      <c r="G31" s="1325" t="s">
        <v>1045</v>
      </c>
      <c r="H31" s="557">
        <f>D_Klick!AW6</f>
        <v>300</v>
      </c>
      <c r="I31" s="1325" t="s">
        <v>4987</v>
      </c>
      <c r="J31" s="1906"/>
      <c r="K31" s="1325" t="s">
        <v>1045</v>
      </c>
      <c r="L31" s="557">
        <f>D_Klick!BJ6</f>
        <v>700</v>
      </c>
      <c r="M31" s="1325" t="s">
        <v>4987</v>
      </c>
      <c r="N31" s="1906"/>
      <c r="O31" s="1325" t="s">
        <v>1045</v>
      </c>
      <c r="P31" s="557">
        <v>200</v>
      </c>
      <c r="Q31" s="1325" t="s">
        <v>4987</v>
      </c>
      <c r="R31" s="1906"/>
      <c r="S31" s="1325" t="s">
        <v>1045</v>
      </c>
      <c r="T31" s="712">
        <v>500</v>
      </c>
      <c r="U31" s="1325" t="s">
        <v>4983</v>
      </c>
      <c r="V31" s="557">
        <f>F31*H31+J31*L31+N31*P31+R31*T31</f>
        <v>666.12</v>
      </c>
      <c r="W31" s="420"/>
      <c r="AB31" s="1362"/>
    </row>
    <row r="32" spans="2:28" ht="15.75" customHeight="1">
      <c r="B32" s="1424"/>
      <c r="C32" s="30" t="str">
        <f>Texte!A2553</f>
        <v>Hecken, Feld- und Ufergehölze</v>
      </c>
      <c r="E32" t="s">
        <v>5675</v>
      </c>
      <c r="F32" s="1906">
        <f>Fläche!N35</f>
        <v>2.4763999999999999</v>
      </c>
      <c r="G32" s="1325" t="s">
        <v>1045</v>
      </c>
      <c r="H32" s="557">
        <f>D_Klick!AX6</f>
        <v>2160</v>
      </c>
      <c r="I32" s="1325" t="s">
        <v>4987</v>
      </c>
      <c r="J32" s="1906"/>
      <c r="K32" s="1325" t="s">
        <v>1045</v>
      </c>
      <c r="L32" s="557">
        <f>D_Klick!BK6</f>
        <v>2840</v>
      </c>
      <c r="M32" s="672"/>
      <c r="N32" s="672"/>
      <c r="O32" s="672"/>
      <c r="P32" s="672"/>
      <c r="Q32" s="1325" t="s">
        <v>4987</v>
      </c>
      <c r="R32" s="1906"/>
      <c r="S32" s="1325" t="s">
        <v>1045</v>
      </c>
      <c r="T32" s="712">
        <v>1000</v>
      </c>
      <c r="U32" s="1325" t="s">
        <v>4983</v>
      </c>
      <c r="V32" s="557">
        <f>F32*H32+J32*L32+R32*T32</f>
        <v>5349.0239999999994</v>
      </c>
      <c r="W32" s="420"/>
    </row>
    <row r="33" spans="2:23" ht="15.75" customHeight="1">
      <c r="B33" s="1424"/>
      <c r="C33" s="30" t="str">
        <f>Texte!A2554</f>
        <v>Buntbrache TZ und HZ</v>
      </c>
      <c r="E33" t="s">
        <v>5675</v>
      </c>
      <c r="F33" s="1906">
        <f>IF(OR(Allg!KlickZonenEintlg=D_Klick!B6,Allg!KlickZonenEintlg=D_Klick!B7),Kennz!G31,0)</f>
        <v>0</v>
      </c>
      <c r="G33" s="1325" t="s">
        <v>1045</v>
      </c>
      <c r="H33" s="557">
        <f>D_Klick!BA6</f>
        <v>3800</v>
      </c>
      <c r="I33" s="1325"/>
      <c r="J33" s="672"/>
      <c r="K33" s="672"/>
      <c r="L33" s="672"/>
      <c r="M33" s="672"/>
      <c r="N33" s="672"/>
      <c r="O33" s="672"/>
      <c r="P33" s="672"/>
      <c r="Q33" s="1325" t="s">
        <v>4987</v>
      </c>
      <c r="R33" s="1906"/>
      <c r="S33" s="1325" t="s">
        <v>1045</v>
      </c>
      <c r="T33" s="712">
        <v>1000</v>
      </c>
      <c r="U33" s="1325" t="s">
        <v>4983</v>
      </c>
      <c r="V33" s="557">
        <f>F33*H33+R33*T33</f>
        <v>0</v>
      </c>
      <c r="W33" s="420"/>
    </row>
    <row r="34" spans="2:23" ht="15.75" customHeight="1">
      <c r="B34" s="1424"/>
      <c r="C34" s="30" t="str">
        <f>Texte!A2555</f>
        <v>Rotationsbrache TZ und HZ</v>
      </c>
      <c r="E34" t="s">
        <v>5675</v>
      </c>
      <c r="F34" s="1906">
        <f>IF(OR(Allg!KlickZonenEintlg=D_Klick!B6,Allg!KlickZonenEintlg=D_Klick!B7),Kennz!G32,0)</f>
        <v>0</v>
      </c>
      <c r="G34" s="1325" t="s">
        <v>1045</v>
      </c>
      <c r="H34" s="557">
        <f>D_Klick!BB6</f>
        <v>3300</v>
      </c>
      <c r="I34" s="1325"/>
      <c r="J34" s="672"/>
      <c r="K34" s="672"/>
      <c r="L34" s="672"/>
      <c r="M34" s="672"/>
      <c r="N34" s="672"/>
      <c r="O34" s="672"/>
      <c r="P34" s="672"/>
      <c r="Q34" s="1325" t="s">
        <v>4987</v>
      </c>
      <c r="R34" s="1906"/>
      <c r="S34" s="1325" t="s">
        <v>1045</v>
      </c>
      <c r="T34" s="712">
        <v>1000</v>
      </c>
      <c r="U34" s="1325" t="s">
        <v>4983</v>
      </c>
      <c r="V34" s="557">
        <f>F34*H34+R34*T34</f>
        <v>0</v>
      </c>
      <c r="W34" s="420"/>
    </row>
    <row r="35" spans="2:23" ht="15.75" customHeight="1">
      <c r="B35" s="1424"/>
      <c r="C35" s="30" t="str">
        <f>Texte!A2556</f>
        <v>Ackerschonstreifen</v>
      </c>
      <c r="E35" t="s">
        <v>5675</v>
      </c>
      <c r="F35" s="1906">
        <f>Kennz!G30</f>
        <v>0</v>
      </c>
      <c r="G35" s="1325" t="s">
        <v>1045</v>
      </c>
      <c r="H35" s="557">
        <f>D_Klick!BC6</f>
        <v>2300</v>
      </c>
      <c r="I35" s="1325"/>
      <c r="J35" s="672"/>
      <c r="K35" s="672"/>
      <c r="L35" s="672"/>
      <c r="M35" s="672"/>
      <c r="N35" s="672"/>
      <c r="O35" s="672"/>
      <c r="P35" s="672"/>
      <c r="Q35" s="1325" t="s">
        <v>4987</v>
      </c>
      <c r="R35" s="1906"/>
      <c r="S35" s="1325" t="s">
        <v>1045</v>
      </c>
      <c r="T35" s="712">
        <v>1000</v>
      </c>
      <c r="U35" s="1325" t="s">
        <v>4983</v>
      </c>
      <c r="V35" s="557">
        <f>F35*H35+R35*T35</f>
        <v>0</v>
      </c>
      <c r="W35" s="420"/>
    </row>
    <row r="36" spans="2:23" ht="15.75" hidden="1" customHeight="1">
      <c r="B36" s="1424"/>
      <c r="C36" s="30" t="str">
        <f>Texte!A2557</f>
        <v>Getreide in weiter Reihe</v>
      </c>
      <c r="E36" t="s">
        <v>5675</v>
      </c>
      <c r="F36" s="1906"/>
      <c r="G36" s="1325" t="s">
        <v>1045</v>
      </c>
      <c r="H36" s="557">
        <f>D_Klick!BD6</f>
        <v>300</v>
      </c>
      <c r="I36" s="1325"/>
      <c r="J36" s="672"/>
      <c r="K36" s="672"/>
      <c r="L36" s="672"/>
      <c r="M36" s="672"/>
      <c r="N36" s="672"/>
      <c r="O36" s="672"/>
      <c r="P36" s="672"/>
      <c r="Q36" s="1325"/>
      <c r="R36" s="1906"/>
      <c r="S36" s="1325"/>
      <c r="T36" s="712"/>
      <c r="U36" s="1325"/>
      <c r="V36" s="557">
        <f>F36*H36+R36*T36</f>
        <v>0</v>
      </c>
      <c r="W36" s="420"/>
    </row>
    <row r="37" spans="2:23" ht="15.75" customHeight="1">
      <c r="B37" s="3325"/>
      <c r="C37" s="30" t="str">
        <f>Texte!A2558</f>
        <v>Saum auf Ackerfläche TZ - B II</v>
      </c>
      <c r="E37" t="s">
        <v>5675</v>
      </c>
      <c r="F37" s="1906">
        <f>IF(OR(Allg!KlickZonenEintlg=D_Klick!B6,Allg!KlickZonenEintlg=D_Klick!B7,Allg!KlickZonenEintlg=D_Klick!B8,Allg!KlickZonenEintlg=D_Klick!B9),Fläche!E54,0)</f>
        <v>0.1658</v>
      </c>
      <c r="G37" s="1325" t="s">
        <v>1045</v>
      </c>
      <c r="H37" s="557">
        <f>D_Klick!BF6</f>
        <v>3300</v>
      </c>
      <c r="I37" s="1325"/>
      <c r="J37" s="672"/>
      <c r="K37" s="672"/>
      <c r="L37" s="672"/>
      <c r="M37" s="672"/>
      <c r="N37" s="672"/>
      <c r="O37" s="672"/>
      <c r="P37" s="672"/>
      <c r="Q37" s="1325" t="s">
        <v>4987</v>
      </c>
      <c r="R37" s="1906"/>
      <c r="S37" s="1325" t="s">
        <v>1045</v>
      </c>
      <c r="T37" s="712">
        <v>1000</v>
      </c>
      <c r="U37" s="1325" t="s">
        <v>4983</v>
      </c>
      <c r="V37" s="557">
        <f>F37*H37+R37*T37</f>
        <v>547.14</v>
      </c>
      <c r="W37" s="420"/>
    </row>
    <row r="38" spans="2:23" ht="15.75" hidden="1" customHeight="1">
      <c r="B38" s="3325"/>
      <c r="C38" s="30" t="str">
        <f>Texte!A2571</f>
        <v>Nützlingsstreifen TZ und HZ</v>
      </c>
      <c r="E38" t="s">
        <v>5675</v>
      </c>
      <c r="F38" s="1906">
        <f>IF(OR(Allg!KlickZonenEintlg=D_Klick!B6,Allg!KlickZonenEintlg=D_Klick!B7),Fläche!E56,0)</f>
        <v>0</v>
      </c>
      <c r="G38" s="1325" t="s">
        <v>1045</v>
      </c>
      <c r="H38" s="557">
        <f>D_Klick!BE6</f>
        <v>2500</v>
      </c>
      <c r="I38" s="1325"/>
      <c r="J38" s="672"/>
      <c r="K38" s="672"/>
      <c r="L38" s="672"/>
      <c r="M38" s="672"/>
      <c r="N38" s="672"/>
      <c r="O38" s="672"/>
      <c r="P38" s="672"/>
      <c r="Q38" s="1325"/>
      <c r="R38" s="672"/>
      <c r="S38" s="672"/>
      <c r="T38" s="672"/>
      <c r="U38" s="1325" t="s">
        <v>4983</v>
      </c>
      <c r="V38" s="557">
        <f>F38*H38</f>
        <v>0</v>
      </c>
      <c r="W38" s="420"/>
    </row>
    <row r="39" spans="2:23" ht="15.75" customHeight="1">
      <c r="B39" s="3325"/>
      <c r="C39" s="30" t="str">
        <f>Texte!A2572</f>
        <v>Rebflächen m. natürlicher Artenvielfalt</v>
      </c>
      <c r="E39" t="s">
        <v>5675</v>
      </c>
      <c r="F39" s="672"/>
      <c r="G39" s="672"/>
      <c r="H39" s="672"/>
      <c r="I39" s="672"/>
      <c r="J39" s="1906">
        <f>Kennz!G41</f>
        <v>0</v>
      </c>
      <c r="K39" s="1325" t="s">
        <v>1045</v>
      </c>
      <c r="L39" s="557">
        <f>D_Klick!BL6</f>
        <v>1100</v>
      </c>
      <c r="M39" s="672"/>
      <c r="N39" s="672"/>
      <c r="O39" s="672"/>
      <c r="P39" s="672"/>
      <c r="Q39" s="1325" t="s">
        <v>4987</v>
      </c>
      <c r="R39" s="1906"/>
      <c r="S39" s="1325" t="s">
        <v>1045</v>
      </c>
      <c r="T39" s="712">
        <v>1000</v>
      </c>
      <c r="U39" s="1325" t="s">
        <v>4983</v>
      </c>
      <c r="V39" s="557">
        <f>J39*L39+R39*T39</f>
        <v>0</v>
      </c>
      <c r="W39" s="420"/>
    </row>
    <row r="40" spans="2:23" ht="15.75" customHeight="1">
      <c r="B40" s="3325"/>
      <c r="C40" s="30" t="str">
        <f>Texte!A2573</f>
        <v>Uferwiese entlang von Fliessgewässern</v>
      </c>
      <c r="E40" t="s">
        <v>5675</v>
      </c>
      <c r="F40" s="1906">
        <f>Kennz!G39</f>
        <v>0.1232</v>
      </c>
      <c r="G40" s="1325" t="s">
        <v>1045</v>
      </c>
      <c r="H40" s="557">
        <f>D_Klick!AY6</f>
        <v>300</v>
      </c>
      <c r="I40" s="672"/>
      <c r="J40" s="672"/>
      <c r="K40" s="672"/>
      <c r="L40" s="672"/>
      <c r="M40" s="672"/>
      <c r="N40" s="672"/>
      <c r="O40" s="672"/>
      <c r="P40" s="672"/>
      <c r="Q40" s="1325" t="s">
        <v>4987</v>
      </c>
      <c r="R40" s="1906"/>
      <c r="S40" s="1325"/>
      <c r="T40" s="712">
        <v>1000</v>
      </c>
      <c r="U40" s="1325" t="s">
        <v>4983</v>
      </c>
      <c r="V40" s="557">
        <f>F40*H40+R40*T40</f>
        <v>36.96</v>
      </c>
      <c r="W40" s="420"/>
    </row>
    <row r="41" spans="2:23" s="672" customFormat="1" ht="14.85" customHeight="1">
      <c r="B41" s="560"/>
      <c r="C41" s="1" t="str">
        <f>Texte!A2574</f>
        <v>Artenreiche Grün- und Streue-</v>
      </c>
      <c r="W41" s="481"/>
    </row>
    <row r="42" spans="2:23" ht="15.75" customHeight="1">
      <c r="B42" s="3325"/>
      <c r="C42" s="358"/>
      <c r="D42" s="1006" t="str">
        <f>Texte!A2575</f>
        <v>flächen im Sömmerungsgebiet</v>
      </c>
      <c r="E42" t="str">
        <f>Texte!A2563</f>
        <v>ha</v>
      </c>
      <c r="F42" s="672"/>
      <c r="G42" s="672"/>
      <c r="H42" s="672"/>
      <c r="I42" s="672"/>
      <c r="J42" s="1906"/>
      <c r="K42" s="1325" t="s">
        <v>1045</v>
      </c>
      <c r="L42" s="557">
        <f>D_Klick!BM11</f>
        <v>150</v>
      </c>
      <c r="M42" s="672"/>
      <c r="N42" s="672"/>
      <c r="O42" s="672"/>
      <c r="P42" s="672"/>
      <c r="Q42" s="672"/>
      <c r="R42" s="672"/>
      <c r="S42" s="672"/>
      <c r="T42" s="672"/>
      <c r="U42" s="1325" t="s">
        <v>4983</v>
      </c>
      <c r="V42" s="557">
        <f>J42*L42</f>
        <v>0</v>
      </c>
      <c r="W42" s="420"/>
    </row>
    <row r="43" spans="2:23" ht="15.75" customHeight="1">
      <c r="B43" s="3325"/>
      <c r="C43" s="30" t="str">
        <f>Texte!A2576</f>
        <v>Hochstamm-Feldobstbäume</v>
      </c>
      <c r="E43" t="str">
        <f>Texte!A2564</f>
        <v>Stück</v>
      </c>
      <c r="F43" s="712">
        <f>Fläche!Hochstamm -F44</f>
        <v>0</v>
      </c>
      <c r="G43" s="1325" t="s">
        <v>1045</v>
      </c>
      <c r="H43" s="3316">
        <f>IF(Allg!Erntejahr&gt;2023,IF(F43&gt;=20,D_Klick!AZ6,0),D_Klick!AZ6)</f>
        <v>0</v>
      </c>
      <c r="I43" s="1325" t="s">
        <v>4987</v>
      </c>
      <c r="J43" s="712"/>
      <c r="K43" s="1325" t="s">
        <v>1045</v>
      </c>
      <c r="L43" s="3317">
        <f>IF(Allg!Erntejahr&gt;2023,IF(J43&gt;=10,D_Klick!BN6,0),D_Klick!BN6)</f>
        <v>0</v>
      </c>
      <c r="M43" s="672"/>
      <c r="N43" s="672"/>
      <c r="O43" s="672"/>
      <c r="P43" s="672"/>
      <c r="Q43" s="1325" t="s">
        <v>4987</v>
      </c>
      <c r="R43" s="712"/>
      <c r="S43" s="1325" t="s">
        <v>1045</v>
      </c>
      <c r="T43" s="712">
        <v>5</v>
      </c>
      <c r="U43" s="1325" t="s">
        <v>4983</v>
      </c>
      <c r="V43" s="557">
        <f>F43*H43+J43*L43+R43*T43</f>
        <v>0</v>
      </c>
      <c r="W43" s="420"/>
    </row>
    <row r="44" spans="2:23" ht="15.75" customHeight="1">
      <c r="B44" s="1424"/>
      <c r="C44" s="30" t="str">
        <f>Texte!A2577</f>
        <v>Nussbäume***</v>
      </c>
      <c r="E44" t="str">
        <f>Texte!A2564</f>
        <v>Stück</v>
      </c>
      <c r="F44" s="712"/>
      <c r="G44" s="1325" t="s">
        <v>1045</v>
      </c>
      <c r="H44" s="1946">
        <f>D_Klick!AZ6</f>
        <v>13.5</v>
      </c>
      <c r="I44" s="1325" t="s">
        <v>4987</v>
      </c>
      <c r="J44" s="712"/>
      <c r="K44" s="1325" t="s">
        <v>1045</v>
      </c>
      <c r="L44" s="1906">
        <f>IF(Allg!Erntejahr&gt;2015,16.5,15)</f>
        <v>16.5</v>
      </c>
      <c r="M44" s="672"/>
      <c r="N44" s="672"/>
      <c r="O44" s="672"/>
      <c r="P44" s="672"/>
      <c r="Q44" s="1325" t="s">
        <v>4987</v>
      </c>
      <c r="R44" s="712"/>
      <c r="S44" s="1325" t="s">
        <v>1045</v>
      </c>
      <c r="T44" s="712"/>
      <c r="U44" s="1325" t="s">
        <v>4983</v>
      </c>
      <c r="V44" s="557">
        <f>F44*H44+J44*L44+R44*T44</f>
        <v>0</v>
      </c>
      <c r="W44" s="420"/>
    </row>
    <row r="45" spans="2:23" ht="15.75" customHeight="1">
      <c r="B45" s="1424"/>
      <c r="C45" s="30" t="str">
        <f>Texte!A2593</f>
        <v>Einzelbäume und Alleen</v>
      </c>
      <c r="E45" t="str">
        <f>Texte!A2564</f>
        <v>Stück</v>
      </c>
      <c r="F45" s="672"/>
      <c r="G45" s="672"/>
      <c r="H45" s="672"/>
      <c r="I45" s="672"/>
      <c r="J45" s="672"/>
      <c r="K45" s="672"/>
      <c r="L45" s="672"/>
      <c r="M45" s="672"/>
      <c r="N45" s="672"/>
      <c r="O45" s="672"/>
      <c r="P45" s="672"/>
      <c r="Q45" s="672"/>
      <c r="R45" s="712"/>
      <c r="S45" s="1325" t="s">
        <v>1045</v>
      </c>
      <c r="T45" s="712">
        <v>5</v>
      </c>
      <c r="U45" s="1325" t="s">
        <v>4983</v>
      </c>
      <c r="V45" s="557">
        <f>J45*L45+N45*P45+R45*T45</f>
        <v>0</v>
      </c>
      <c r="W45" s="420"/>
    </row>
    <row r="46" spans="2:23" ht="15.75" customHeight="1">
      <c r="B46" s="1424"/>
      <c r="C46" s="30" t="str">
        <f>Texte!A2592</f>
        <v>Regionsspezifische BFF</v>
      </c>
      <c r="E46" t="str">
        <f>Texte!A2563</f>
        <v>ha</v>
      </c>
      <c r="F46" s="672"/>
      <c r="G46" s="672"/>
      <c r="H46" s="672"/>
      <c r="I46" s="672"/>
      <c r="J46" s="672"/>
      <c r="K46" s="672"/>
      <c r="L46" s="672"/>
      <c r="M46" s="672"/>
      <c r="N46" s="672"/>
      <c r="O46" s="672"/>
      <c r="P46" s="672"/>
      <c r="Q46" s="672"/>
      <c r="R46" s="1906"/>
      <c r="S46" s="1325" t="s">
        <v>1045</v>
      </c>
      <c r="T46" s="712">
        <v>1000</v>
      </c>
      <c r="U46" s="1325" t="s">
        <v>4983</v>
      </c>
      <c r="V46" s="557">
        <f>F46*H46+J46*L46+N46*P46+R46*T46</f>
        <v>0</v>
      </c>
      <c r="W46" s="420"/>
    </row>
    <row r="47" spans="2:23" ht="5.0999999999999996" customHeight="1">
      <c r="B47" s="1424"/>
      <c r="C47" s="30"/>
      <c r="F47" s="672"/>
      <c r="G47" s="672"/>
      <c r="H47" s="672"/>
      <c r="I47" s="672"/>
      <c r="J47" s="672"/>
      <c r="K47" s="672"/>
      <c r="L47" s="672"/>
      <c r="M47" s="672"/>
      <c r="N47" s="672"/>
      <c r="O47" s="672"/>
      <c r="P47" s="672"/>
      <c r="Q47" s="672"/>
      <c r="R47" s="672"/>
      <c r="S47" s="672"/>
      <c r="T47" s="672"/>
      <c r="U47" s="672"/>
      <c r="V47" s="672"/>
      <c r="W47" s="420"/>
    </row>
    <row r="48" spans="2:23" ht="17.100000000000001" customHeight="1">
      <c r="B48" s="1424"/>
      <c r="C48" s="30" t="str">
        <f>Texte!A2581</f>
        <v>Total je Kategorie</v>
      </c>
      <c r="F48" s="1314"/>
      <c r="G48" s="1314"/>
      <c r="H48" s="1314">
        <f>SUMPRODUCT(F13:F16,H13:H16)+SUMPRODUCT(F19:F22,H19:H22)+SUMPRODUCT(F25:F28,H25:H28)+SUMPRODUCT(F31:F46,H31:H46)</f>
        <v>24120.965999999997</v>
      </c>
      <c r="I48" s="672"/>
      <c r="J48" s="1314"/>
      <c r="K48" s="1314"/>
      <c r="L48" s="1314">
        <f>SUMPRODUCT(J13:J16,L13:L16)+SUMPRODUCT(J19:J22,L19:L22)+SUMPRODUCT(J25:J28,L25:L28)+SUMPRODUCT(J31:J46,L31:L46)</f>
        <v>0</v>
      </c>
      <c r="M48" s="672"/>
      <c r="N48" s="1314"/>
      <c r="O48" s="1314"/>
      <c r="P48" s="1314">
        <f>SUMPRODUCT(N13:N16,P13:P16)+SUMPRODUCT(N19:N22,P19:P22)+SUMPRODUCT(N25:N28,P25:P28)+SUMPRODUCT(N31:N46,P31:P46)</f>
        <v>0</v>
      </c>
      <c r="Q48" s="672"/>
      <c r="R48" s="1314"/>
      <c r="S48" s="1314"/>
      <c r="T48" s="1314">
        <f>SUMPRODUCT(R13:R16,T13:T16)+SUMPRODUCT(R19:R22,T19:T22)+SUMPRODUCT(R25:R28,T25:T28)+SUMPRODUCT(R31:R46,T31:T46)</f>
        <v>0</v>
      </c>
      <c r="U48" s="672"/>
      <c r="V48" s="672"/>
      <c r="W48" s="420"/>
    </row>
    <row r="49" spans="2:29" ht="5.0999999999999996" customHeight="1">
      <c r="B49" s="215"/>
      <c r="C49" s="1"/>
      <c r="F49" s="672"/>
      <c r="G49" s="672"/>
      <c r="H49" s="672"/>
      <c r="I49" s="672"/>
      <c r="J49" s="672"/>
      <c r="K49" s="672"/>
      <c r="L49" s="672"/>
      <c r="M49" s="672"/>
      <c r="N49" s="672"/>
      <c r="O49" s="672"/>
      <c r="P49" s="672"/>
      <c r="Q49" s="672"/>
      <c r="R49" s="672"/>
      <c r="S49" s="672"/>
      <c r="T49" s="672"/>
      <c r="U49" s="672"/>
      <c r="V49" s="672"/>
      <c r="W49" s="481"/>
    </row>
    <row r="50" spans="2:29" ht="15" customHeight="1">
      <c r="B50" s="215"/>
      <c r="C50" s="1"/>
      <c r="H50" s="718" t="str">
        <f>Texte!A2568</f>
        <v>Für pauschale Eingabe das Kontrollkästchen aktivieren</v>
      </c>
      <c r="K50" s="1908" t="s">
        <v>680</v>
      </c>
      <c r="L50" s="557"/>
      <c r="T50" s="1908" t="str">
        <f>SummeBez</f>
        <v>Summe der Beiträge</v>
      </c>
      <c r="U50" s="1325" t="s">
        <v>4983</v>
      </c>
      <c r="V50" s="1314">
        <f>SUM(V13:V46)</f>
        <v>24120.965999999993</v>
      </c>
      <c r="W50" s="481"/>
      <c r="Y50" s="1905" t="b">
        <v>0</v>
      </c>
      <c r="Z50" s="1905"/>
      <c r="AA50" s="1905" t="str">
        <f>Texte!A2567</f>
        <v>Pauschalbetrag</v>
      </c>
      <c r="AB50" s="1905" t="str">
        <f>Texte!A2566</f>
        <v>Summe der Beiträge</v>
      </c>
      <c r="AC50" s="1905"/>
    </row>
    <row r="51" spans="2:29" ht="6.75" customHeight="1">
      <c r="B51" s="560"/>
      <c r="C51" s="45"/>
      <c r="W51" s="481"/>
    </row>
    <row r="52" spans="2:29" ht="17.100000000000001" customHeight="1">
      <c r="B52" s="560"/>
      <c r="C52" t="str">
        <f>Texte!A2594</f>
        <v>Korrektur für Flächen im Ausland und nicht beitragsberechtigtes Bauland</v>
      </c>
      <c r="U52" s="1325" t="s">
        <v>4818</v>
      </c>
      <c r="V52" s="712"/>
      <c r="W52" s="481"/>
    </row>
    <row r="53" spans="2:29" ht="5.0999999999999996" customHeight="1">
      <c r="B53" s="560"/>
      <c r="C53" s="45"/>
      <c r="W53" s="481"/>
    </row>
    <row r="54" spans="2:29" ht="17.100000000000001" customHeight="1">
      <c r="B54" s="1383" t="str">
        <f>Texte!A2613</f>
        <v>Total Biodiversitätsbeitrag vor Begrenzung</v>
      </c>
      <c r="C54" s="45"/>
      <c r="U54" s="1325" t="s">
        <v>4983</v>
      </c>
      <c r="V54" s="1314">
        <f>V50-V52</f>
        <v>24120.965999999993</v>
      </c>
      <c r="W54" s="481"/>
    </row>
    <row r="55" spans="2:29" ht="5.0999999999999996" customHeight="1">
      <c r="B55" s="560"/>
      <c r="C55" s="45"/>
      <c r="W55" s="481"/>
    </row>
    <row r="56" spans="2:29" ht="15.75" customHeight="1">
      <c r="B56" s="560"/>
      <c r="C56" s="3" t="s">
        <v>7589</v>
      </c>
      <c r="D56" t="str">
        <f>Texte!A2578</f>
        <v>Die Flächenanteile sind der Betriebszone zugeordnet. Zum Ändern Kontrollkästchen aktivieren.</v>
      </c>
      <c r="W56" s="481"/>
    </row>
    <row r="57" spans="2:29" ht="15.75" customHeight="1">
      <c r="B57" s="560"/>
      <c r="C57" s="3" t="s">
        <v>497</v>
      </c>
      <c r="D57" t="str">
        <f>Texte!A2579</f>
        <v>Die Beiträge können abweichen, da der Kanton die Beitragsansätze für die Vernetzung festlegt.</v>
      </c>
      <c r="W57" s="481"/>
    </row>
    <row r="58" spans="2:29" ht="15.75" customHeight="1">
      <c r="B58" s="215"/>
      <c r="C58" s="196" t="s">
        <v>7590</v>
      </c>
      <c r="D58" t="str">
        <f>Texte!A2580</f>
        <v>Für Nussbäume, die 2013 in einer Verpflichtungsdauer (6 Jahre) sind, werden bis Ende dieser Dauer CHF 30.- bezahlt.</v>
      </c>
      <c r="W58" s="481"/>
    </row>
    <row r="59" spans="2:29" ht="5.0999999999999996" customHeight="1">
      <c r="B59" s="1367"/>
      <c r="D59" s="678"/>
      <c r="E59" s="678"/>
      <c r="F59" s="678"/>
      <c r="G59" s="678"/>
      <c r="H59" s="678"/>
      <c r="I59" s="678"/>
      <c r="J59" s="678"/>
      <c r="K59" s="678"/>
      <c r="L59" s="678"/>
      <c r="M59" s="678"/>
      <c r="N59" s="678"/>
      <c r="O59" s="678"/>
      <c r="P59" s="678"/>
      <c r="Q59" s="678"/>
      <c r="R59" s="678"/>
      <c r="S59" s="678"/>
      <c r="T59" s="678"/>
      <c r="U59" s="678"/>
      <c r="V59" s="678"/>
      <c r="W59" s="1329"/>
    </row>
    <row r="60" spans="2:29" ht="5.0999999999999996" customHeight="1">
      <c r="B60" s="559"/>
      <c r="C60" s="1907"/>
      <c r="D60" s="12"/>
      <c r="E60" s="12"/>
      <c r="F60" s="12"/>
      <c r="G60" s="12"/>
      <c r="H60" s="12"/>
      <c r="I60" s="12"/>
      <c r="J60" s="12"/>
      <c r="K60" s="12"/>
      <c r="L60" s="12"/>
      <c r="M60" s="12"/>
      <c r="N60" s="12"/>
      <c r="O60" s="12"/>
      <c r="P60" s="12"/>
      <c r="Q60" s="12"/>
      <c r="R60" s="12"/>
      <c r="S60" s="12"/>
      <c r="T60" s="12"/>
      <c r="U60" s="12"/>
      <c r="V60" s="12"/>
      <c r="W60" s="528"/>
    </row>
    <row r="61" spans="2:29" ht="15.75" hidden="1" customHeight="1">
      <c r="B61" s="560"/>
      <c r="C61" s="680" t="str">
        <f>Texte!A2596</f>
        <v>Berechnung der Begrenzung der BFF QI Beiträge</v>
      </c>
      <c r="W61" s="481"/>
    </row>
    <row r="62" spans="2:29" ht="6" hidden="1" customHeight="1">
      <c r="B62" s="560"/>
      <c r="W62" s="481"/>
    </row>
    <row r="63" spans="2:29" ht="12.75" hidden="1">
      <c r="B63" s="560"/>
      <c r="F63" t="str">
        <f>Texte!A2560</f>
        <v>Einh.</v>
      </c>
      <c r="H63" t="str">
        <f>Texte!A2561</f>
        <v>Anzahl</v>
      </c>
      <c r="N63" t="str">
        <f>Texte!A2561</f>
        <v>Anzahl</v>
      </c>
      <c r="R63" t="str">
        <f>Texte!A2561</f>
        <v>Anzahl</v>
      </c>
      <c r="W63" s="481"/>
    </row>
    <row r="64" spans="2:29" ht="15.75" hidden="1" customHeight="1">
      <c r="B64" s="560"/>
      <c r="C64" t="str">
        <f>Texte!A2602 &amp; " " &amp;C76</f>
        <v>Fläche Qualitätsstufe I und Rebflächen° a)</v>
      </c>
      <c r="F64" t="str">
        <f>Texte!A2563</f>
        <v>ha</v>
      </c>
      <c r="H64" s="1909">
        <f>SUM(F13:F16,F19:F22,F25:F28,F31:F38,F40,J39,SUM(F43:F44)*0.01)</f>
        <v>38.996899999999989</v>
      </c>
      <c r="J64" t="str">
        <f xml:space="preserve"> Texte!A2604&amp; " ****"</f>
        <v>Basisfläche ****</v>
      </c>
      <c r="N64" s="1906">
        <f>Fläche!BDB_Basis_Fläche</f>
        <v>134.53080000000003</v>
      </c>
      <c r="P64" t="str">
        <f>IF(H64&gt;N64,Texte!A2612 &amp; "c)","c)")</f>
        <v>c)</v>
      </c>
      <c r="W64" s="481"/>
    </row>
    <row r="65" spans="2:23" ht="15.75" hidden="1" customHeight="1">
      <c r="B65" s="560"/>
      <c r="C65" t="str">
        <f xml:space="preserve"> Texte!A2603 &amp; " " &amp;C76  &amp; " " &amp;C77</f>
        <v>Fläche Qualitätsstufe II  a) b)</v>
      </c>
      <c r="F65" s="999" t="str">
        <f>Texte!A2563</f>
        <v>ha</v>
      </c>
      <c r="G65" s="1908" t="s">
        <v>4818</v>
      </c>
      <c r="H65" s="1909">
        <f>SUM(J13:J16,J19:J22,J25:J28,J31:J32,J39,SUM(J43:J44)*0.01)</f>
        <v>0</v>
      </c>
      <c r="J65" t="str">
        <f>Texte!A2597</f>
        <v>Schwellenfläche SF</v>
      </c>
      <c r="N65" t="str">
        <f>Texte!A2598</f>
        <v>(= Basisfläche / 2)</v>
      </c>
      <c r="Q65" t="s">
        <v>4983</v>
      </c>
      <c r="R65" s="1909">
        <f>IF(N64&gt;0,N64/2,Fläche!BDB_Basis_Fläche + F44*0.01)</f>
        <v>67.265400000000014</v>
      </c>
      <c r="W65" s="481"/>
    </row>
    <row r="66" spans="2:23" ht="15.75" hidden="1" customHeight="1">
      <c r="B66" s="560"/>
      <c r="C66" t="str">
        <f>Texte!A2599</f>
        <v>Massgebende Fläche</v>
      </c>
      <c r="F66" t="str">
        <f>Texte!A2563</f>
        <v>ha</v>
      </c>
      <c r="G66" t="s">
        <v>4983</v>
      </c>
      <c r="H66" s="1909">
        <f>H64-H65</f>
        <v>38.996899999999989</v>
      </c>
      <c r="J66" t="str">
        <f>Texte!A2600</f>
        <v>Begrenzungsfaktor</v>
      </c>
      <c r="N66" t="str">
        <f>Texte!A2601</f>
        <v>(=SF / Massgebende Fläche)</v>
      </c>
      <c r="S66" t="s">
        <v>4983</v>
      </c>
      <c r="T66" s="1909">
        <v>1</v>
      </c>
      <c r="V66">
        <f>IF(H66&gt;0,IF(OR(Allg!Erntejahr&lt;2016,R65&gt;H66),1,R65/H66),1)</f>
        <v>1</v>
      </c>
      <c r="W66" s="481"/>
    </row>
    <row r="67" spans="2:23" ht="5.0999999999999996" hidden="1" customHeight="1">
      <c r="B67" s="560"/>
      <c r="F67" s="1982"/>
      <c r="W67" s="481"/>
    </row>
    <row r="68" spans="2:23" ht="15.75" hidden="1" customHeight="1">
      <c r="B68" s="215"/>
      <c r="C68" s="680" t="str">
        <f>Texte!A2614</f>
        <v>Effektive Reduktion der Biodiversitätsbeiträge für die Qualitätsstufe I</v>
      </c>
      <c r="T68" s="3" t="str">
        <f>IF(T66=1,Texte!A2609,"")</f>
        <v>keine Reduktion</v>
      </c>
      <c r="V68" s="1314">
        <f>H48*(T66-1)</f>
        <v>0</v>
      </c>
      <c r="W68" s="481"/>
    </row>
    <row r="69" spans="2:23" ht="5.0999999999999996" customHeight="1">
      <c r="B69" s="215"/>
      <c r="W69" s="481"/>
    </row>
    <row r="70" spans="2:23" ht="17.100000000000001" customHeight="1">
      <c r="B70" s="1383" t="str">
        <f>Texte!A2623</f>
        <v>Total Biodiversitätsbeiträge</v>
      </c>
      <c r="U70" s="1325"/>
      <c r="V70" s="1314">
        <f>SUM(V54,V68)</f>
        <v>24120.965999999993</v>
      </c>
      <c r="W70" s="481"/>
    </row>
    <row r="71" spans="2:23" ht="5.0999999999999996" customHeight="1">
      <c r="B71" s="560"/>
      <c r="C71" s="45"/>
      <c r="W71" s="481"/>
    </row>
    <row r="72" spans="2:23" ht="12.75">
      <c r="B72" s="215"/>
      <c r="C72" s="196" t="s">
        <v>7454</v>
      </c>
      <c r="D72" t="str">
        <f>Texte!A2605</f>
        <v>Basisfläche = Landwirtschaftliche Nutzfläche, ohne die Flächen für Baumschulen, Forstpflanzen, Christbäume, Zierpflanzen, Hanf und Gewächshäu-</v>
      </c>
      <c r="W72" s="481"/>
    </row>
    <row r="73" spans="2:23" ht="12.75">
      <c r="B73" s="215"/>
      <c r="C73" s="196"/>
      <c r="D73" t="str">
        <f>Texte!A2606</f>
        <v>ser mit festem Fundament, Hecken-, Feld- und Ufergehölze (mit Pufferstreifen), ein- und mehrjährige gärtnerische Freilandkulturen  (z. B. Blumen)</v>
      </c>
      <c r="W73" s="481"/>
    </row>
    <row r="74" spans="2:23" ht="12.75">
      <c r="B74" s="215"/>
      <c r="C74" s="196"/>
      <c r="D74" t="str">
        <f>Texte!A2607</f>
        <v>und übrige nicht beitragsberechtigte Acker- und Grünflächen (554,598,594,698), jedoch plus Hecken-, Feld- und Ufergehölze (mit Krautsaum) und</v>
      </c>
      <c r="W74" s="481"/>
    </row>
    <row r="75" spans="2:23" ht="12.75">
      <c r="B75" s="215"/>
      <c r="C75" s="196"/>
      <c r="D75" t="str">
        <f>Texte!A2608</f>
        <v>0.01 ha je Hochstammfeldobst-, Kastanien- und Nussbaum Qualitätsstufe I; siehe auch Vollzugshilfe Merkblatt Nr.6: Flächenkatalog 2016</v>
      </c>
      <c r="W75" s="481"/>
    </row>
    <row r="76" spans="2:23" ht="12.75">
      <c r="B76" s="215"/>
      <c r="C76" s="196" t="s">
        <v>2126</v>
      </c>
      <c r="D76" t="str">
        <f>Texte!A2610</f>
        <v>inkl. 0.01 ha pro Baum der entsprechenden Qualitätsstufe; °Rebflächen mit natürlicher Artenvielfalt.</v>
      </c>
      <c r="W76" s="481"/>
    </row>
    <row r="77" spans="2:23" ht="12.75">
      <c r="B77" s="215"/>
      <c r="C77" s="718" t="s">
        <v>2129</v>
      </c>
      <c r="D77" t="str">
        <f>Texte!A2611</f>
        <v>ohne Artenreiche Grün- und Streuflächen im Sömmerungsgebiet</v>
      </c>
      <c r="W77" s="481"/>
    </row>
    <row r="78" spans="2:23" ht="12.75">
      <c r="B78" s="215"/>
      <c r="C78" s="718" t="s">
        <v>2130</v>
      </c>
      <c r="D78" t="str">
        <f>Texte!A2615</f>
        <v>Den vorgeschlagenen Wert (Basisfläche **** berechnet mit Angaben aus dem Register Fläche) überprüfen und ggf. anpassen.</v>
      </c>
      <c r="W78" s="481"/>
    </row>
    <row r="79" spans="2:23" ht="5.0999999999999996" customHeight="1">
      <c r="B79" s="1367"/>
      <c r="C79" s="1983"/>
      <c r="D79" s="678"/>
      <c r="E79" s="678"/>
      <c r="F79" s="678"/>
      <c r="G79" s="678"/>
      <c r="H79" s="678"/>
      <c r="I79" s="678"/>
      <c r="J79" s="678"/>
      <c r="K79" s="678"/>
      <c r="L79" s="678"/>
      <c r="M79" s="678"/>
      <c r="N79" s="678"/>
      <c r="O79" s="678"/>
      <c r="P79" s="678"/>
      <c r="Q79" s="678"/>
      <c r="R79" s="678"/>
      <c r="S79" s="678"/>
      <c r="T79" s="678"/>
      <c r="U79" s="678"/>
      <c r="V79" s="678"/>
      <c r="W79" s="1329"/>
    </row>
    <row r="80" spans="2:23" ht="5.0999999999999996" customHeight="1"/>
    <row r="81" spans="2:3" ht="12.75" customHeight="1">
      <c r="B81" s="1902" t="str">
        <f>Texte!A20</f>
        <v>Stand der Bestimmungen gültig ab 1.1.2025 oder 1.1.2026 oder 1.1.2027, gemäss den vorgeschlagenen Verordnungen des</v>
      </c>
      <c r="C81" s="1902"/>
    </row>
    <row r="82" spans="2:3" ht="12.75" customHeight="1">
      <c r="B82" s="1902" t="str">
        <f>Texte!A18</f>
        <v xml:space="preserve">Bundesrates vor der Wintersession. Die Berechnung erfolgt für das im Blatt "Allg" eingestellte Jahr. </v>
      </c>
      <c r="C82" s="1465"/>
    </row>
    <row r="83" spans="2:3" ht="12.75" customHeight="1">
      <c r="B83" s="1902" t="str">
        <f>Texte!A22</f>
        <v>AGRIDEA lehnt jede Haftung und Gewährleistung ab, die aus Berechnungen mit diesem Instrument abgeleitet werden.</v>
      </c>
    </row>
  </sheetData>
  <sheetProtection algorithmName="SHA-512" hashValue="xoclzfzU66qTAr0wJqG/3bdZCmx5qjD8xfNs7YXwUJuibfLmYL5N2Y6YurFT97P2u2gGJfgoH+cuwYl1toifIw==" saltValue="bbcxLPlsDXElyp/ohCtkbg==" spinCount="100000" sheet="1" objects="1" scenarios="1"/>
  <phoneticPr fontId="120" type="noConversion"/>
  <printOptions horizontalCentered="1"/>
  <pageMargins left="0.59055118110236227" right="0.31496062992125984" top="0.59055118110236227" bottom="0.51" header="0.31496062992125984" footer="0.31496062992125984"/>
  <pageSetup paperSize="9" scale="71" orientation="portrait" r:id="rId1"/>
  <headerFooter alignWithMargins="0">
    <oddFooter>&amp;C&amp;F&amp;R&amp;"Arial,Standard"&amp;9Seite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8754" r:id="rId4" name="chk_MehrZonen">
              <controlPr defaultSize="0" print="0" autoFill="0" autoLine="0" autoPict="0" macro="[0]!KlickMehrZonenBDB">
                <anchor moveWithCells="1">
                  <from>
                    <xdr:col>1</xdr:col>
                    <xdr:colOff>38100</xdr:colOff>
                    <xdr:row>8</xdr:row>
                    <xdr:rowOff>95250</xdr:rowOff>
                  </from>
                  <to>
                    <xdr:col>3</xdr:col>
                    <xdr:colOff>38100</xdr:colOff>
                    <xdr:row>10</xdr:row>
                    <xdr:rowOff>76200</xdr:rowOff>
                  </to>
                </anchor>
              </controlPr>
            </control>
          </mc:Choice>
        </mc:AlternateContent>
        <mc:AlternateContent xmlns:mc="http://schemas.openxmlformats.org/markup-compatibility/2006">
          <mc:Choice Requires="x14">
            <control shapeId="458756" r:id="rId5" name="chk_Pausch">
              <controlPr defaultSize="0" autoFill="0" autoLine="0" autoPict="0" macro="[0]!On_ChkBDBpausch">
                <anchor moveWithCells="1">
                  <from>
                    <xdr:col>8</xdr:col>
                    <xdr:colOff>38100</xdr:colOff>
                    <xdr:row>48</xdr:row>
                    <xdr:rowOff>47625</xdr:rowOff>
                  </from>
                  <to>
                    <xdr:col>9</xdr:col>
                    <xdr:colOff>85725</xdr:colOff>
                    <xdr:row>50</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9">
    <tabColor indexed="27"/>
    <pageSetUpPr fitToPage="1"/>
  </sheetPr>
  <dimension ref="B1:T59"/>
  <sheetViews>
    <sheetView showGridLines="0" showRowColHeaders="0" showZeros="0" workbookViewId="0">
      <selection activeCell="E9" sqref="E9"/>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140625" style="872" customWidth="1"/>
    <col min="2" max="2" width="1.7109375" style="872" customWidth="1"/>
    <col min="3" max="3" width="10.7109375" style="872" customWidth="1"/>
    <col min="4" max="4" width="2.28515625" style="872" customWidth="1"/>
    <col min="5" max="6" width="8.7109375" style="872" customWidth="1"/>
    <col min="7" max="7" width="20.140625" style="872" customWidth="1"/>
    <col min="8" max="8" width="8.7109375" style="872" customWidth="1"/>
    <col min="9" max="9" width="3.7109375" style="872" customWidth="1"/>
    <col min="10" max="10" width="10.7109375" style="872" customWidth="1"/>
    <col min="11" max="11" width="5.28515625" style="872" customWidth="1"/>
    <col min="12" max="12" width="10.7109375" style="872" customWidth="1"/>
    <col min="13" max="13" width="3.28515625" style="872" customWidth="1"/>
    <col min="14" max="14" width="10.28515625" style="872" customWidth="1"/>
    <col min="15" max="15" width="3.7109375" style="872" customWidth="1"/>
    <col min="16" max="16" width="2.140625" style="872" customWidth="1"/>
    <col min="17" max="17" width="2.28515625" style="872" customWidth="1"/>
    <col min="18" max="18" width="11.85546875" style="872" customWidth="1"/>
    <col min="19" max="19" width="0.85546875" style="872" customWidth="1"/>
    <col min="20" max="16384" width="11.42578125" style="872"/>
  </cols>
  <sheetData>
    <row r="1" spans="2:20" ht="42" customHeight="1">
      <c r="B1" s="1378" t="str">
        <f>Q!NW_Tit</f>
        <v xml:space="preserve">                                   Nachweis</v>
      </c>
      <c r="G1" s="1315"/>
      <c r="Q1" s="874"/>
      <c r="R1" s="20" t="str">
        <f>Q!F45</f>
        <v>Landschaftsqualität</v>
      </c>
      <c r="S1" s="20"/>
      <c r="T1" s="675"/>
    </row>
    <row r="2" spans="2:20" s="692" customFormat="1" ht="11.1" customHeight="1" thickBot="1">
      <c r="B2" s="687"/>
      <c r="C2" s="687"/>
      <c r="D2" s="687"/>
      <c r="E2" s="687"/>
      <c r="F2" s="687"/>
      <c r="G2" s="687"/>
      <c r="H2" s="687"/>
      <c r="I2" s="687"/>
      <c r="J2" s="687"/>
      <c r="K2" s="687"/>
      <c r="L2" s="687"/>
      <c r="M2" s="687"/>
      <c r="N2" s="687"/>
      <c r="O2" s="687"/>
      <c r="P2" s="687"/>
      <c r="Q2" s="687"/>
      <c r="R2" s="44"/>
      <c r="S2" s="44"/>
      <c r="T2" s="675"/>
    </row>
    <row r="3" spans="2:20" s="1195" customFormat="1" ht="21.95" customHeight="1">
      <c r="B3" s="1861" t="str">
        <f>Texte!A13</f>
        <v>Betrieb:</v>
      </c>
      <c r="C3" s="1873"/>
      <c r="D3" s="1873"/>
      <c r="E3" s="1873" t="str">
        <f>Allg!$C$9&amp;""</f>
        <v>Imhof &amp; Zaehner Betriebsgemeinschaft</v>
      </c>
      <c r="F3" s="1873"/>
      <c r="G3" s="1873"/>
      <c r="H3" s="1874"/>
      <c r="I3" s="1873"/>
      <c r="J3" s="1873"/>
      <c r="K3" s="1863" t="str">
        <f>Texte!A14</f>
        <v>Variante:</v>
      </c>
      <c r="L3" s="1433" t="str">
        <f>Allg!$G$7&amp;""</f>
        <v/>
      </c>
      <c r="M3" s="1863"/>
      <c r="N3" s="1433"/>
      <c r="O3" s="1873"/>
      <c r="P3" s="1873"/>
      <c r="Q3" s="1863" t="str">
        <f>Texte!A15</f>
        <v>Jahr:</v>
      </c>
      <c r="R3" s="1859" t="str">
        <f>Allg!$G$6&amp;""</f>
        <v>2026</v>
      </c>
      <c r="S3" s="1859"/>
      <c r="T3" s="30"/>
    </row>
    <row r="4" spans="2:20" ht="12.75" customHeight="1">
      <c r="B4" s="675"/>
      <c r="C4" s="675"/>
      <c r="D4" s="675"/>
      <c r="E4" s="675"/>
      <c r="F4" s="675"/>
      <c r="G4" s="675"/>
      <c r="H4" s="675"/>
      <c r="I4" s="675"/>
      <c r="J4" s="675"/>
      <c r="K4" s="675"/>
      <c r="L4" s="675"/>
      <c r="M4" s="675"/>
      <c r="N4" s="675"/>
      <c r="O4" s="675"/>
      <c r="P4" s="675"/>
      <c r="Q4" s="675"/>
      <c r="R4" s="675"/>
      <c r="S4" s="675"/>
      <c r="T4" s="675"/>
    </row>
    <row r="5" spans="2:20" ht="17.100000000000001" customHeight="1">
      <c r="B5" s="685" t="str">
        <f>Texte!A2625</f>
        <v>Landschaftsqualitätsbeitrag (LQB, Art. 60 und 61 und Anhang 7 DZV)</v>
      </c>
      <c r="C5" s="675"/>
      <c r="D5" s="675"/>
      <c r="E5" s="675"/>
      <c r="F5" s="675"/>
      <c r="G5" s="675"/>
      <c r="H5" s="675"/>
      <c r="I5" s="675"/>
      <c r="J5" s="675"/>
      <c r="K5" s="675"/>
      <c r="L5" s="675"/>
      <c r="M5" s="675"/>
      <c r="N5" s="675"/>
      <c r="O5" s="675"/>
      <c r="P5" s="675"/>
      <c r="Q5" s="675"/>
      <c r="R5" s="1368"/>
      <c r="S5" s="1368"/>
      <c r="T5" s="675"/>
    </row>
    <row r="6" spans="2:20" ht="5.0999999999999996" customHeight="1">
      <c r="B6" s="685"/>
      <c r="C6" s="675"/>
      <c r="D6" s="675"/>
      <c r="E6" s="675"/>
      <c r="F6" s="675"/>
      <c r="G6" s="675"/>
      <c r="H6" s="675"/>
      <c r="I6" s="675"/>
      <c r="J6" s="675"/>
      <c r="K6" s="675"/>
      <c r="L6" s="675"/>
      <c r="M6" s="675"/>
      <c r="N6" s="675"/>
      <c r="O6" s="675"/>
      <c r="P6" s="675"/>
      <c r="Q6" s="675"/>
      <c r="R6" s="1368"/>
      <c r="S6" s="1368"/>
      <c r="T6" s="675"/>
    </row>
    <row r="7" spans="2:20" ht="14.45" customHeight="1">
      <c r="B7" s="1721" t="str">
        <f>Texte!A2626</f>
        <v>Voraussetzung: überbetriebliches Projekt. Nur jährlich wiederkehrende Beiträge aufführen!</v>
      </c>
      <c r="C7" s="1721"/>
      <c r="D7" s="675"/>
      <c r="E7" s="675"/>
      <c r="F7" s="675"/>
      <c r="G7" s="675"/>
      <c r="H7" s="675"/>
      <c r="I7" s="675"/>
      <c r="J7" s="675"/>
      <c r="K7" s="675"/>
      <c r="L7" s="675"/>
      <c r="M7" s="675"/>
      <c r="N7" s="675"/>
      <c r="O7" s="675"/>
      <c r="P7" s="675"/>
      <c r="Q7" s="675"/>
      <c r="R7" s="1368"/>
      <c r="S7" s="1368"/>
      <c r="T7" s="675"/>
    </row>
    <row r="8" spans="2:20" ht="17.100000000000001" customHeight="1">
      <c r="B8" s="1369"/>
      <c r="C8" s="1322"/>
      <c r="D8" s="1322"/>
      <c r="E8" s="1370" t="str">
        <f>Texte!A2627</f>
        <v>Bezeichnung</v>
      </c>
      <c r="F8" s="1370"/>
      <c r="G8" s="1370"/>
      <c r="H8" s="1370"/>
      <c r="I8" s="1322"/>
      <c r="J8" s="1323" t="str">
        <f>Texte!A2628</f>
        <v>Betrag CHF/Einheit</v>
      </c>
      <c r="K8" s="1322"/>
      <c r="L8" s="1323" t="str">
        <f>Texte!A2629</f>
        <v>Anzahl Einheiten*</v>
      </c>
      <c r="M8" s="1322"/>
      <c r="N8" s="1322" t="str">
        <f>Texte!A2630</f>
        <v>Zwischentotal (CHF)</v>
      </c>
      <c r="O8" s="1323"/>
      <c r="P8" s="1322"/>
      <c r="Q8" s="1322"/>
      <c r="R8" s="1322" t="str">
        <f>Texte!A2501</f>
        <v>Total (CHF)</v>
      </c>
      <c r="S8" s="528"/>
      <c r="T8" s="675"/>
    </row>
    <row r="9" spans="2:20" ht="17.100000000000001" customHeight="1">
      <c r="B9" s="1324"/>
      <c r="C9" s="675" t="str">
        <f>Texte!A2632</f>
        <v>Massnahme:</v>
      </c>
      <c r="D9" s="675"/>
      <c r="E9" s="535"/>
      <c r="F9" s="535"/>
      <c r="G9" s="535"/>
      <c r="H9" s="535"/>
      <c r="I9" s="675"/>
      <c r="J9" s="712"/>
      <c r="K9" s="1325" t="s">
        <v>1045</v>
      </c>
      <c r="L9" s="1906"/>
      <c r="M9" s="1325" t="s">
        <v>4983</v>
      </c>
      <c r="N9" s="557">
        <f t="shared" ref="N9:N27" si="0">J9*L9</f>
        <v>0</v>
      </c>
      <c r="O9" s="1338"/>
      <c r="P9" s="1338"/>
      <c r="Q9" s="1325"/>
      <c r="R9"/>
      <c r="S9" s="481"/>
      <c r="T9" s="679"/>
    </row>
    <row r="10" spans="2:20" ht="17.100000000000001" customHeight="1">
      <c r="B10" s="1324"/>
      <c r="C10" s="675" t="str">
        <f>Texte!A2632</f>
        <v>Massnahme:</v>
      </c>
      <c r="D10" s="675"/>
      <c r="E10" s="535"/>
      <c r="F10" s="535"/>
      <c r="G10" s="535"/>
      <c r="H10" s="535"/>
      <c r="I10" s="675"/>
      <c r="J10" s="712"/>
      <c r="K10" s="1325" t="s">
        <v>1045</v>
      </c>
      <c r="L10" s="1906"/>
      <c r="M10" s="1325" t="s">
        <v>4983</v>
      </c>
      <c r="N10" s="557">
        <f t="shared" si="0"/>
        <v>0</v>
      </c>
      <c r="O10" s="1338"/>
      <c r="P10" s="1338"/>
      <c r="Q10" s="1325"/>
      <c r="R10"/>
      <c r="S10" s="481"/>
      <c r="T10" s="679"/>
    </row>
    <row r="11" spans="2:20" ht="17.100000000000001" customHeight="1">
      <c r="B11" s="1324"/>
      <c r="C11" s="675" t="str">
        <f>Texte!A2632</f>
        <v>Massnahme:</v>
      </c>
      <c r="D11" s="675"/>
      <c r="E11" s="535"/>
      <c r="F11" s="535"/>
      <c r="G11" s="535"/>
      <c r="H11" s="535"/>
      <c r="I11" s="675"/>
      <c r="J11" s="712"/>
      <c r="K11" s="1325" t="s">
        <v>1045</v>
      </c>
      <c r="L11" s="1906"/>
      <c r="M11" s="1325" t="s">
        <v>4983</v>
      </c>
      <c r="N11" s="557">
        <f t="shared" si="0"/>
        <v>0</v>
      </c>
      <c r="O11" s="1338"/>
      <c r="P11" s="1338"/>
      <c r="Q11" s="1325"/>
      <c r="R11"/>
      <c r="S11" s="481"/>
      <c r="T11" s="679"/>
    </row>
    <row r="12" spans="2:20" ht="17.100000000000001" customHeight="1">
      <c r="B12" s="1324"/>
      <c r="C12" s="675" t="str">
        <f>Texte!A2632</f>
        <v>Massnahme:</v>
      </c>
      <c r="D12" s="675"/>
      <c r="E12" s="535"/>
      <c r="F12" s="535"/>
      <c r="G12" s="535"/>
      <c r="H12" s="535"/>
      <c r="I12" s="675"/>
      <c r="J12" s="712"/>
      <c r="K12" s="1325" t="s">
        <v>1045</v>
      </c>
      <c r="L12" s="1906"/>
      <c r="M12" s="1325" t="s">
        <v>4983</v>
      </c>
      <c r="N12" s="557">
        <f t="shared" si="0"/>
        <v>0</v>
      </c>
      <c r="O12" s="1338"/>
      <c r="P12" s="1338"/>
      <c r="Q12" s="1325"/>
      <c r="R12"/>
      <c r="S12" s="481"/>
      <c r="T12" s="679"/>
    </row>
    <row r="13" spans="2:20" ht="17.100000000000001" customHeight="1">
      <c r="B13" s="1324"/>
      <c r="C13" s="675" t="str">
        <f>Texte!A2632</f>
        <v>Massnahme:</v>
      </c>
      <c r="D13" s="675"/>
      <c r="E13" s="535"/>
      <c r="F13" s="535"/>
      <c r="G13" s="535"/>
      <c r="H13" s="535"/>
      <c r="I13" s="675"/>
      <c r="J13" s="712"/>
      <c r="K13" s="1325" t="s">
        <v>1045</v>
      </c>
      <c r="L13" s="1906"/>
      <c r="M13" s="1325" t="s">
        <v>4983</v>
      </c>
      <c r="N13" s="557">
        <f t="shared" si="0"/>
        <v>0</v>
      </c>
      <c r="O13" s="1338"/>
      <c r="P13" s="1338"/>
      <c r="Q13" s="1325"/>
      <c r="R13"/>
      <c r="S13" s="481"/>
      <c r="T13" s="679"/>
    </row>
    <row r="14" spans="2:20" ht="17.100000000000001" customHeight="1">
      <c r="B14" s="1324"/>
      <c r="C14" s="675" t="str">
        <f>Texte!A2632</f>
        <v>Massnahme:</v>
      </c>
      <c r="D14" s="675"/>
      <c r="E14" s="535"/>
      <c r="F14" s="535"/>
      <c r="G14" s="535"/>
      <c r="H14" s="535"/>
      <c r="I14" s="675"/>
      <c r="J14" s="712"/>
      <c r="K14" s="1325" t="s">
        <v>1045</v>
      </c>
      <c r="L14" s="1906"/>
      <c r="M14" s="1325" t="s">
        <v>4983</v>
      </c>
      <c r="N14" s="557">
        <f t="shared" si="0"/>
        <v>0</v>
      </c>
      <c r="O14" s="1338"/>
      <c r="P14" s="1338"/>
      <c r="Q14" s="1325"/>
      <c r="R14"/>
      <c r="S14" s="481"/>
      <c r="T14" s="679"/>
    </row>
    <row r="15" spans="2:20" ht="17.100000000000001" customHeight="1">
      <c r="B15" s="1324"/>
      <c r="C15" s="675" t="str">
        <f>Texte!A2632</f>
        <v>Massnahme:</v>
      </c>
      <c r="D15" s="675"/>
      <c r="E15" s="535"/>
      <c r="F15" s="535"/>
      <c r="G15" s="535"/>
      <c r="H15" s="535"/>
      <c r="I15" s="675"/>
      <c r="J15" s="712"/>
      <c r="K15" s="1325" t="s">
        <v>1045</v>
      </c>
      <c r="L15" s="1906"/>
      <c r="M15" s="1325" t="s">
        <v>4983</v>
      </c>
      <c r="N15" s="557">
        <f t="shared" si="0"/>
        <v>0</v>
      </c>
      <c r="O15" s="1338"/>
      <c r="P15" s="1338"/>
      <c r="Q15" s="1325"/>
      <c r="R15"/>
      <c r="S15" s="481"/>
      <c r="T15" s="679"/>
    </row>
    <row r="16" spans="2:20" ht="17.100000000000001" customHeight="1">
      <c r="B16" s="1324"/>
      <c r="C16" s="675" t="str">
        <f>Texte!A2632</f>
        <v>Massnahme:</v>
      </c>
      <c r="D16" s="675"/>
      <c r="E16" s="535"/>
      <c r="F16" s="535"/>
      <c r="G16" s="535"/>
      <c r="H16" s="535"/>
      <c r="I16" s="675"/>
      <c r="J16" s="712"/>
      <c r="K16" s="1325" t="s">
        <v>1045</v>
      </c>
      <c r="L16" s="1906"/>
      <c r="M16" s="1325" t="s">
        <v>4983</v>
      </c>
      <c r="N16" s="557">
        <f t="shared" si="0"/>
        <v>0</v>
      </c>
      <c r="O16" s="1338"/>
      <c r="P16" s="1338"/>
      <c r="Q16" s="1325"/>
      <c r="R16"/>
      <c r="S16" s="481"/>
      <c r="T16" s="679"/>
    </row>
    <row r="17" spans="2:20" ht="17.100000000000001" customHeight="1">
      <c r="B17" s="1324"/>
      <c r="C17" s="675" t="str">
        <f>Texte!A2632</f>
        <v>Massnahme:</v>
      </c>
      <c r="D17" s="675"/>
      <c r="E17" s="535"/>
      <c r="F17" s="535"/>
      <c r="G17" s="535"/>
      <c r="H17" s="535"/>
      <c r="I17" s="675"/>
      <c r="J17" s="712"/>
      <c r="K17" s="1325" t="s">
        <v>1045</v>
      </c>
      <c r="L17" s="1906"/>
      <c r="M17" s="1325" t="s">
        <v>4983</v>
      </c>
      <c r="N17" s="557">
        <f t="shared" si="0"/>
        <v>0</v>
      </c>
      <c r="O17" s="1338"/>
      <c r="P17" s="1338"/>
      <c r="Q17" s="1325"/>
      <c r="R17"/>
      <c r="S17" s="481"/>
      <c r="T17" s="679"/>
    </row>
    <row r="18" spans="2:20" ht="17.100000000000001" customHeight="1">
      <c r="B18" s="1324"/>
      <c r="C18" s="675" t="str">
        <f>Texte!A2632</f>
        <v>Massnahme:</v>
      </c>
      <c r="D18" s="675"/>
      <c r="E18" s="535"/>
      <c r="F18" s="535"/>
      <c r="G18" s="535"/>
      <c r="H18" s="535"/>
      <c r="I18" s="675"/>
      <c r="J18" s="712"/>
      <c r="K18" s="1325" t="s">
        <v>1045</v>
      </c>
      <c r="L18" s="1906"/>
      <c r="M18" s="1325" t="s">
        <v>4983</v>
      </c>
      <c r="N18" s="557">
        <f t="shared" si="0"/>
        <v>0</v>
      </c>
      <c r="O18" s="1338"/>
      <c r="P18" s="1338"/>
      <c r="Q18" s="1325"/>
      <c r="R18"/>
      <c r="S18" s="481"/>
      <c r="T18" s="679"/>
    </row>
    <row r="19" spans="2:20" ht="17.100000000000001" customHeight="1">
      <c r="B19" s="1324"/>
      <c r="C19" s="675" t="str">
        <f>Texte!A2632</f>
        <v>Massnahme:</v>
      </c>
      <c r="D19" s="675"/>
      <c r="E19" s="535"/>
      <c r="F19" s="535"/>
      <c r="G19" s="535"/>
      <c r="H19" s="535"/>
      <c r="I19" s="675"/>
      <c r="J19" s="712"/>
      <c r="K19" s="1325" t="s">
        <v>1045</v>
      </c>
      <c r="L19" s="1906"/>
      <c r="M19" s="1325" t="s">
        <v>4983</v>
      </c>
      <c r="N19" s="557">
        <f t="shared" si="0"/>
        <v>0</v>
      </c>
      <c r="O19" s="1338"/>
      <c r="P19" s="1338"/>
      <c r="Q19" s="1325"/>
      <c r="R19"/>
      <c r="S19" s="481"/>
      <c r="T19" s="679"/>
    </row>
    <row r="20" spans="2:20" ht="17.100000000000001" customHeight="1">
      <c r="B20" s="1324"/>
      <c r="C20" s="675" t="str">
        <f>Texte!A2632</f>
        <v>Massnahme:</v>
      </c>
      <c r="D20" s="675"/>
      <c r="E20" s="535"/>
      <c r="F20" s="535"/>
      <c r="G20" s="535"/>
      <c r="H20" s="535"/>
      <c r="I20" s="675"/>
      <c r="J20" s="712"/>
      <c r="K20" s="1325" t="s">
        <v>1045</v>
      </c>
      <c r="L20" s="1906"/>
      <c r="M20" s="1325" t="s">
        <v>4983</v>
      </c>
      <c r="N20" s="557">
        <f t="shared" si="0"/>
        <v>0</v>
      </c>
      <c r="O20" s="1338"/>
      <c r="P20" s="1338"/>
      <c r="Q20" s="1325"/>
      <c r="R20"/>
      <c r="S20" s="481"/>
      <c r="T20" s="679"/>
    </row>
    <row r="21" spans="2:20" ht="17.100000000000001" customHeight="1">
      <c r="B21" s="1324"/>
      <c r="C21" s="675" t="str">
        <f>Texte!A2632</f>
        <v>Massnahme:</v>
      </c>
      <c r="D21" s="675"/>
      <c r="E21" s="535"/>
      <c r="F21" s="535"/>
      <c r="G21" s="535"/>
      <c r="H21" s="535"/>
      <c r="I21" s="675"/>
      <c r="J21" s="712"/>
      <c r="K21" s="1325" t="s">
        <v>1045</v>
      </c>
      <c r="L21" s="1906"/>
      <c r="M21" s="1325" t="s">
        <v>4983</v>
      </c>
      <c r="N21" s="557">
        <f t="shared" si="0"/>
        <v>0</v>
      </c>
      <c r="O21" s="1338"/>
      <c r="P21" s="1338"/>
      <c r="Q21" s="1325"/>
      <c r="R21"/>
      <c r="S21" s="481"/>
      <c r="T21" s="679"/>
    </row>
    <row r="22" spans="2:20" ht="17.100000000000001" customHeight="1">
      <c r="B22" s="1324"/>
      <c r="C22" s="675" t="str">
        <f>Texte!A2632</f>
        <v>Massnahme:</v>
      </c>
      <c r="D22" s="675"/>
      <c r="E22" s="535"/>
      <c r="F22" s="535"/>
      <c r="G22" s="535"/>
      <c r="H22" s="535"/>
      <c r="I22" s="675"/>
      <c r="J22" s="712"/>
      <c r="K22" s="1325" t="s">
        <v>1045</v>
      </c>
      <c r="L22" s="1906"/>
      <c r="M22" s="1325" t="s">
        <v>4983</v>
      </c>
      <c r="N22" s="557">
        <f t="shared" si="0"/>
        <v>0</v>
      </c>
      <c r="O22" s="1338"/>
      <c r="P22" s="1338"/>
      <c r="Q22" s="1325"/>
      <c r="R22"/>
      <c r="S22" s="481"/>
      <c r="T22" s="679"/>
    </row>
    <row r="23" spans="2:20" ht="17.100000000000001" customHeight="1">
      <c r="B23" s="1324"/>
      <c r="C23" s="675" t="str">
        <f>Texte!A2632</f>
        <v>Massnahme:</v>
      </c>
      <c r="D23" s="675"/>
      <c r="E23" s="535"/>
      <c r="F23" s="535"/>
      <c r="G23" s="535"/>
      <c r="H23" s="535"/>
      <c r="I23" s="675"/>
      <c r="J23" s="712"/>
      <c r="K23" s="1325" t="s">
        <v>1045</v>
      </c>
      <c r="L23" s="1906"/>
      <c r="M23" s="1325" t="s">
        <v>4983</v>
      </c>
      <c r="N23" s="557">
        <f t="shared" si="0"/>
        <v>0</v>
      </c>
      <c r="O23" s="1338"/>
      <c r="P23" s="1338"/>
      <c r="Q23" s="1325"/>
      <c r="R23"/>
      <c r="S23" s="481"/>
      <c r="T23" s="679"/>
    </row>
    <row r="24" spans="2:20" ht="17.100000000000001" customHeight="1">
      <c r="B24" s="1324"/>
      <c r="C24" s="675" t="str">
        <f>Texte!A2632</f>
        <v>Massnahme:</v>
      </c>
      <c r="D24" s="675"/>
      <c r="E24" s="535"/>
      <c r="F24" s="535"/>
      <c r="G24" s="535"/>
      <c r="H24" s="535"/>
      <c r="I24" s="675"/>
      <c r="J24" s="712"/>
      <c r="K24" s="1325" t="s">
        <v>1045</v>
      </c>
      <c r="L24" s="1906"/>
      <c r="M24" s="1325" t="s">
        <v>4983</v>
      </c>
      <c r="N24" s="557">
        <f t="shared" si="0"/>
        <v>0</v>
      </c>
      <c r="O24" s="1338"/>
      <c r="P24" s="1338"/>
      <c r="Q24" s="1325"/>
      <c r="R24"/>
      <c r="S24" s="481"/>
      <c r="T24" s="679"/>
    </row>
    <row r="25" spans="2:20" ht="17.100000000000001" customHeight="1">
      <c r="B25" s="1324"/>
      <c r="C25" s="675" t="str">
        <f>Texte!A2632</f>
        <v>Massnahme:</v>
      </c>
      <c r="D25" s="675"/>
      <c r="E25" s="535"/>
      <c r="F25" s="535"/>
      <c r="G25" s="535"/>
      <c r="H25" s="535"/>
      <c r="I25" s="675"/>
      <c r="J25" s="712"/>
      <c r="K25" s="1325" t="s">
        <v>1045</v>
      </c>
      <c r="L25" s="1906"/>
      <c r="M25" s="1325" t="s">
        <v>4983</v>
      </c>
      <c r="N25" s="557">
        <f t="shared" si="0"/>
        <v>0</v>
      </c>
      <c r="O25" s="1338"/>
      <c r="P25" s="1338"/>
      <c r="Q25" s="1325"/>
      <c r="R25"/>
      <c r="S25" s="481"/>
      <c r="T25" s="679"/>
    </row>
    <row r="26" spans="2:20" ht="17.100000000000001" customHeight="1">
      <c r="B26" s="1324"/>
      <c r="C26" s="675" t="str">
        <f>Texte!A2632</f>
        <v>Massnahme:</v>
      </c>
      <c r="D26" s="675"/>
      <c r="E26" s="535"/>
      <c r="F26" s="535"/>
      <c r="G26" s="535"/>
      <c r="H26" s="535"/>
      <c r="I26" s="675"/>
      <c r="J26" s="712"/>
      <c r="K26" s="1325" t="s">
        <v>1045</v>
      </c>
      <c r="L26" s="1906"/>
      <c r="M26" s="1325" t="s">
        <v>4983</v>
      </c>
      <c r="N26" s="557">
        <f t="shared" si="0"/>
        <v>0</v>
      </c>
      <c r="O26" s="1338"/>
      <c r="P26" s="1338"/>
      <c r="Q26" s="1325"/>
      <c r="R26"/>
      <c r="S26" s="481"/>
      <c r="T26" s="679"/>
    </row>
    <row r="27" spans="2:20" ht="17.100000000000001" customHeight="1">
      <c r="B27" s="1324"/>
      <c r="C27" s="675" t="str">
        <f>Texte!A2632</f>
        <v>Massnahme:</v>
      </c>
      <c r="D27" s="675"/>
      <c r="E27" s="535"/>
      <c r="F27" s="535"/>
      <c r="G27" s="535"/>
      <c r="H27" s="535"/>
      <c r="I27" s="675"/>
      <c r="J27" s="712"/>
      <c r="K27" s="1325" t="s">
        <v>1045</v>
      </c>
      <c r="L27" s="1906"/>
      <c r="M27" s="1325" t="s">
        <v>4983</v>
      </c>
      <c r="N27" s="557">
        <f t="shared" si="0"/>
        <v>0</v>
      </c>
      <c r="O27" s="1338"/>
      <c r="P27" s="1338"/>
      <c r="Q27" s="1325"/>
      <c r="R27"/>
      <c r="S27" s="481"/>
      <c r="T27" s="679"/>
    </row>
    <row r="28" spans="2:20" ht="6" customHeight="1">
      <c r="B28" s="1324"/>
      <c r="C28" s="675"/>
      <c r="D28" s="675"/>
      <c r="E28" s="675"/>
      <c r="F28" s="675"/>
      <c r="G28" s="675"/>
      <c r="H28" s="675"/>
      <c r="I28" s="675"/>
      <c r="J28" s="552"/>
      <c r="K28" s="675"/>
      <c r="L28" s="296"/>
      <c r="M28" s="1325"/>
      <c r="N28" s="1338"/>
      <c r="O28" s="1338"/>
      <c r="P28" s="1338"/>
      <c r="Q28" s="1325"/>
      <c r="R28"/>
      <c r="S28" s="481"/>
      <c r="T28" s="679"/>
    </row>
    <row r="29" spans="2:20" ht="17.100000000000001" customHeight="1">
      <c r="B29" s="1324"/>
      <c r="C29" s="675"/>
      <c r="D29" s="675"/>
      <c r="E29" s="675" t="str">
        <f>Texte!A2633</f>
        <v>* ha, NST, Stück, Laufmeter, Betrieb</v>
      </c>
      <c r="F29" s="675"/>
      <c r="G29" s="675"/>
      <c r="H29" s="675"/>
      <c r="I29" s="675"/>
      <c r="J29" s="552"/>
      <c r="K29" s="675"/>
      <c r="L29" s="296"/>
      <c r="M29" s="1325"/>
      <c r="N29" s="1338"/>
      <c r="O29" s="1338"/>
      <c r="P29" s="1338"/>
      <c r="Q29" s="1325"/>
      <c r="R29"/>
      <c r="S29" s="481"/>
      <c r="T29" s="679"/>
    </row>
    <row r="30" spans="2:20" ht="6" customHeight="1">
      <c r="B30" s="1324"/>
      <c r="C30" s="296"/>
      <c r="D30" s="296"/>
      <c r="E30" s="675"/>
      <c r="F30" s="296"/>
      <c r="G30" s="675"/>
      <c r="H30" s="296"/>
      <c r="I30" s="679"/>
      <c r="J30" s="296"/>
      <c r="K30" s="679"/>
      <c r="L30" s="296"/>
      <c r="M30" s="675"/>
      <c r="N30" s="1371"/>
      <c r="O30" s="552"/>
      <c r="P30" s="552"/>
      <c r="Q30" s="1325"/>
      <c r="R30"/>
      <c r="S30" s="481"/>
      <c r="T30" s="679"/>
    </row>
    <row r="31" spans="2:20" ht="17.100000000000001" customHeight="1">
      <c r="B31" s="1326"/>
      <c r="C31" s="685" t="str">
        <f>Texte!A2634</f>
        <v>Total Landschaftsqualitätsbeitrag, jährlich</v>
      </c>
      <c r="D31" s="685"/>
      <c r="E31" s="1328"/>
      <c r="F31" s="1328"/>
      <c r="G31" s="1328"/>
      <c r="H31" s="296"/>
      <c r="I31" s="1328"/>
      <c r="J31" s="690"/>
      <c r="K31" s="30"/>
      <c r="L31" s="691"/>
      <c r="M31" s="675"/>
      <c r="N31" s="691"/>
      <c r="O31" s="691"/>
      <c r="P31" s="685"/>
      <c r="Q31" s="1325" t="s">
        <v>4983</v>
      </c>
      <c r="R31" s="1345">
        <f>SUM(N9:N27)</f>
        <v>0</v>
      </c>
      <c r="S31" s="481"/>
      <c r="T31" s="679"/>
    </row>
    <row r="32" spans="2:20" s="922" customFormat="1" ht="6" customHeight="1">
      <c r="B32" s="1367"/>
      <c r="C32" s="1351"/>
      <c r="D32" s="1351"/>
      <c r="E32" s="1351"/>
      <c r="F32" s="1351"/>
      <c r="G32" s="1351"/>
      <c r="H32" s="1351"/>
      <c r="I32" s="678"/>
      <c r="J32" s="678"/>
      <c r="K32" s="678"/>
      <c r="L32" s="1351"/>
      <c r="M32" s="1351"/>
      <c r="N32" s="1351"/>
      <c r="O32" s="1351"/>
      <c r="P32" s="1351"/>
      <c r="Q32" s="1351"/>
      <c r="R32" s="1922"/>
      <c r="S32" s="1329"/>
      <c r="T32" s="679"/>
    </row>
    <row r="33" spans="2:20" s="922" customFormat="1" ht="13.7" customHeight="1">
      <c r="B33" s="679"/>
      <c r="C33" s="675"/>
      <c r="D33" s="675"/>
      <c r="E33" s="675"/>
      <c r="F33" s="675"/>
      <c r="G33" s="675"/>
      <c r="H33" s="675"/>
      <c r="I33" s="679"/>
      <c r="J33" s="679"/>
      <c r="K33" s="679"/>
      <c r="L33" s="675"/>
      <c r="M33" s="675"/>
      <c r="N33" s="675"/>
      <c r="O33" s="675"/>
      <c r="P33" s="675"/>
      <c r="Q33" s="675"/>
      <c r="R33" s="1338"/>
      <c r="S33" s="1338"/>
      <c r="T33" s="679"/>
    </row>
    <row r="34" spans="2:20" ht="17.100000000000001" customHeight="1">
      <c r="B34" s="685" t="str">
        <f>Texte!A2622</f>
        <v>NHG-Beiträge, kantonale und kommunale Naturschutzbeiträge, kantonale Hangbeiträge</v>
      </c>
      <c r="C34" s="675"/>
      <c r="D34" s="675"/>
      <c r="E34" s="675"/>
      <c r="F34" s="675"/>
      <c r="G34" s="675"/>
      <c r="H34" s="675"/>
      <c r="I34" s="675"/>
      <c r="J34" s="675"/>
      <c r="K34" s="675"/>
      <c r="L34" s="675"/>
      <c r="M34" s="675"/>
      <c r="N34" s="675"/>
      <c r="O34" s="675"/>
      <c r="P34" s="675"/>
      <c r="Q34" s="675"/>
      <c r="R34" s="1368"/>
      <c r="S34" s="1368"/>
      <c r="T34" s="675"/>
    </row>
    <row r="35" spans="2:20" customFormat="1" ht="5.0999999999999996" customHeight="1">
      <c r="B35" s="1346"/>
      <c r="C35" s="1346"/>
      <c r="D35" s="678"/>
      <c r="E35" s="678"/>
      <c r="F35" s="678"/>
      <c r="G35" s="1931"/>
      <c r="H35" s="869"/>
      <c r="I35" s="1458"/>
      <c r="J35" s="1458"/>
      <c r="K35" s="1396"/>
      <c r="L35" s="1932"/>
      <c r="M35" s="678"/>
      <c r="N35" s="678"/>
      <c r="O35" s="678"/>
      <c r="P35" s="678"/>
      <c r="Q35" s="678"/>
      <c r="R35" s="678"/>
      <c r="S35" s="678"/>
    </row>
    <row r="36" spans="2:20" customFormat="1" ht="5.0999999999999996" customHeight="1">
      <c r="B36" s="1369"/>
      <c r="C36" s="1456"/>
      <c r="D36" s="679"/>
      <c r="E36" s="679"/>
      <c r="F36" s="679"/>
      <c r="G36" s="679"/>
      <c r="H36" s="679"/>
      <c r="I36" s="679"/>
      <c r="J36" s="679"/>
      <c r="K36" s="679"/>
      <c r="L36" s="679"/>
      <c r="M36" s="679"/>
      <c r="N36" s="679"/>
      <c r="O36" s="679"/>
      <c r="P36" s="679"/>
      <c r="Q36" s="679"/>
      <c r="R36" s="679"/>
      <c r="S36" s="1916"/>
    </row>
    <row r="37" spans="2:20" customFormat="1" ht="17.100000000000001" customHeight="1">
      <c r="B37" s="215"/>
      <c r="C37" s="41"/>
      <c r="D37" s="41"/>
      <c r="E37" s="41"/>
      <c r="F37" s="41"/>
      <c r="G37" s="41"/>
      <c r="H37" s="41"/>
      <c r="J37" s="1906"/>
      <c r="K37" s="1325" t="s">
        <v>1045</v>
      </c>
      <c r="L37" s="712"/>
      <c r="M37" s="1325" t="s">
        <v>4983</v>
      </c>
      <c r="N37" s="557">
        <f t="shared" ref="N37:N43" si="1">ROUND(J37*L37,0)</f>
        <v>0</v>
      </c>
      <c r="O37" s="558"/>
      <c r="P37" s="558"/>
      <c r="Q37" s="558"/>
      <c r="R37" s="558"/>
      <c r="S37" s="481"/>
    </row>
    <row r="38" spans="2:20" customFormat="1" ht="17.100000000000001" customHeight="1">
      <c r="B38" s="215"/>
      <c r="C38" s="41"/>
      <c r="D38" s="41"/>
      <c r="E38" s="41"/>
      <c r="F38" s="41"/>
      <c r="G38" s="41"/>
      <c r="H38" s="41"/>
      <c r="J38" s="1906"/>
      <c r="K38" s="1325" t="s">
        <v>1045</v>
      </c>
      <c r="L38" s="712"/>
      <c r="M38" s="1325" t="s">
        <v>4983</v>
      </c>
      <c r="N38" s="557">
        <f t="shared" si="1"/>
        <v>0</v>
      </c>
      <c r="O38" s="558"/>
      <c r="P38" s="558"/>
      <c r="Q38" s="558"/>
      <c r="R38" s="558"/>
      <c r="S38" s="481"/>
    </row>
    <row r="39" spans="2:20" customFormat="1" ht="17.100000000000001" customHeight="1">
      <c r="B39" s="215"/>
      <c r="C39" s="41"/>
      <c r="D39" s="41"/>
      <c r="E39" s="41"/>
      <c r="F39" s="41"/>
      <c r="G39" s="41"/>
      <c r="H39" s="41"/>
      <c r="J39" s="1906"/>
      <c r="K39" s="1325" t="s">
        <v>1045</v>
      </c>
      <c r="L39" s="712"/>
      <c r="M39" s="1325" t="s">
        <v>4983</v>
      </c>
      <c r="N39" s="557">
        <f t="shared" si="1"/>
        <v>0</v>
      </c>
      <c r="O39" s="558"/>
      <c r="P39" s="558"/>
      <c r="Q39" s="558"/>
      <c r="R39" s="558"/>
      <c r="S39" s="481"/>
    </row>
    <row r="40" spans="2:20" customFormat="1" ht="17.100000000000001" customHeight="1">
      <c r="B40" s="215"/>
      <c r="C40" s="41"/>
      <c r="D40" s="41"/>
      <c r="E40" s="41"/>
      <c r="F40" s="41"/>
      <c r="G40" s="41"/>
      <c r="H40" s="41"/>
      <c r="J40" s="1906"/>
      <c r="K40" s="1325" t="s">
        <v>1045</v>
      </c>
      <c r="L40" s="712"/>
      <c r="M40" s="1325" t="s">
        <v>4983</v>
      </c>
      <c r="N40" s="557">
        <f t="shared" si="1"/>
        <v>0</v>
      </c>
      <c r="O40" s="558"/>
      <c r="P40" s="558"/>
      <c r="Q40" s="558"/>
      <c r="R40" s="558"/>
      <c r="S40" s="481"/>
    </row>
    <row r="41" spans="2:20" customFormat="1" ht="17.100000000000001" customHeight="1">
      <c r="B41" s="560"/>
      <c r="C41" s="41"/>
      <c r="D41" s="41"/>
      <c r="E41" s="41"/>
      <c r="F41" s="41"/>
      <c r="G41" s="41"/>
      <c r="H41" s="41"/>
      <c r="J41" s="1906"/>
      <c r="K41" s="1325" t="s">
        <v>1045</v>
      </c>
      <c r="L41" s="712"/>
      <c r="M41" s="1325" t="s">
        <v>4983</v>
      </c>
      <c r="N41" s="557">
        <f t="shared" si="1"/>
        <v>0</v>
      </c>
      <c r="O41" s="558"/>
      <c r="P41" s="558"/>
      <c r="Q41" s="558"/>
      <c r="R41" s="558"/>
      <c r="S41" s="481"/>
    </row>
    <row r="42" spans="2:20" customFormat="1" ht="17.100000000000001" customHeight="1">
      <c r="B42" s="560"/>
      <c r="C42" s="41"/>
      <c r="D42" s="41"/>
      <c r="E42" s="41"/>
      <c r="F42" s="41"/>
      <c r="G42" s="41"/>
      <c r="H42" s="41"/>
      <c r="J42" s="1906"/>
      <c r="K42" s="1325" t="s">
        <v>1045</v>
      </c>
      <c r="L42" s="712"/>
      <c r="M42" s="1325" t="s">
        <v>4983</v>
      </c>
      <c r="N42" s="557">
        <f t="shared" si="1"/>
        <v>0</v>
      </c>
      <c r="O42" s="558"/>
      <c r="P42" s="558"/>
      <c r="Q42" s="558"/>
      <c r="R42" s="558"/>
      <c r="S42" s="481"/>
    </row>
    <row r="43" spans="2:20" customFormat="1" ht="17.100000000000001" customHeight="1">
      <c r="B43" s="560"/>
      <c r="C43" s="41"/>
      <c r="D43" s="41"/>
      <c r="E43" s="41"/>
      <c r="F43" s="41"/>
      <c r="G43" s="41"/>
      <c r="H43" s="41"/>
      <c r="J43" s="1906"/>
      <c r="K43" s="1325" t="s">
        <v>1045</v>
      </c>
      <c r="L43" s="712"/>
      <c r="M43" s="1325" t="s">
        <v>4983</v>
      </c>
      <c r="N43" s="557">
        <f t="shared" si="1"/>
        <v>0</v>
      </c>
      <c r="O43" s="558"/>
      <c r="P43" s="558"/>
      <c r="Q43" s="558"/>
      <c r="R43" s="558"/>
      <c r="S43" s="481"/>
    </row>
    <row r="44" spans="2:20" ht="6" customHeight="1">
      <c r="B44" s="1324"/>
      <c r="C44" s="675"/>
      <c r="D44" s="675"/>
      <c r="E44" s="675"/>
      <c r="F44" s="675"/>
      <c r="G44" s="675"/>
      <c r="H44" s="675"/>
      <c r="I44" s="675"/>
      <c r="J44" s="552"/>
      <c r="K44" s="675"/>
      <c r="L44" s="296"/>
      <c r="M44" s="1325"/>
      <c r="N44" s="1338"/>
      <c r="O44" s="1338"/>
      <c r="P44" s="1338"/>
      <c r="Q44" s="1325"/>
      <c r="R44"/>
      <c r="S44" s="481"/>
      <c r="T44" s="679"/>
    </row>
    <row r="45" spans="2:20" ht="17.100000000000001" customHeight="1">
      <c r="B45" s="1326"/>
      <c r="C45" s="685" t="str">
        <f>Texte!A2595</f>
        <v>Total</v>
      </c>
      <c r="D45" s="685"/>
      <c r="E45" s="1328"/>
      <c r="F45" s="1328"/>
      <c r="G45" s="1328"/>
      <c r="H45" s="296"/>
      <c r="I45" s="1328"/>
      <c r="J45" s="690"/>
      <c r="K45" s="30"/>
      <c r="L45" s="691"/>
      <c r="M45" s="675"/>
      <c r="N45" s="691"/>
      <c r="O45" s="691"/>
      <c r="P45" s="685"/>
      <c r="Q45" s="1325" t="s">
        <v>4983</v>
      </c>
      <c r="R45" s="1345">
        <f>SUM(N37:N43)</f>
        <v>0</v>
      </c>
      <c r="S45" s="481"/>
      <c r="T45" s="679"/>
    </row>
    <row r="46" spans="2:20" s="922" customFormat="1" ht="6" customHeight="1">
      <c r="B46" s="1367"/>
      <c r="C46" s="1351"/>
      <c r="D46" s="1351"/>
      <c r="E46" s="1351"/>
      <c r="F46" s="1351"/>
      <c r="G46" s="1351"/>
      <c r="H46" s="1351"/>
      <c r="I46" s="678"/>
      <c r="J46" s="678"/>
      <c r="K46" s="678"/>
      <c r="L46" s="1351"/>
      <c r="M46" s="1351"/>
      <c r="N46" s="1351"/>
      <c r="O46" s="1351"/>
      <c r="P46" s="1351"/>
      <c r="Q46" s="1351"/>
      <c r="R46" s="1922"/>
      <c r="S46" s="1329"/>
      <c r="T46" s="679"/>
    </row>
    <row r="47" spans="2:20" s="922" customFormat="1" ht="13.7" customHeight="1">
      <c r="B47" s="679"/>
      <c r="C47" s="675"/>
      <c r="D47" s="675"/>
      <c r="E47" s="675"/>
      <c r="F47" s="675"/>
      <c r="G47" s="675"/>
      <c r="H47" s="675"/>
      <c r="I47" s="679"/>
      <c r="J47" s="679"/>
      <c r="K47" s="679"/>
      <c r="L47" s="675"/>
      <c r="M47" s="675"/>
      <c r="N47" s="675"/>
      <c r="O47" s="675"/>
      <c r="P47" s="675"/>
      <c r="Q47" s="675"/>
      <c r="R47" s="675"/>
      <c r="S47" s="675"/>
      <c r="T47" s="675"/>
    </row>
    <row r="48" spans="2:20" ht="12.75">
      <c r="B48" s="686" t="str">
        <f>Texte!A203</f>
        <v>Bemerkungen</v>
      </c>
    </row>
    <row r="49" spans="2:20" ht="16.5" customHeight="1">
      <c r="B49" s="41"/>
      <c r="C49" s="41"/>
      <c r="D49" s="41"/>
      <c r="E49" s="41"/>
      <c r="F49" s="41"/>
      <c r="G49" s="41"/>
      <c r="H49" s="41"/>
      <c r="I49" s="41"/>
      <c r="J49" s="41"/>
      <c r="K49" s="41"/>
      <c r="L49" s="41"/>
      <c r="M49" s="41"/>
      <c r="N49" s="41"/>
      <c r="O49" s="41"/>
      <c r="P49" s="41"/>
      <c r="Q49" s="41"/>
      <c r="R49" s="41"/>
      <c r="S49" s="41"/>
    </row>
    <row r="50" spans="2:20" ht="16.5" customHeight="1">
      <c r="B50" s="41"/>
      <c r="C50" s="41"/>
      <c r="D50" s="41"/>
      <c r="E50" s="41"/>
      <c r="F50" s="41"/>
      <c r="G50" s="41"/>
      <c r="H50" s="41"/>
      <c r="I50" s="41"/>
      <c r="J50" s="41"/>
      <c r="K50" s="41"/>
      <c r="L50" s="41"/>
      <c r="M50" s="41"/>
      <c r="N50" s="41"/>
      <c r="O50" s="41"/>
      <c r="P50" s="41"/>
      <c r="Q50" s="41"/>
      <c r="R50" s="41"/>
      <c r="S50" s="41"/>
    </row>
    <row r="51" spans="2:20" ht="16.5" customHeight="1">
      <c r="B51" s="41"/>
      <c r="C51" s="41"/>
      <c r="D51" s="41"/>
      <c r="E51" s="41"/>
      <c r="F51" s="41"/>
      <c r="G51" s="41"/>
      <c r="H51" s="41"/>
      <c r="I51" s="41"/>
      <c r="J51" s="41"/>
      <c r="K51" s="41"/>
      <c r="L51" s="41"/>
      <c r="M51" s="41"/>
      <c r="N51" s="41"/>
      <c r="O51" s="41"/>
      <c r="P51" s="41"/>
      <c r="Q51" s="41"/>
      <c r="R51" s="41"/>
      <c r="S51" s="41"/>
    </row>
    <row r="52" spans="2:20" ht="16.5" customHeight="1">
      <c r="B52" s="41"/>
      <c r="C52" s="41"/>
      <c r="D52" s="41"/>
      <c r="E52" s="41"/>
      <c r="F52" s="41"/>
      <c r="G52" s="41"/>
      <c r="H52" s="41"/>
      <c r="I52" s="41"/>
      <c r="J52" s="41"/>
      <c r="K52" s="41"/>
      <c r="L52" s="41"/>
      <c r="M52" s="41"/>
      <c r="N52" s="41"/>
      <c r="O52" s="41"/>
      <c r="P52" s="41"/>
      <c r="Q52" s="41"/>
      <c r="R52" s="41"/>
      <c r="S52" s="41"/>
    </row>
    <row r="53" spans="2:20" ht="16.5" customHeight="1">
      <c r="B53" s="41"/>
      <c r="C53" s="41"/>
      <c r="D53" s="41"/>
      <c r="E53" s="41"/>
      <c r="F53" s="41"/>
      <c r="G53" s="41"/>
      <c r="H53" s="41"/>
      <c r="I53" s="41"/>
      <c r="J53" s="41"/>
      <c r="K53" s="41"/>
      <c r="L53" s="41"/>
      <c r="M53" s="41"/>
      <c r="N53" s="41"/>
      <c r="O53" s="41"/>
      <c r="P53" s="41"/>
      <c r="Q53" s="41"/>
      <c r="R53" s="41"/>
      <c r="S53" s="41"/>
    </row>
    <row r="54" spans="2:20" ht="16.5" customHeight="1">
      <c r="B54" s="41"/>
      <c r="C54" s="41"/>
      <c r="D54" s="41"/>
      <c r="E54" s="41"/>
      <c r="F54" s="41"/>
      <c r="G54" s="41"/>
      <c r="H54" s="41"/>
      <c r="I54" s="41"/>
      <c r="J54" s="41"/>
      <c r="K54" s="41"/>
      <c r="L54" s="41"/>
      <c r="M54" s="41"/>
      <c r="N54" s="41"/>
      <c r="O54" s="41"/>
      <c r="P54" s="41"/>
      <c r="Q54" s="41"/>
      <c r="R54" s="41"/>
      <c r="S54" s="41"/>
    </row>
    <row r="55" spans="2:20" ht="16.5" customHeight="1">
      <c r="B55" s="41"/>
      <c r="C55" s="41"/>
      <c r="D55" s="41"/>
      <c r="E55" s="41"/>
      <c r="F55" s="41"/>
      <c r="G55" s="41"/>
      <c r="H55" s="41"/>
      <c r="I55" s="41"/>
      <c r="J55" s="41"/>
      <c r="K55" s="41"/>
      <c r="L55" s="41"/>
      <c r="M55" s="41"/>
      <c r="N55" s="41"/>
      <c r="O55" s="41"/>
      <c r="P55" s="41"/>
      <c r="Q55" s="41"/>
      <c r="R55" s="41"/>
      <c r="S55" s="41"/>
    </row>
    <row r="56" spans="2:20" s="922" customFormat="1" ht="6" customHeight="1">
      <c r="B56" s="679"/>
      <c r="C56" s="675"/>
      <c r="D56" s="675"/>
      <c r="E56" s="675"/>
      <c r="F56" s="675"/>
      <c r="G56" s="675"/>
      <c r="H56" s="675"/>
      <c r="I56" s="679"/>
      <c r="J56" s="679"/>
      <c r="K56" s="679"/>
      <c r="L56" s="675"/>
      <c r="M56" s="675"/>
      <c r="N56" s="675"/>
      <c r="O56" s="675"/>
      <c r="P56" s="675"/>
      <c r="Q56" s="675"/>
      <c r="R56" s="1338"/>
      <c r="S56" s="1338"/>
      <c r="T56" s="679"/>
    </row>
    <row r="57" spans="2:20" ht="12.75" customHeight="1">
      <c r="B57" s="1902" t="str">
        <f>Texte!A20</f>
        <v>Stand der Bestimmungen gültig ab 1.1.2025 oder 1.1.2026 oder 1.1.2027, gemäss den vorgeschlagenen Verordnungen des</v>
      </c>
      <c r="D57" s="675"/>
      <c r="E57" s="675"/>
      <c r="F57" s="675"/>
      <c r="G57" s="675"/>
      <c r="H57" s="675"/>
      <c r="I57" s="675"/>
      <c r="J57" s="675"/>
      <c r="K57" s="675"/>
      <c r="L57" s="675"/>
      <c r="M57" s="675"/>
      <c r="N57" s="675"/>
      <c r="O57" s="675"/>
      <c r="P57" s="675"/>
      <c r="Q57" s="675"/>
      <c r="R57" s="675"/>
      <c r="S57" s="675"/>
    </row>
    <row r="58" spans="2:20" ht="12.75" customHeight="1">
      <c r="B58" s="1902" t="str">
        <f>Texte!A18</f>
        <v xml:space="preserve">Bundesrates vor der Wintersession. Die Berechnung erfolgt für das im Blatt "Allg" eingestellte Jahr. </v>
      </c>
      <c r="D58" s="675"/>
      <c r="E58" s="675"/>
      <c r="F58" s="675"/>
      <c r="G58" s="675"/>
      <c r="H58" s="675"/>
      <c r="I58" s="675"/>
      <c r="J58" s="675"/>
      <c r="K58" s="675"/>
      <c r="L58" s="675"/>
      <c r="M58" s="675"/>
      <c r="N58" s="675"/>
      <c r="O58" s="675"/>
      <c r="P58" s="675"/>
      <c r="Q58" s="675"/>
      <c r="R58" s="675"/>
      <c r="S58" s="675"/>
    </row>
    <row r="59" spans="2:20" ht="12.75" customHeight="1">
      <c r="B59" s="1902" t="str">
        <f>Texte!A22</f>
        <v>AGRIDEA lehnt jede Haftung und Gewährleistung ab, die aus Berechnungen mit diesem Instrument abgeleitet werden.</v>
      </c>
    </row>
  </sheetData>
  <sheetProtection algorithmName="SHA-512" hashValue="IMXlSx/R4Ayv15TvHmnpUP0ShynIvLB3J7v5AxU2rOEehHUUj20Zg4QK8Y4Vmfow4vv90iWi8ekDzSX8GW8cJA==" saltValue="L0h+6cJXUWnIfRzeEZvqCg==" spinCount="100000" sheet="1" objects="1" scenarios="1"/>
  <phoneticPr fontId="65" type="noConversion"/>
  <printOptions horizontalCentered="1"/>
  <pageMargins left="0.55118110236220474" right="0.43307086614173229" top="0.59055118110236227" bottom="0.74803149606299213" header="0.31496062992125984" footer="0.31496062992125984"/>
  <pageSetup paperSize="9" scale="81" orientation="portrait" r:id="rId1"/>
  <headerFooter alignWithMargins="0">
    <oddFooter>&amp;C&amp;9&amp;F&amp;R&amp;"Arial,Standard"&amp;9Seite &amp;P&amp;L&amp;"Arial,Fett"&amp;11AGRIDEA &amp;"Arial,Standard"&amp;9 Nachweis Version 9.9</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1" transitionEvaluation="1" codeName="Tabelle76">
    <tabColor indexed="27"/>
    <pageSetUpPr autoPageBreaks="0"/>
  </sheetPr>
  <dimension ref="A1:AU250"/>
  <sheetViews>
    <sheetView showGridLines="0" showRowColHeaders="0" showZeros="0" zoomScaleNormal="100" workbookViewId="0">
      <selection activeCell="L21" sqref="L21"/>
      <extLst>
        <ext xmlns:xlsdti="http://schemas.microsoft.com/office/spreadsheetml/2023/showDataTypeIcons" uri="{77bfe23e-c014-4d31-8a63-9c772dbf06b6}">
          <xlsdti:showDataTypeIcons visible="0"/>
        </ext>
      </extLst>
    </sheetView>
  </sheetViews>
  <sheetFormatPr baseColWidth="10" defaultColWidth="12.140625" defaultRowHeight="12.75"/>
  <cols>
    <col min="1" max="1" width="1.7109375" style="692" customWidth="1"/>
    <col min="2" max="2" width="24.7109375" style="692" customWidth="1"/>
    <col min="3" max="5" width="6.7109375" style="692" customWidth="1"/>
    <col min="6" max="6" width="8" style="692" customWidth="1"/>
    <col min="7" max="19" width="10.7109375" style="692" customWidth="1"/>
    <col min="20" max="20" width="6.7109375" style="692" customWidth="1"/>
    <col min="21" max="21" width="10.7109375" style="2058" hidden="1" customWidth="1"/>
    <col min="22" max="22" width="33.7109375" style="2058" customWidth="1"/>
    <col min="23" max="23" width="5.85546875" style="2058" hidden="1" customWidth="1"/>
    <col min="24" max="24" width="32.42578125" style="2058" hidden="1" customWidth="1"/>
    <col min="25" max="25" width="28.7109375" style="2058" hidden="1" customWidth="1"/>
    <col min="26" max="26" width="43.140625" style="2058" hidden="1" customWidth="1"/>
    <col min="27" max="27" width="8.7109375" style="2058" hidden="1" customWidth="1"/>
    <col min="28" max="28" width="12" style="2058" hidden="1" customWidth="1"/>
    <col min="29" max="29" width="9.42578125" style="2058" hidden="1" customWidth="1"/>
    <col min="30" max="30" width="8" style="2058" hidden="1" customWidth="1"/>
    <col min="31" max="31" width="8.7109375" style="2058" hidden="1" customWidth="1"/>
    <col min="32" max="32" width="8.7109375" style="2058" customWidth="1"/>
    <col min="33" max="33" width="1.42578125" style="1641" customWidth="1"/>
    <col min="34" max="34" width="20.85546875" style="1641" customWidth="1"/>
    <col min="35" max="35" width="8.7109375" style="1641" customWidth="1"/>
    <col min="36" max="36" width="9.28515625" style="1641" customWidth="1"/>
    <col min="37" max="37" width="2.140625" style="1641" customWidth="1"/>
    <col min="38" max="38" width="9" style="1641" customWidth="1"/>
    <col min="39" max="39" width="2.85546875" style="1641" customWidth="1"/>
    <col min="40" max="40" width="2.28515625" style="1641" customWidth="1"/>
    <col min="41" max="47" width="12.140625" style="1641"/>
    <col min="48" max="16384" width="12.140625" style="1478"/>
  </cols>
  <sheetData>
    <row r="1" spans="1:47" s="2059" customFormat="1" ht="42" customHeight="1">
      <c r="A1" s="1734"/>
      <c r="B1" s="19" t="str">
        <f>Q!NW_Tit</f>
        <v xml:space="preserve">                                   Nachweis</v>
      </c>
      <c r="C1" s="692"/>
      <c r="D1"/>
      <c r="E1" s="692"/>
      <c r="F1" s="692"/>
      <c r="G1" s="692"/>
      <c r="H1" s="692"/>
      <c r="I1" s="692"/>
      <c r="J1" s="692"/>
      <c r="K1" s="692"/>
      <c r="L1" s="692"/>
      <c r="M1" s="692"/>
      <c r="N1" s="692"/>
      <c r="O1" s="675"/>
      <c r="P1" s="675"/>
      <c r="Q1" s="692"/>
      <c r="R1" s="692"/>
      <c r="S1" s="20" t="str">
        <f>Q!F46</f>
        <v>Futterbilanz für graslandbasierte Milch- u. Fleischproduktion</v>
      </c>
      <c r="T1" s="692"/>
      <c r="U1" s="2887"/>
      <c r="V1" s="2058"/>
      <c r="W1" s="2887"/>
      <c r="X1" s="2887"/>
      <c r="Y1" s="2887"/>
      <c r="Z1" s="2887"/>
      <c r="AA1" s="2887"/>
      <c r="AB1" s="2887"/>
      <c r="AC1" s="2887"/>
      <c r="AD1" s="2887"/>
      <c r="AE1" s="2887"/>
      <c r="AF1" s="2058"/>
      <c r="AG1" s="1641"/>
      <c r="AH1" s="1641"/>
      <c r="AI1" s="1641"/>
      <c r="AJ1" s="1641"/>
      <c r="AK1" s="1641"/>
      <c r="AL1" s="1641"/>
      <c r="AM1" s="1641"/>
      <c r="AN1" s="1641"/>
      <c r="AO1" s="2058"/>
      <c r="AP1" s="2058"/>
      <c r="AQ1" s="2058"/>
      <c r="AR1" s="2058"/>
      <c r="AS1" s="2058"/>
      <c r="AT1" s="2058"/>
      <c r="AU1" s="2058"/>
    </row>
    <row r="2" spans="1:47" s="2059" customFormat="1" ht="13.7" customHeight="1">
      <c r="A2" s="692"/>
      <c r="B2" s="675"/>
      <c r="C2" s="675"/>
      <c r="D2"/>
      <c r="E2" s="675"/>
      <c r="F2" s="675"/>
      <c r="G2" s="675"/>
      <c r="H2" s="675"/>
      <c r="I2" s="675"/>
      <c r="J2" s="675"/>
      <c r="K2" s="675"/>
      <c r="L2" s="675"/>
      <c r="M2" s="675"/>
      <c r="N2" s="675"/>
      <c r="O2" s="675"/>
      <c r="P2" s="692"/>
      <c r="Q2" s="692"/>
      <c r="R2"/>
      <c r="S2" s="1803" t="str">
        <f>Q!F204</f>
        <v>Version: 1.10</v>
      </c>
      <c r="T2" s="1682"/>
      <c r="U2" s="2887"/>
      <c r="V2" s="2058"/>
      <c r="W2" s="2887"/>
      <c r="X2" s="2887"/>
      <c r="Y2" s="2887"/>
      <c r="Z2" s="2887"/>
      <c r="AA2" s="2887"/>
      <c r="AB2" s="2887"/>
      <c r="AC2" s="2887"/>
      <c r="AD2" s="2887"/>
      <c r="AE2" s="2887"/>
      <c r="AF2" s="2058"/>
      <c r="AG2" s="1641"/>
      <c r="AH2" s="1641"/>
      <c r="AI2" s="1641"/>
      <c r="AJ2" s="1641"/>
      <c r="AK2" s="1641"/>
      <c r="AL2" s="1641"/>
      <c r="AM2" s="1641"/>
      <c r="AN2" s="1641"/>
      <c r="AO2" s="2058"/>
      <c r="AP2" s="2058"/>
      <c r="AQ2" s="2058"/>
      <c r="AR2" s="2058"/>
      <c r="AS2" s="2058"/>
      <c r="AT2" s="2058"/>
      <c r="AU2" s="2058"/>
    </row>
    <row r="3" spans="1:47" s="2059" customFormat="1" ht="14.25" customHeight="1">
      <c r="A3" s="692"/>
      <c r="B3" s="675"/>
      <c r="C3" s="675"/>
      <c r="D3" s="2774" t="str">
        <f>IF(1=1,"",Q!F220)</f>
        <v/>
      </c>
      <c r="E3" s="675"/>
      <c r="F3" s="675"/>
      <c r="G3" s="675"/>
      <c r="H3" s="675"/>
      <c r="I3" s="675"/>
      <c r="J3" s="675"/>
      <c r="K3" s="675"/>
      <c r="L3" s="675"/>
      <c r="M3" s="675"/>
      <c r="N3" s="675"/>
      <c r="O3" s="675"/>
      <c r="P3" s="692"/>
      <c r="Q3" s="692"/>
      <c r="R3"/>
      <c r="S3" s="1803" t="str">
        <f>Q!F205</f>
        <v>dazugehörende Suisse-Bilanz Version 1.19</v>
      </c>
      <c r="T3" s="1682"/>
      <c r="U3" s="2887"/>
      <c r="V3" s="2058"/>
      <c r="W3" s="2887"/>
      <c r="X3" s="2887"/>
      <c r="Y3" s="2887"/>
      <c r="Z3" s="2887"/>
      <c r="AA3" s="2887"/>
      <c r="AB3" s="2887"/>
      <c r="AC3" s="2887"/>
      <c r="AD3" s="2887"/>
      <c r="AE3" s="2887"/>
      <c r="AF3" s="2058"/>
      <c r="AG3" s="1641"/>
      <c r="AH3" s="1641"/>
      <c r="AI3" s="1641"/>
      <c r="AJ3" s="1641"/>
      <c r="AK3" s="1641"/>
      <c r="AL3" s="1641"/>
      <c r="AM3" s="1641"/>
      <c r="AN3" s="1641"/>
      <c r="AO3" s="2058"/>
      <c r="AP3" s="2058"/>
      <c r="AQ3" s="2058"/>
      <c r="AR3" s="2058"/>
      <c r="AS3" s="2058"/>
      <c r="AT3" s="2058"/>
      <c r="AU3" s="2058"/>
    </row>
    <row r="4" spans="1:47" s="2059" customFormat="1" ht="7.5" customHeight="1" thickBot="1">
      <c r="A4" s="692"/>
      <c r="B4" s="687"/>
      <c r="C4" s="687"/>
      <c r="D4" s="687"/>
      <c r="E4" s="687"/>
      <c r="F4" s="687"/>
      <c r="G4" s="687"/>
      <c r="H4" s="687"/>
      <c r="I4" s="687"/>
      <c r="J4" s="687"/>
      <c r="K4" s="687"/>
      <c r="L4" s="687"/>
      <c r="M4" s="687"/>
      <c r="N4" s="687"/>
      <c r="O4" s="687"/>
      <c r="P4" s="687"/>
      <c r="Q4" s="687"/>
      <c r="R4" s="687"/>
      <c r="S4" s="687"/>
      <c r="T4" s="1682"/>
      <c r="U4" s="2887"/>
      <c r="V4" s="2058"/>
      <c r="W4" s="2887"/>
      <c r="X4" s="2887"/>
      <c r="Y4" s="2887"/>
      <c r="Z4" s="2887"/>
      <c r="AA4" s="2887"/>
      <c r="AB4" s="2887"/>
      <c r="AC4" s="2887"/>
      <c r="AD4" s="2887"/>
      <c r="AE4" s="2887"/>
      <c r="AF4" s="2058"/>
      <c r="AG4" s="1641"/>
      <c r="AH4" s="1641"/>
      <c r="AI4" s="1641"/>
      <c r="AJ4" s="1641"/>
      <c r="AK4" s="1641"/>
      <c r="AL4" s="1641"/>
      <c r="AM4" s="1641"/>
      <c r="AN4" s="1641"/>
      <c r="AO4" s="2058"/>
      <c r="AP4" s="2058"/>
      <c r="AQ4" s="2058"/>
      <c r="AR4" s="2058"/>
      <c r="AS4" s="2058"/>
      <c r="AT4" s="2058"/>
      <c r="AU4" s="2058"/>
    </row>
    <row r="5" spans="1:47" s="2059" customFormat="1" ht="6.75" customHeight="1">
      <c r="A5" s="692"/>
      <c r="B5"/>
      <c r="C5"/>
      <c r="D5" s="692"/>
      <c r="E5"/>
      <c r="F5"/>
      <c r="G5"/>
      <c r="H5"/>
      <c r="I5"/>
      <c r="J5"/>
      <c r="K5"/>
      <c r="L5"/>
      <c r="M5" s="675"/>
      <c r="N5" s="692"/>
      <c r="O5" s="692"/>
      <c r="P5"/>
      <c r="Q5"/>
      <c r="R5"/>
      <c r="S5"/>
      <c r="T5" s="1682"/>
      <c r="U5" s="2887"/>
      <c r="V5" s="2058"/>
      <c r="W5" s="2887"/>
      <c r="X5" s="2887"/>
      <c r="Y5" s="2887"/>
      <c r="Z5" s="2887"/>
      <c r="AA5" s="2887"/>
      <c r="AB5" s="2887"/>
      <c r="AC5" s="2887"/>
      <c r="AD5" s="2887"/>
      <c r="AE5" s="2887"/>
      <c r="AF5" s="2058"/>
      <c r="AG5" s="1641"/>
      <c r="AH5" s="1641"/>
      <c r="AI5" s="1641"/>
      <c r="AJ5" s="1641"/>
      <c r="AK5" s="1641"/>
      <c r="AL5" s="1641"/>
      <c r="AM5" s="1641"/>
      <c r="AN5" s="1641"/>
      <c r="AO5" s="2058"/>
      <c r="AP5" s="2058"/>
      <c r="AQ5" s="2058"/>
      <c r="AR5" s="2058"/>
      <c r="AS5" s="2058"/>
      <c r="AT5" s="2058"/>
      <c r="AU5" s="2058"/>
    </row>
    <row r="6" spans="1:47" s="2059" customFormat="1" ht="12.75" customHeight="1">
      <c r="A6" s="2979"/>
      <c r="B6" s="2273" t="str">
        <f>IF(Allg!NameVorname="","",Allg!NameVorname&amp;"")</f>
        <v>Imhof &amp; Zaehner Betriebsgemeinschaft</v>
      </c>
      <c r="C6" s="2273"/>
      <c r="D6" s="2269"/>
      <c r="E6" s="2269"/>
      <c r="F6" s="3046" t="str">
        <f>IF(Allg!C10="","",Allg!C10&amp;",")</f>
        <v/>
      </c>
      <c r="G6" s="2269" t="str">
        <f>IF(Allg!C11="","",Allg!C11)</f>
        <v/>
      </c>
      <c r="H6" s="2269"/>
      <c r="I6" s="2269"/>
      <c r="J6" s="2269"/>
      <c r="K6" s="2269"/>
      <c r="L6" s="2269"/>
      <c r="M6" s="2979"/>
      <c r="N6" s="2979"/>
      <c r="O6" s="3047" t="str">
        <f>Texte!A683</f>
        <v>Betriebsnr.:</v>
      </c>
      <c r="P6" s="30" t="str">
        <f>IF(Allg!G4="","",Allg!G4)</f>
        <v>0197-001</v>
      </c>
      <c r="Q6" s="2269"/>
      <c r="R6" s="3047" t="str">
        <f>Texte!A15</f>
        <v>Jahr:</v>
      </c>
      <c r="S6" s="360">
        <f>IF(Allg!G6="","",Allg!G6)</f>
        <v>2026</v>
      </c>
      <c r="T6" s="3045"/>
      <c r="U6" s="2887"/>
      <c r="V6" s="2058"/>
      <c r="W6" s="2887"/>
      <c r="X6" s="2887"/>
      <c r="Y6" s="2887"/>
      <c r="Z6" s="2887"/>
      <c r="AA6" s="2887"/>
      <c r="AB6" s="2887"/>
      <c r="AC6" s="2887"/>
      <c r="AD6" s="2887"/>
      <c r="AE6" s="2887"/>
      <c r="AF6" s="2058"/>
      <c r="AG6" s="1641"/>
      <c r="AH6" s="1641"/>
      <c r="AI6" s="1641"/>
      <c r="AJ6" s="1641"/>
      <c r="AK6" s="1641"/>
      <c r="AL6" s="1641"/>
      <c r="AM6" s="1641"/>
      <c r="AN6" s="1641"/>
      <c r="AO6" s="2058"/>
      <c r="AP6" s="2058"/>
      <c r="AQ6" s="2058"/>
      <c r="AR6" s="2058"/>
      <c r="AS6" s="2058"/>
      <c r="AT6" s="2058"/>
      <c r="AU6" s="2058"/>
    </row>
    <row r="7" spans="1:47" s="2059" customFormat="1" ht="5.0999999999999996" customHeight="1">
      <c r="A7" s="692"/>
      <c r="B7"/>
      <c r="C7"/>
      <c r="D7" s="692"/>
      <c r="E7"/>
      <c r="F7"/>
      <c r="G7"/>
      <c r="H7"/>
      <c r="I7"/>
      <c r="J7"/>
      <c r="K7"/>
      <c r="L7"/>
      <c r="M7" s="675"/>
      <c r="N7" s="692"/>
      <c r="O7" s="692"/>
      <c r="P7"/>
      <c r="Q7"/>
      <c r="R7"/>
      <c r="S7"/>
      <c r="T7" s="1682"/>
      <c r="U7" s="2887"/>
      <c r="V7" s="2058"/>
      <c r="W7" s="2887"/>
      <c r="X7" s="2887"/>
      <c r="Y7" s="2887"/>
      <c r="Z7" s="2887"/>
      <c r="AA7" s="2887"/>
      <c r="AB7" s="2887"/>
      <c r="AC7" s="2887"/>
      <c r="AD7" s="2887"/>
      <c r="AE7" s="2887"/>
      <c r="AF7" s="2058"/>
      <c r="AG7" s="1641"/>
      <c r="AH7" s="1641"/>
      <c r="AI7" s="1641"/>
      <c r="AJ7" s="1641"/>
      <c r="AK7" s="1641"/>
      <c r="AL7" s="1641"/>
      <c r="AM7" s="1641"/>
      <c r="AN7" s="1641"/>
      <c r="AO7" s="2058"/>
      <c r="AP7" s="2058"/>
      <c r="AQ7" s="2058"/>
      <c r="AR7" s="2058"/>
      <c r="AS7" s="2058"/>
      <c r="AT7" s="2058"/>
      <c r="AU7" s="2058"/>
    </row>
    <row r="8" spans="1:47" s="2059" customFormat="1" ht="12.75" customHeight="1">
      <c r="A8" s="692"/>
      <c r="B8" s="2273" t="str">
        <f>Texte!A1996</f>
        <v>Gemäss Blatt Allg ist der Betrieb folgendem Gebiet zugeteilt:</v>
      </c>
      <c r="C8"/>
      <c r="D8" s="692"/>
      <c r="E8"/>
      <c r="F8"/>
      <c r="G8"/>
      <c r="H8"/>
      <c r="I8"/>
      <c r="J8" s="1591" t="str">
        <f>AJ157</f>
        <v>Talgebiet</v>
      </c>
      <c r="K8" s="692"/>
      <c r="L8" s="692"/>
      <c r="M8"/>
      <c r="N8"/>
      <c r="O8"/>
      <c r="P8"/>
      <c r="Q8" s="1682"/>
      <c r="R8" s="1682"/>
      <c r="S8" s="1682"/>
      <c r="T8" s="1682"/>
      <c r="U8" s="2887"/>
      <c r="V8" s="2058"/>
      <c r="W8" s="2887"/>
      <c r="X8" s="2887"/>
      <c r="Y8" s="2887"/>
      <c r="Z8" s="2887"/>
      <c r="AA8" s="2887"/>
      <c r="AB8" s="2887"/>
      <c r="AC8" s="2887"/>
      <c r="AD8" s="2887"/>
      <c r="AE8" s="2887"/>
      <c r="AF8" s="2058"/>
      <c r="AG8" s="1641"/>
      <c r="AH8" s="1641"/>
      <c r="AI8" s="1641"/>
      <c r="AJ8" s="1641"/>
      <c r="AK8" s="1641"/>
      <c r="AL8" s="1641"/>
      <c r="AM8" s="1641"/>
      <c r="AN8" s="1641"/>
      <c r="AO8" s="2058"/>
      <c r="AP8" s="2058"/>
      <c r="AQ8" s="2058"/>
      <c r="AR8" s="2058"/>
      <c r="AS8" s="2058"/>
      <c r="AT8" s="2058"/>
      <c r="AU8" s="2058"/>
    </row>
    <row r="9" spans="1:47" s="2059" customFormat="1" ht="6.75" customHeight="1">
      <c r="A9" s="692"/>
      <c r="B9"/>
      <c r="C9"/>
      <c r="D9" s="692"/>
      <c r="E9"/>
      <c r="F9"/>
      <c r="G9"/>
      <c r="H9"/>
      <c r="I9"/>
      <c r="J9" s="675"/>
      <c r="K9" s="692"/>
      <c r="L9" s="692"/>
      <c r="M9"/>
      <c r="N9"/>
      <c r="O9"/>
      <c r="P9"/>
      <c r="Q9" s="1682"/>
      <c r="R9" s="1682"/>
      <c r="S9" s="1682"/>
      <c r="T9" s="1682"/>
      <c r="U9" s="2887"/>
      <c r="V9" s="2058"/>
      <c r="W9" s="2887"/>
      <c r="X9" s="2887"/>
      <c r="Y9" s="2887"/>
      <c r="Z9" s="2887"/>
      <c r="AA9" s="2887"/>
      <c r="AB9" s="2887"/>
      <c r="AC9" s="2887"/>
      <c r="AD9" s="2887"/>
      <c r="AE9" s="2887"/>
      <c r="AF9" s="2058"/>
      <c r="AG9" s="1641"/>
      <c r="AH9" s="1641"/>
      <c r="AI9" s="1641"/>
      <c r="AJ9" s="1641"/>
      <c r="AK9" s="1641"/>
      <c r="AL9" s="1641"/>
      <c r="AM9" s="1641"/>
      <c r="AN9" s="1641"/>
      <c r="AO9" s="2058"/>
      <c r="AP9" s="2058"/>
      <c r="AQ9" s="2058"/>
      <c r="AR9" s="2058"/>
      <c r="AS9" s="2058"/>
      <c r="AT9" s="2058"/>
      <c r="AU9" s="2058"/>
    </row>
    <row r="10" spans="1:47" s="2059" customFormat="1" ht="16.5" customHeight="1">
      <c r="A10" s="1547"/>
      <c r="B10" s="1681" t="str">
        <f>Texte!A2083</f>
        <v>Teil A: Grund- und Kraftfutterverzehr (Bedarf)</v>
      </c>
      <c r="C10" s="1547"/>
      <c r="D10" s="1547"/>
      <c r="E10" s="1547"/>
      <c r="F10" s="1680"/>
      <c r="G10" s="1680"/>
      <c r="H10" s="121" t="str">
        <f>IF(Tierb!G9=0,"",IF(ABS(D_Klick!C179-D_Klick!C180)&gt;0,Texte!A2088,""))</f>
        <v/>
      </c>
      <c r="I10" s="1680"/>
      <c r="J10" s="1680"/>
      <c r="K10" s="692"/>
      <c r="L10" s="692"/>
      <c r="M10" s="692"/>
      <c r="N10" s="692"/>
      <c r="O10" s="692"/>
      <c r="P10" s="692"/>
      <c r="Q10" s="692"/>
      <c r="R10" s="692"/>
      <c r="S10" s="692"/>
      <c r="T10" s="1682"/>
      <c r="U10" s="2887" t="s">
        <v>7563</v>
      </c>
      <c r="W10" s="2887">
        <f>D_Klick!GMF_Zone</f>
        <v>1</v>
      </c>
      <c r="X10" s="2887"/>
      <c r="Y10" s="2887"/>
      <c r="Z10" s="2887"/>
      <c r="AA10" s="2887"/>
      <c r="AB10" s="2887"/>
      <c r="AC10" s="2887"/>
      <c r="AD10" s="2887"/>
      <c r="AE10" s="2887"/>
      <c r="AF10" s="2058"/>
      <c r="AG10" s="1641"/>
      <c r="AH10" s="1641"/>
      <c r="AI10" s="1641"/>
      <c r="AJ10" s="1641"/>
      <c r="AK10" s="1641"/>
      <c r="AL10" s="1641"/>
      <c r="AM10" s="1641"/>
      <c r="AN10" s="1641"/>
      <c r="AO10" s="2058"/>
      <c r="AP10" s="2058"/>
      <c r="AQ10" s="2058"/>
      <c r="AR10" s="2058"/>
      <c r="AS10" s="2058"/>
      <c r="AT10" s="2058"/>
      <c r="AU10" s="2058"/>
    </row>
    <row r="11" spans="1:47" s="2059" customFormat="1" ht="12.75" customHeight="1">
      <c r="A11" s="692"/>
      <c r="B11" s="920"/>
      <c r="C11" s="920"/>
      <c r="D11" s="920"/>
      <c r="E11" s="920"/>
      <c r="F11" s="1637"/>
      <c r="G11" s="692"/>
      <c r="H11" s="121" t="str">
        <f>IF(Tierb!G10=0,"",IF(ABS((D_Klick!C212-D_Klick!C213)+(D_Klick!D212-D_Klick!D213))&gt;0,Texte!A2089,""))</f>
        <v/>
      </c>
      <c r="I11" s="675"/>
      <c r="J11" s="692"/>
      <c r="K11" s="692"/>
      <c r="L11" s="692"/>
      <c r="M11" s="692"/>
      <c r="N11" s="692"/>
      <c r="O11" s="692"/>
      <c r="P11" s="692"/>
      <c r="Q11" s="692"/>
      <c r="R11" s="1476"/>
      <c r="S11" s="1478"/>
      <c r="T11" s="1682"/>
      <c r="U11" s="2887"/>
      <c r="V11" s="2058"/>
      <c r="W11" s="2887"/>
      <c r="X11" s="2887"/>
      <c r="Y11" s="2887"/>
      <c r="Z11" s="2887"/>
      <c r="AA11" s="2887"/>
      <c r="AB11" s="2887"/>
      <c r="AC11" s="2887"/>
      <c r="AD11" s="2887"/>
      <c r="AE11" s="2887"/>
      <c r="AF11" s="2058"/>
      <c r="AG11" s="1641"/>
      <c r="AH11" s="1641"/>
      <c r="AI11" s="1641"/>
      <c r="AJ11" s="1641"/>
      <c r="AK11" s="1641"/>
      <c r="AL11" s="1641"/>
      <c r="AM11" s="1641"/>
      <c r="AN11" s="1641"/>
      <c r="AO11" s="2058"/>
      <c r="AP11" s="2058"/>
      <c r="AQ11" s="2058"/>
      <c r="AR11" s="2058"/>
      <c r="AS11" s="2058"/>
      <c r="AT11" s="2058"/>
      <c r="AU11" s="2058"/>
    </row>
    <row r="12" spans="1:47" s="2213" customFormat="1" ht="5.0999999999999996" customHeight="1">
      <c r="A12" s="30"/>
      <c r="B12" s="1591"/>
      <c r="C12" s="1591"/>
      <c r="D12" s="1591"/>
      <c r="E12" s="1591"/>
      <c r="F12" s="675"/>
      <c r="G12" s="675"/>
      <c r="H12" s="675"/>
      <c r="I12" s="675"/>
      <c r="J12" s="675"/>
      <c r="K12" s="675"/>
      <c r="L12" s="675"/>
      <c r="M12" s="675"/>
      <c r="N12" s="675"/>
      <c r="O12" s="675"/>
      <c r="P12" s="675"/>
      <c r="Q12" s="1660"/>
      <c r="R12" s="675"/>
      <c r="S12" s="675"/>
      <c r="T12" s="2212"/>
      <c r="U12" s="2887"/>
      <c r="V12" s="2058"/>
      <c r="W12" s="2887"/>
      <c r="X12" s="2887"/>
      <c r="Y12" s="2887"/>
      <c r="Z12" s="2887"/>
      <c r="AA12" s="2887"/>
      <c r="AB12" s="2887"/>
      <c r="AC12" s="2887"/>
      <c r="AD12" s="2887"/>
      <c r="AE12" s="2887"/>
      <c r="AF12" s="2058"/>
      <c r="AG12" s="1641"/>
      <c r="AH12" s="1641"/>
      <c r="AI12" s="1641"/>
      <c r="AJ12" s="1641"/>
      <c r="AK12" s="1641"/>
      <c r="AL12" s="1641"/>
      <c r="AM12" s="1641"/>
      <c r="AN12" s="1641"/>
      <c r="AO12" s="2058"/>
      <c r="AP12" s="2058"/>
      <c r="AQ12" s="2058"/>
      <c r="AR12" s="2058"/>
      <c r="AS12" s="2058"/>
      <c r="AT12" s="2058"/>
      <c r="AU12" s="2058"/>
    </row>
    <row r="13" spans="1:47" s="2059" customFormat="1" ht="13.7" customHeight="1">
      <c r="A13" s="920"/>
      <c r="B13" s="1114" t="str">
        <f>Texte!A2084</f>
        <v>Kraftfutterverbrauch tot. für MILCHKÜHE</v>
      </c>
      <c r="C13" s="920"/>
      <c r="D13" s="692"/>
      <c r="E13" s="1637"/>
      <c r="F13" s="1637"/>
      <c r="G13" s="2312">
        <f>'SB1'!KraftfutterMiKu</f>
        <v>8.0625</v>
      </c>
      <c r="H13" s="692" t="str">
        <f>Texte!A2090</f>
        <v>dt/Jahr</v>
      </c>
      <c r="J13" s="692"/>
      <c r="K13" s="692"/>
      <c r="L13" s="1679" t="str">
        <f>Texte!A2093</f>
        <v>Alle Milchkühe im Laufstall?</v>
      </c>
      <c r="N13" s="407" t="str">
        <f>IF(D_Tierb!$AH$9,Texte!A722,Texte!A723)</f>
        <v>nein</v>
      </c>
      <c r="P13" s="49" t="str">
        <f>Texte!A2097</f>
        <v>Rindviehmast, über 160-tägig</v>
      </c>
      <c r="Q13" s="137"/>
      <c r="R13" s="2380" t="str">
        <f>Texte!A2098</f>
        <v>TZW in g</v>
      </c>
      <c r="S13" s="2220">
        <f>'SB1'!RiMaTZW</f>
        <v>0</v>
      </c>
      <c r="T13" s="1682"/>
      <c r="U13" s="2887"/>
      <c r="V13" s="2058"/>
      <c r="W13" s="2887"/>
      <c r="X13" s="2887"/>
      <c r="Y13" s="2887"/>
      <c r="Z13" s="2887"/>
      <c r="AA13" s="2887"/>
      <c r="AB13" s="2887"/>
      <c r="AC13" s="2887"/>
      <c r="AD13" s="2887"/>
      <c r="AE13" s="2887"/>
      <c r="AF13" s="2058"/>
      <c r="AG13" s="1641"/>
      <c r="AH13" s="1641"/>
      <c r="AI13" s="1641"/>
      <c r="AJ13" s="1641"/>
      <c r="AK13" s="1641"/>
      <c r="AL13" s="1641"/>
      <c r="AM13" s="1641"/>
      <c r="AN13" s="1641"/>
      <c r="AO13" s="2058"/>
      <c r="AP13" s="2058"/>
      <c r="AQ13" s="2058"/>
      <c r="AR13" s="2058"/>
      <c r="AS13" s="2058"/>
      <c r="AT13" s="2058"/>
      <c r="AU13" s="2058"/>
    </row>
    <row r="14" spans="1:47" s="2059" customFormat="1" ht="13.7" customHeight="1">
      <c r="A14" s="920"/>
      <c r="B14" s="3422" t="str">
        <f>Texte!A2085</f>
        <v>auf Ganzjahresbetrieb</v>
      </c>
      <c r="C14" s="920"/>
      <c r="D14" s="692"/>
      <c r="E14" s="692"/>
      <c r="F14" s="1637" t="str">
        <f>Texte!A2092</f>
        <v>entspricht</v>
      </c>
      <c r="G14" s="1939" t="str">
        <f>IF(Tierb!MiKuh,KraftfutterMiKu/Tierb!MiKuh*100,"")</f>
        <v/>
      </c>
      <c r="H14" s="692" t="str">
        <f>Texte!A2091</f>
        <v>kg/Tier/Jahr</v>
      </c>
      <c r="J14" s="692"/>
      <c r="K14" s="692"/>
      <c r="L14" s="1678" t="str">
        <f>Texte!A2094</f>
        <v>Alles Jungvieh im Laufstall?</v>
      </c>
      <c r="N14" s="407" t="str">
        <f>IF(D_Tierb!$AH$11,Texte!A722,Texte!A723)</f>
        <v>nein</v>
      </c>
      <c r="P14"/>
      <c r="Q14" s="672"/>
      <c r="R14" s="2380" t="str">
        <f>Texte!A2099</f>
        <v>Ausstall-LG in kg</v>
      </c>
      <c r="S14" s="2220">
        <f>'SB1'!RiMaALG</f>
        <v>0</v>
      </c>
      <c r="T14" s="1682"/>
      <c r="U14" s="2887"/>
      <c r="V14" s="2058"/>
      <c r="W14" s="2887"/>
      <c r="X14" s="2887"/>
      <c r="Y14" s="2887"/>
      <c r="Z14" s="2887"/>
      <c r="AA14" s="2887"/>
      <c r="AB14" s="2887"/>
      <c r="AC14" s="2887"/>
      <c r="AD14" s="2887"/>
      <c r="AE14" s="2887"/>
      <c r="AF14" s="2058"/>
      <c r="AG14" s="1641"/>
      <c r="AH14" s="1641"/>
      <c r="AI14" s="1641"/>
      <c r="AJ14" s="1641"/>
      <c r="AK14" s="1641"/>
      <c r="AL14" s="1641"/>
      <c r="AM14" s="1641"/>
      <c r="AN14" s="1641"/>
      <c r="AO14" s="2058"/>
      <c r="AP14" s="2058"/>
      <c r="AQ14" s="2058"/>
      <c r="AR14" s="2058"/>
      <c r="AS14" s="2058"/>
      <c r="AT14" s="2058"/>
      <c r="AU14" s="2058"/>
    </row>
    <row r="15" spans="1:47" s="2059" customFormat="1" ht="5.0999999999999996" customHeight="1">
      <c r="A15" s="30"/>
      <c r="B15" s="1634"/>
      <c r="C15" s="1634"/>
      <c r="D15" s="1634"/>
      <c r="E15" s="1634"/>
      <c r="F15" s="1351"/>
      <c r="G15" s="1351"/>
      <c r="H15" s="1351"/>
      <c r="I15" s="1351"/>
      <c r="J15" s="1351"/>
      <c r="K15" s="1351"/>
      <c r="L15" s="1351"/>
      <c r="M15" s="1351"/>
      <c r="N15" s="1351"/>
      <c r="O15" s="1351"/>
      <c r="P15" s="1351"/>
      <c r="Q15" s="1660"/>
      <c r="R15" s="675"/>
      <c r="S15" s="675"/>
      <c r="T15" s="1682"/>
      <c r="U15" s="2887"/>
      <c r="V15" s="2058"/>
      <c r="W15" s="2887"/>
      <c r="X15" s="2887"/>
      <c r="Y15" s="2887"/>
      <c r="Z15" s="2887"/>
      <c r="AA15" s="2887"/>
      <c r="AB15" s="2887"/>
      <c r="AC15" s="2887"/>
      <c r="AD15" s="2887"/>
      <c r="AE15" s="2887"/>
      <c r="AF15" s="2058"/>
      <c r="AG15" s="1641"/>
      <c r="AH15" s="1641"/>
      <c r="AI15" s="1641"/>
      <c r="AJ15" s="1641"/>
      <c r="AK15" s="1641"/>
      <c r="AL15" s="1641"/>
      <c r="AM15" s="1641"/>
      <c r="AN15" s="1641"/>
      <c r="AO15" s="2058"/>
      <c r="AP15" s="2058"/>
      <c r="AQ15" s="2058"/>
      <c r="AR15" s="2058"/>
      <c r="AS15" s="2058"/>
      <c r="AT15" s="2058"/>
      <c r="AU15" s="2058"/>
    </row>
    <row r="16" spans="1:47" s="2059" customFormat="1" ht="12.75" customHeight="1">
      <c r="A16" s="420"/>
      <c r="B16" s="1598"/>
      <c r="C16" s="1456"/>
      <c r="D16" s="1456"/>
      <c r="E16" s="1456"/>
      <c r="F16" s="1677"/>
      <c r="G16" s="1677"/>
      <c r="H16" s="1676"/>
      <c r="I16" s="1676"/>
      <c r="J16" s="1545" t="str">
        <f>Texte!A2112</f>
        <v>Grundfutter-</v>
      </c>
      <c r="K16" s="1675"/>
      <c r="L16" s="1967" t="str">
        <f>Texte!A2118</f>
        <v>Kraftfutter-</v>
      </c>
      <c r="M16" s="1968"/>
      <c r="N16" s="3441" t="str">
        <f>Texte!A2123</f>
        <v>Sömmerungstage</v>
      </c>
      <c r="O16" s="3442"/>
      <c r="P16" s="3443"/>
      <c r="Q16" s="1964" t="str">
        <f>Texte!A2131</f>
        <v>Verzehr während Sömmerung</v>
      </c>
      <c r="R16" s="1965"/>
      <c r="S16" s="1966"/>
      <c r="T16" s="1735" t="str">
        <f>Texte!A2135</f>
        <v>RGVE-Faktor</v>
      </c>
      <c r="U16" s="2953"/>
      <c r="V16" s="2058"/>
      <c r="W16" s="2887"/>
      <c r="X16" s="2887"/>
      <c r="Y16" s="2887"/>
      <c r="Z16" s="2887"/>
      <c r="AA16" s="2887"/>
      <c r="AB16" s="2887"/>
      <c r="AC16" s="2887"/>
      <c r="AD16" s="2887"/>
      <c r="AE16" s="2887"/>
      <c r="AF16" s="2058"/>
      <c r="AG16" s="1641"/>
      <c r="AH16" s="1641"/>
      <c r="AI16" s="1641"/>
      <c r="AJ16" s="1641"/>
      <c r="AK16" s="1641"/>
      <c r="AL16" s="1641"/>
      <c r="AM16" s="1641"/>
      <c r="AN16" s="1641"/>
      <c r="AO16" s="2058"/>
      <c r="AP16" s="2058"/>
      <c r="AQ16" s="2058"/>
      <c r="AR16" s="2058"/>
      <c r="AS16" s="2058"/>
      <c r="AT16" s="2058"/>
      <c r="AU16" s="2058"/>
    </row>
    <row r="17" spans="1:47" s="2059" customFormat="1" ht="12.75" customHeight="1">
      <c r="A17" s="1674"/>
      <c r="B17" s="1324"/>
      <c r="C17" s="1591"/>
      <c r="D17" s="1591"/>
      <c r="E17" s="1591"/>
      <c r="F17" s="1671"/>
      <c r="G17" s="692"/>
      <c r="H17" s="1669" t="str">
        <f>Texte!A2105</f>
        <v>Abzug</v>
      </c>
      <c r="I17" s="1669" t="str">
        <f>Texte!A2125</f>
        <v>Anzahl</v>
      </c>
      <c r="J17" s="1673" t="str">
        <f>Texte!A2113</f>
        <v>verzehr</v>
      </c>
      <c r="K17" s="1672"/>
      <c r="L17" s="1970" t="str">
        <f>Texte!A2119</f>
        <v>verzehr</v>
      </c>
      <c r="M17" s="1971"/>
      <c r="N17" s="3444"/>
      <c r="O17" s="3445"/>
      <c r="P17" s="3446"/>
      <c r="Q17" s="1964" t="str">
        <f>Texte!A2132</f>
        <v>Grundfutter</v>
      </c>
      <c r="R17" s="1966"/>
      <c r="S17" s="1884" t="str">
        <f>Texte!A2133</f>
        <v>Kraftfutter</v>
      </c>
      <c r="T17" s="1734">
        <f>Texte!A2136</f>
        <v>0</v>
      </c>
      <c r="U17" s="2887"/>
      <c r="V17" s="2058"/>
      <c r="W17" s="2887"/>
      <c r="X17" s="2887"/>
      <c r="Y17" s="2887"/>
      <c r="Z17" s="2887"/>
      <c r="AA17" s="2887"/>
      <c r="AB17" s="2887"/>
      <c r="AC17" s="2887"/>
      <c r="AD17" s="2887"/>
      <c r="AE17" s="2887"/>
      <c r="AF17" s="2058"/>
      <c r="AG17" s="1641"/>
      <c r="AH17" s="1641"/>
      <c r="AI17" s="1641"/>
      <c r="AJ17" s="1641"/>
      <c r="AK17" s="1641"/>
      <c r="AL17" s="1641"/>
      <c r="AM17" s="1641"/>
      <c r="AN17" s="1641"/>
      <c r="AO17" s="2058"/>
      <c r="AP17" s="2058"/>
      <c r="AQ17" s="2058"/>
      <c r="AR17" s="2058"/>
      <c r="AS17" s="2058"/>
      <c r="AT17" s="2058"/>
      <c r="AU17" s="2058"/>
    </row>
    <row r="18" spans="1:47" s="2059" customFormat="1" ht="12.75" customHeight="1">
      <c r="A18" s="420"/>
      <c r="B18" s="1324" t="str">
        <f>Texte!A2102</f>
        <v>Tierart bzw. Tierkategorie</v>
      </c>
      <c r="C18" s="1591"/>
      <c r="D18" s="1591"/>
      <c r="E18" s="1591"/>
      <c r="F18" s="1671" t="str">
        <f>Texte!A2103</f>
        <v>Einheit</v>
      </c>
      <c r="G18" s="1669" t="str">
        <f>Texte!A2125</f>
        <v>Anzahl</v>
      </c>
      <c r="H18" s="1669" t="str">
        <f>Texte!A2106</f>
        <v>/ Zu-</v>
      </c>
      <c r="I18" s="1669" t="str">
        <f>Texte!A2110</f>
        <v>korri-</v>
      </c>
      <c r="J18" s="1670" t="str">
        <f>Texte!A2117</f>
        <v>dt TS</v>
      </c>
      <c r="K18" s="1670" t="str">
        <f>Texte!A2117</f>
        <v>dt TS</v>
      </c>
      <c r="L18" s="1878" t="str">
        <f>Texte!A2121</f>
        <v>kg FS</v>
      </c>
      <c r="M18" s="1878" t="str">
        <f>Texte!A2115</f>
        <v>dt FS</v>
      </c>
      <c r="N18" s="1964" t="str">
        <f>Texte!A2124</f>
        <v>Anzahl / Stück</v>
      </c>
      <c r="O18" s="1969"/>
      <c r="P18" s="825"/>
      <c r="Q18" s="1882" t="str">
        <f>Texte!A2129</f>
        <v>kg TS</v>
      </c>
      <c r="R18" s="1882" t="str">
        <f>Texte!A2117</f>
        <v>dt TS</v>
      </c>
      <c r="S18" s="1883" t="str">
        <f>Texte!A2115</f>
        <v>dt FS</v>
      </c>
      <c r="T18" s="1734" t="str">
        <f>Texte!A2137</f>
        <v>pro</v>
      </c>
      <c r="U18" s="2887"/>
      <c r="V18" s="2058"/>
      <c r="W18" s="2887"/>
      <c r="X18" s="2887"/>
      <c r="Y18" s="2887"/>
      <c r="Z18" s="2887"/>
      <c r="AA18" s="2887"/>
      <c r="AB18" s="2887"/>
      <c r="AC18" s="2887"/>
      <c r="AD18" s="2887"/>
      <c r="AE18" s="2887"/>
      <c r="AF18" s="2058"/>
      <c r="AG18" s="1641"/>
      <c r="AH18" s="1641"/>
      <c r="AI18" s="1641"/>
      <c r="AJ18" s="1641"/>
      <c r="AK18" s="1641"/>
      <c r="AL18" s="1641"/>
      <c r="AM18" s="1641"/>
      <c r="AN18" s="1641"/>
      <c r="AO18" s="2058"/>
      <c r="AP18" s="2058"/>
      <c r="AQ18" s="2058"/>
      <c r="AR18" s="2058"/>
      <c r="AS18" s="2058"/>
      <c r="AT18" s="2058"/>
      <c r="AU18" s="2058"/>
    </row>
    <row r="19" spans="1:47" s="2059" customFormat="1" ht="12.75" customHeight="1">
      <c r="A19" s="420"/>
      <c r="B19" s="1551"/>
      <c r="C19" s="1550"/>
      <c r="D19" s="1550"/>
      <c r="E19" s="1550"/>
      <c r="F19" s="1538"/>
      <c r="G19" s="1538"/>
      <c r="H19" s="1534" t="str">
        <f>Texte!A2107</f>
        <v>schlag</v>
      </c>
      <c r="I19" s="1534" t="str">
        <f>Texte!A2111</f>
        <v>giert</v>
      </c>
      <c r="J19" s="1534" t="str">
        <f>Texte!A2114</f>
        <v>pro Jahr</v>
      </c>
      <c r="K19" s="1534" t="str">
        <f>Texte!A2116</f>
        <v>total</v>
      </c>
      <c r="L19" s="1534" t="str">
        <f>Texte!A2120</f>
        <v>pro Einh.</v>
      </c>
      <c r="M19" s="1534" t="str">
        <f>Texte!A2116</f>
        <v>total</v>
      </c>
      <c r="N19" s="1534" t="str">
        <f>Texte!A2126</f>
        <v>Tiere</v>
      </c>
      <c r="O19" s="1534" t="str">
        <f>Texte!A2127</f>
        <v>Tage</v>
      </c>
      <c r="P19" s="1534" t="str">
        <f>Texte!A2116</f>
        <v>total</v>
      </c>
      <c r="Q19" s="1534" t="str">
        <f>Texte!A2130</f>
        <v>pro Tag</v>
      </c>
      <c r="R19" s="1534" t="str">
        <f>Texte!A2116</f>
        <v>total</v>
      </c>
      <c r="S19" s="1879" t="str">
        <f>Texte!A2116</f>
        <v>total</v>
      </c>
      <c r="T19" s="1734" t="str">
        <f>Texte!A2138</f>
        <v>Einheit</v>
      </c>
      <c r="U19" s="2887"/>
      <c r="V19" s="2058"/>
      <c r="W19" s="2887"/>
      <c r="X19" s="2887"/>
      <c r="Y19" s="2887"/>
      <c r="Z19" s="2887"/>
      <c r="AA19" s="2887"/>
      <c r="AB19" s="2887"/>
      <c r="AC19" s="2887"/>
      <c r="AD19" s="2887"/>
      <c r="AE19" s="2887"/>
      <c r="AF19" s="2058"/>
      <c r="AG19" s="1641"/>
      <c r="AH19" s="1641"/>
      <c r="AI19" s="1641"/>
      <c r="AJ19" s="1641"/>
      <c r="AK19" s="1641"/>
      <c r="AL19" s="1641"/>
      <c r="AM19" s="1641"/>
      <c r="AN19" s="1641"/>
      <c r="AO19" s="2058"/>
      <c r="AP19" s="2058"/>
      <c r="AQ19" s="2058"/>
      <c r="AR19" s="2058"/>
      <c r="AS19" s="2058"/>
      <c r="AT19" s="2058"/>
      <c r="AU19" s="2058"/>
    </row>
    <row r="20" spans="1:47" s="2059" customFormat="1" ht="12.75" customHeight="1">
      <c r="A20" s="420"/>
      <c r="B20" s="1668" t="str">
        <f>Texte!A2142</f>
        <v>Rindvieh</v>
      </c>
      <c r="C20" s="1667"/>
      <c r="D20" s="1667"/>
      <c r="E20" s="1667"/>
      <c r="F20" s="1667"/>
      <c r="G20" s="1667"/>
      <c r="H20" s="1667"/>
      <c r="I20" s="1666"/>
      <c r="J20" s="1666"/>
      <c r="K20" s="1666"/>
      <c r="L20" s="2223"/>
      <c r="M20" s="1666"/>
      <c r="N20" s="1666"/>
      <c r="O20" s="1666"/>
      <c r="P20" s="1666"/>
      <c r="Q20" s="1666"/>
      <c r="R20" s="1666"/>
      <c r="S20" s="3415" t="str">
        <f>IF(P21&gt;0,IF(MilchkuhKraftfutterSöm*100/P21&gt;1,Texte!A2086,""),"")</f>
        <v/>
      </c>
      <c r="T20" s="1734"/>
      <c r="U20" s="2887"/>
      <c r="V20" s="2058"/>
      <c r="W20" s="2887"/>
      <c r="X20" s="2887"/>
      <c r="Y20" s="2887"/>
      <c r="Z20" s="2887"/>
      <c r="AA20" s="2887"/>
      <c r="AB20" s="2887"/>
      <c r="AC20" s="2887"/>
      <c r="AD20" s="2887"/>
      <c r="AE20" s="2887"/>
      <c r="AF20" s="2058"/>
      <c r="AG20" s="1641"/>
      <c r="AH20" s="1641"/>
      <c r="AI20" s="1641"/>
      <c r="AJ20" s="1641"/>
      <c r="AK20" s="1641"/>
      <c r="AL20" s="1641"/>
      <c r="AM20" s="1641"/>
      <c r="AN20" s="1641"/>
      <c r="AO20" s="2058"/>
      <c r="AP20" s="2058"/>
      <c r="AQ20" s="2058"/>
      <c r="AR20" s="2058"/>
      <c r="AS20" s="2058"/>
      <c r="AT20" s="2058"/>
      <c r="AU20" s="2058"/>
    </row>
    <row r="21" spans="1:47" s="2059" customFormat="1" ht="12.75" customHeight="1">
      <c r="A21" s="1664"/>
      <c r="B21" s="1511"/>
      <c r="C21" s="1523"/>
      <c r="D21" s="1648"/>
      <c r="E21" s="2214"/>
      <c r="F21" s="1665"/>
      <c r="G21" s="2282"/>
      <c r="H21" s="2282"/>
      <c r="I21" s="2282"/>
      <c r="J21" s="1645"/>
      <c r="K21" s="2221" t="str">
        <f>IF(I21&gt;0,I21*J21,"")</f>
        <v/>
      </c>
      <c r="L21" s="1974"/>
      <c r="M21" s="2222" t="str">
        <f>IF(G21&gt;0,G21*L21/100,"")</f>
        <v/>
      </c>
      <c r="N21" s="1571"/>
      <c r="O21" s="1571"/>
      <c r="P21" s="1522">
        <f>N21*O21</f>
        <v>0</v>
      </c>
      <c r="Q21" s="1645"/>
      <c r="R21" s="1522">
        <f>Q21*P21*0.01</f>
        <v>0</v>
      </c>
      <c r="S21" s="1651"/>
      <c r="T21" s="1734"/>
      <c r="U21" s="2887">
        <f t="shared" ref="U21:U37" si="0">$G21*$T21</f>
        <v>0</v>
      </c>
      <c r="V21" s="2058"/>
      <c r="W21" s="2887"/>
      <c r="X21" s="2887"/>
      <c r="Y21" s="2887"/>
      <c r="Z21" s="2887"/>
      <c r="AA21" s="2887"/>
      <c r="AB21" s="2887"/>
      <c r="AC21" s="2887"/>
      <c r="AD21" s="2887"/>
      <c r="AE21" s="2887"/>
      <c r="AF21" s="2058"/>
      <c r="AG21" s="1641"/>
      <c r="AH21" s="1641"/>
      <c r="AI21" s="1641"/>
      <c r="AJ21" s="1641"/>
      <c r="AK21" s="1641"/>
      <c r="AL21" s="1641"/>
      <c r="AM21" s="1641"/>
      <c r="AN21" s="1641"/>
      <c r="AO21" s="2058"/>
      <c r="AP21" s="2058"/>
      <c r="AQ21" s="2058"/>
      <c r="AR21" s="2058"/>
      <c r="AS21" s="2058"/>
      <c r="AT21" s="2058"/>
      <c r="AU21" s="2058"/>
    </row>
    <row r="22" spans="1:47" s="2059" customFormat="1" ht="12.75" customHeight="1">
      <c r="A22" s="1664"/>
      <c r="B22" s="1662"/>
      <c r="C22" s="1648"/>
      <c r="D22" s="1648"/>
      <c r="E22" s="2214"/>
      <c r="F22" s="1663"/>
      <c r="G22" s="2282"/>
      <c r="H22" s="2282"/>
      <c r="I22" s="2282"/>
      <c r="J22" s="1645"/>
      <c r="K22" s="1522" t="str">
        <f t="shared" ref="K22:K47" si="1">IF(I22&gt;0,I22*J22,"")</f>
        <v/>
      </c>
      <c r="L22" s="1586"/>
      <c r="M22" s="1522" t="str">
        <f t="shared" ref="M22:M47" si="2">IF(G22&gt;0,G22*L22/100,"")</f>
        <v/>
      </c>
      <c r="N22" s="1571"/>
      <c r="O22" s="1571"/>
      <c r="P22" s="1522">
        <f t="shared" ref="P22:P37" si="3">N22*O22</f>
        <v>0</v>
      </c>
      <c r="Q22" s="1645"/>
      <c r="R22" s="1522">
        <f t="shared" ref="R22:R37" si="4">Q22*P22*0.01</f>
        <v>0</v>
      </c>
      <c r="S22" s="1644"/>
      <c r="T22" s="1734"/>
      <c r="U22" s="2887">
        <f t="shared" si="0"/>
        <v>0</v>
      </c>
      <c r="V22" s="2058"/>
      <c r="W22" s="2887"/>
      <c r="X22" s="2887"/>
      <c r="Y22" s="2887"/>
      <c r="Z22" s="2887"/>
      <c r="AA22" s="2887"/>
      <c r="AB22" s="2887"/>
      <c r="AC22" s="2887"/>
      <c r="AD22" s="2887"/>
      <c r="AE22" s="2887"/>
      <c r="AF22" s="2058"/>
      <c r="AG22" s="1641"/>
      <c r="AH22" s="1641"/>
      <c r="AI22" s="1641"/>
      <c r="AJ22" s="1641"/>
      <c r="AK22" s="1641"/>
      <c r="AL22" s="1641"/>
      <c r="AM22" s="1641"/>
      <c r="AN22" s="1641"/>
      <c r="AO22" s="2058"/>
      <c r="AP22" s="2058"/>
      <c r="AQ22" s="2058"/>
      <c r="AR22" s="2058"/>
      <c r="AS22" s="2058"/>
      <c r="AT22" s="2058"/>
      <c r="AU22" s="2058"/>
    </row>
    <row r="23" spans="1:47" s="2059" customFormat="1" ht="12.75" customHeight="1">
      <c r="A23" s="1647"/>
      <c r="B23" s="1662"/>
      <c r="C23" s="1648"/>
      <c r="D23" s="1648"/>
      <c r="E23" s="2214"/>
      <c r="F23" s="1646"/>
      <c r="G23" s="2282"/>
      <c r="H23" s="2283"/>
      <c r="I23" s="2282"/>
      <c r="J23" s="1659"/>
      <c r="K23" s="1522" t="str">
        <f t="shared" si="1"/>
        <v/>
      </c>
      <c r="L23" s="1571"/>
      <c r="M23" s="1522" t="str">
        <f t="shared" si="2"/>
        <v/>
      </c>
      <c r="N23" s="1571"/>
      <c r="O23" s="1571"/>
      <c r="P23" s="1522">
        <f t="shared" si="3"/>
        <v>0</v>
      </c>
      <c r="Q23" s="1659"/>
      <c r="R23" s="1522">
        <f t="shared" si="4"/>
        <v>0</v>
      </c>
      <c r="S23" s="1644"/>
      <c r="T23" s="1734"/>
      <c r="U23" s="2887">
        <f t="shared" si="0"/>
        <v>0</v>
      </c>
      <c r="V23" s="2058"/>
      <c r="W23" s="2887"/>
      <c r="X23" s="2887"/>
      <c r="Y23" s="2887"/>
      <c r="Z23" s="2887"/>
      <c r="AA23" s="2887"/>
      <c r="AB23" s="2887"/>
      <c r="AC23" s="2887"/>
      <c r="AD23" s="2887"/>
      <c r="AE23" s="2887"/>
      <c r="AF23" s="2058"/>
      <c r="AG23" s="1641"/>
      <c r="AH23" s="1641"/>
      <c r="AI23" s="1641"/>
      <c r="AJ23" s="1641"/>
      <c r="AK23" s="1641"/>
      <c r="AL23" s="1641"/>
      <c r="AM23" s="1641"/>
      <c r="AN23" s="1641"/>
      <c r="AO23" s="2058"/>
      <c r="AP23" s="2058"/>
      <c r="AQ23" s="2058"/>
      <c r="AR23" s="2058"/>
      <c r="AS23" s="2058"/>
      <c r="AT23" s="2058"/>
      <c r="AU23" s="2058"/>
    </row>
    <row r="24" spans="1:47" s="2059" customFormat="1" ht="12.75" customHeight="1">
      <c r="A24" s="1647"/>
      <c r="B24" s="1662"/>
      <c r="C24" s="1648"/>
      <c r="D24" s="1648"/>
      <c r="E24" s="2214"/>
      <c r="F24" s="1646"/>
      <c r="G24" s="2282"/>
      <c r="H24" s="2283"/>
      <c r="I24" s="2282"/>
      <c r="J24" s="1659"/>
      <c r="K24" s="1522" t="str">
        <f t="shared" si="1"/>
        <v/>
      </c>
      <c r="L24" s="1571"/>
      <c r="M24" s="1522" t="str">
        <f t="shared" si="2"/>
        <v/>
      </c>
      <c r="N24" s="1571"/>
      <c r="O24" s="1571"/>
      <c r="P24" s="1522">
        <f t="shared" si="3"/>
        <v>0</v>
      </c>
      <c r="Q24" s="1659"/>
      <c r="R24" s="1522">
        <f t="shared" si="4"/>
        <v>0</v>
      </c>
      <c r="S24" s="1644"/>
      <c r="T24" s="1734"/>
      <c r="U24" s="2887">
        <f t="shared" si="0"/>
        <v>0</v>
      </c>
      <c r="V24" s="2058"/>
      <c r="W24" s="2887"/>
      <c r="X24" s="2887"/>
      <c r="Y24" s="2887"/>
      <c r="Z24" s="2887"/>
      <c r="AA24" s="2887"/>
      <c r="AB24" s="2887"/>
      <c r="AC24" s="2887"/>
      <c r="AD24" s="2887"/>
      <c r="AE24" s="2887"/>
      <c r="AF24" s="2058"/>
      <c r="AG24" s="1641"/>
      <c r="AH24" s="1641"/>
      <c r="AI24" s="1641"/>
      <c r="AJ24" s="1641"/>
      <c r="AK24" s="1641"/>
      <c r="AL24" s="1641"/>
      <c r="AM24" s="1641"/>
      <c r="AN24" s="1641"/>
      <c r="AO24" s="2058"/>
      <c r="AP24" s="2058"/>
      <c r="AQ24" s="2058"/>
      <c r="AR24" s="2058"/>
      <c r="AS24" s="2058"/>
      <c r="AT24" s="2058"/>
      <c r="AU24" s="2058"/>
    </row>
    <row r="25" spans="1:47" s="2059" customFormat="1" ht="12.75" customHeight="1">
      <c r="A25" s="1647"/>
      <c r="B25" s="1662"/>
      <c r="C25" s="1648"/>
      <c r="D25" s="1648"/>
      <c r="E25" s="2214"/>
      <c r="F25" s="1646"/>
      <c r="G25" s="2282"/>
      <c r="H25" s="2283"/>
      <c r="I25" s="2282"/>
      <c r="J25" s="1659"/>
      <c r="K25" s="1522" t="str">
        <f t="shared" si="1"/>
        <v/>
      </c>
      <c r="L25" s="1571"/>
      <c r="M25" s="1522" t="str">
        <f t="shared" si="2"/>
        <v/>
      </c>
      <c r="N25" s="1571"/>
      <c r="O25" s="1571"/>
      <c r="P25" s="1522">
        <f t="shared" si="3"/>
        <v>0</v>
      </c>
      <c r="Q25" s="1659"/>
      <c r="R25" s="1522">
        <f t="shared" si="4"/>
        <v>0</v>
      </c>
      <c r="S25" s="1644"/>
      <c r="T25" s="1734"/>
      <c r="U25" s="2887">
        <f t="shared" si="0"/>
        <v>0</v>
      </c>
      <c r="V25" s="2058"/>
      <c r="W25" s="2887"/>
      <c r="X25" s="2887"/>
      <c r="Y25" s="2887"/>
      <c r="Z25" s="2887"/>
      <c r="AA25" s="2887"/>
      <c r="AB25" s="2887"/>
      <c r="AC25" s="2887"/>
      <c r="AD25" s="2887"/>
      <c r="AE25" s="2887"/>
      <c r="AF25" s="2058"/>
      <c r="AG25" s="1641"/>
      <c r="AH25" s="1641"/>
      <c r="AI25" s="1641"/>
      <c r="AJ25" s="1641"/>
      <c r="AK25" s="1641"/>
      <c r="AL25" s="1641"/>
      <c r="AM25" s="1641"/>
      <c r="AN25" s="1641"/>
      <c r="AO25" s="2058"/>
      <c r="AP25" s="2058"/>
      <c r="AQ25" s="2058"/>
      <c r="AR25" s="2058"/>
      <c r="AS25" s="2058"/>
      <c r="AT25" s="2058"/>
      <c r="AU25" s="2058"/>
    </row>
    <row r="26" spans="1:47" s="2059" customFormat="1" ht="12.75" customHeight="1">
      <c r="A26" s="1647"/>
      <c r="B26" s="1662"/>
      <c r="C26" s="1648"/>
      <c r="D26" s="1648"/>
      <c r="E26" s="2214"/>
      <c r="F26" s="1646"/>
      <c r="G26" s="2282"/>
      <c r="H26" s="2283"/>
      <c r="I26" s="2282"/>
      <c r="J26" s="1659"/>
      <c r="K26" s="1522" t="str">
        <f t="shared" si="1"/>
        <v/>
      </c>
      <c r="L26" s="1571"/>
      <c r="M26" s="1522" t="str">
        <f t="shared" si="2"/>
        <v/>
      </c>
      <c r="N26" s="1571"/>
      <c r="O26" s="1571"/>
      <c r="P26" s="1522">
        <f t="shared" si="3"/>
        <v>0</v>
      </c>
      <c r="Q26" s="1659"/>
      <c r="R26" s="1522">
        <f t="shared" si="4"/>
        <v>0</v>
      </c>
      <c r="S26" s="1644"/>
      <c r="T26" s="1734"/>
      <c r="U26" s="2887">
        <f t="shared" si="0"/>
        <v>0</v>
      </c>
      <c r="V26" s="2058"/>
      <c r="W26" s="2887"/>
      <c r="X26" s="2887"/>
      <c r="Y26" s="2887"/>
      <c r="Z26" s="2887"/>
      <c r="AA26" s="2887"/>
      <c r="AB26" s="2887"/>
      <c r="AC26" s="2887"/>
      <c r="AD26" s="2887"/>
      <c r="AE26" s="2887"/>
      <c r="AF26" s="2058"/>
      <c r="AG26" s="1641"/>
      <c r="AH26" s="1641"/>
      <c r="AI26" s="1641"/>
      <c r="AJ26" s="1641"/>
      <c r="AK26" s="1641"/>
      <c r="AL26" s="1641"/>
      <c r="AM26" s="1641"/>
      <c r="AN26" s="1641"/>
      <c r="AO26" s="2058"/>
      <c r="AP26" s="2058"/>
      <c r="AQ26" s="2058"/>
      <c r="AR26" s="2058"/>
      <c r="AS26" s="2058"/>
      <c r="AT26" s="2058"/>
      <c r="AU26" s="2058"/>
    </row>
    <row r="27" spans="1:47" s="2059" customFormat="1" ht="12.75" customHeight="1">
      <c r="A27" s="1647"/>
      <c r="B27" s="1661"/>
      <c r="C27" s="1648"/>
      <c r="D27" s="1648"/>
      <c r="E27" s="2214"/>
      <c r="F27" s="1646"/>
      <c r="G27" s="2282"/>
      <c r="H27" s="2283"/>
      <c r="I27" s="2282"/>
      <c r="J27" s="1659"/>
      <c r="K27" s="1522" t="str">
        <f t="shared" si="1"/>
        <v/>
      </c>
      <c r="L27" s="1571"/>
      <c r="M27" s="1522" t="str">
        <f t="shared" si="2"/>
        <v/>
      </c>
      <c r="N27" s="1571"/>
      <c r="O27" s="1571"/>
      <c r="P27" s="1522">
        <f t="shared" si="3"/>
        <v>0</v>
      </c>
      <c r="Q27" s="1659"/>
      <c r="R27" s="1522">
        <f t="shared" si="4"/>
        <v>0</v>
      </c>
      <c r="S27" s="1644"/>
      <c r="T27" s="1734"/>
      <c r="U27" s="2887">
        <f t="shared" si="0"/>
        <v>0</v>
      </c>
      <c r="V27" s="2058"/>
      <c r="W27" s="2887"/>
      <c r="X27" s="2887"/>
      <c r="Y27" s="2887"/>
      <c r="Z27" s="2887"/>
      <c r="AA27" s="2887"/>
      <c r="AB27" s="2887"/>
      <c r="AC27" s="2887"/>
      <c r="AD27" s="2887"/>
      <c r="AE27" s="2887"/>
      <c r="AF27" s="2058"/>
      <c r="AG27" s="1641"/>
      <c r="AH27" s="1641"/>
      <c r="AI27" s="1641"/>
      <c r="AJ27" s="1641"/>
      <c r="AK27" s="1641"/>
      <c r="AL27" s="1641"/>
      <c r="AM27" s="1641"/>
      <c r="AN27" s="1641"/>
      <c r="AO27" s="2058"/>
      <c r="AP27" s="2058"/>
      <c r="AQ27" s="2058"/>
      <c r="AR27" s="2058"/>
      <c r="AS27" s="2058"/>
      <c r="AT27" s="2058"/>
      <c r="AU27" s="2058"/>
    </row>
    <row r="28" spans="1:47" s="2059" customFormat="1" ht="12.75" customHeight="1">
      <c r="A28" s="1647"/>
      <c r="B28" s="1661"/>
      <c r="C28" s="1648"/>
      <c r="D28" s="1648"/>
      <c r="E28" s="2214"/>
      <c r="F28" s="1646"/>
      <c r="G28" s="2282"/>
      <c r="H28" s="2283"/>
      <c r="I28" s="2282"/>
      <c r="J28" s="1659"/>
      <c r="K28" s="1522" t="str">
        <f t="shared" si="1"/>
        <v/>
      </c>
      <c r="L28" s="1571"/>
      <c r="M28" s="1522" t="str">
        <f t="shared" si="2"/>
        <v/>
      </c>
      <c r="N28" s="1571"/>
      <c r="O28" s="1571"/>
      <c r="P28" s="1522">
        <f t="shared" si="3"/>
        <v>0</v>
      </c>
      <c r="Q28" s="1659"/>
      <c r="R28" s="1522">
        <f t="shared" si="4"/>
        <v>0</v>
      </c>
      <c r="S28" s="1644"/>
      <c r="T28" s="1734"/>
      <c r="U28" s="2887">
        <f t="shared" si="0"/>
        <v>0</v>
      </c>
      <c r="V28" s="2058"/>
      <c r="W28" s="2887"/>
      <c r="X28" s="2887"/>
      <c r="Y28" s="2887"/>
      <c r="Z28" s="2887"/>
      <c r="AA28" s="2887"/>
      <c r="AB28" s="2887"/>
      <c r="AC28" s="2887"/>
      <c r="AD28" s="2887"/>
      <c r="AE28" s="2887"/>
      <c r="AF28" s="2058"/>
      <c r="AG28" s="1641"/>
      <c r="AH28" s="1641"/>
      <c r="AI28" s="1641"/>
      <c r="AJ28" s="1641"/>
      <c r="AK28" s="1641"/>
      <c r="AL28" s="1641"/>
      <c r="AM28" s="1641"/>
      <c r="AN28" s="1641"/>
      <c r="AO28" s="2058"/>
      <c r="AP28" s="2058"/>
      <c r="AQ28" s="2058"/>
      <c r="AR28" s="2058"/>
      <c r="AS28" s="2058"/>
      <c r="AT28" s="2058"/>
      <c r="AU28" s="2058"/>
    </row>
    <row r="29" spans="1:47" s="2059" customFormat="1" ht="12.75" customHeight="1">
      <c r="A29" s="1647"/>
      <c r="B29" s="1661"/>
      <c r="C29" s="1648"/>
      <c r="D29" s="1648"/>
      <c r="E29" s="2214"/>
      <c r="F29" s="1646"/>
      <c r="G29" s="2282"/>
      <c r="H29" s="2283"/>
      <c r="I29" s="2282"/>
      <c r="J29" s="1659"/>
      <c r="K29" s="1522" t="str">
        <f t="shared" si="1"/>
        <v/>
      </c>
      <c r="L29" s="1571"/>
      <c r="M29" s="1522" t="str">
        <f t="shared" si="2"/>
        <v/>
      </c>
      <c r="N29" s="1571"/>
      <c r="O29" s="1571"/>
      <c r="P29" s="1522">
        <f t="shared" si="3"/>
        <v>0</v>
      </c>
      <c r="Q29" s="1659"/>
      <c r="R29" s="1522">
        <f t="shared" si="4"/>
        <v>0</v>
      </c>
      <c r="S29" s="1644"/>
      <c r="T29" s="1734"/>
      <c r="U29" s="2887">
        <f t="shared" si="0"/>
        <v>0</v>
      </c>
      <c r="V29" s="2058"/>
      <c r="W29" s="2887"/>
      <c r="X29" s="2887"/>
      <c r="Y29" s="2887"/>
      <c r="Z29" s="2887">
        <f>IF(L22&lt;Z36,(Z36-L22)*1.2,IF(L22&gt;Z37,(L22-Z37)*-1.2,0))/100</f>
        <v>0</v>
      </c>
      <c r="AA29" s="2887"/>
      <c r="AB29" s="2887"/>
      <c r="AC29" s="2887"/>
      <c r="AD29" s="2887"/>
      <c r="AE29" s="2887"/>
      <c r="AF29" s="2058"/>
      <c r="AG29" s="1641"/>
      <c r="AH29" s="1641"/>
      <c r="AI29" s="1641"/>
      <c r="AJ29" s="1641"/>
      <c r="AK29" s="1641"/>
      <c r="AL29" s="1641"/>
      <c r="AM29" s="1641"/>
      <c r="AN29" s="1641"/>
      <c r="AO29" s="2058"/>
      <c r="AP29" s="2058"/>
      <c r="AQ29" s="2058"/>
      <c r="AR29" s="2058"/>
      <c r="AS29" s="2058"/>
      <c r="AT29" s="2058"/>
      <c r="AU29" s="2058"/>
    </row>
    <row r="30" spans="1:47" s="2059" customFormat="1" ht="12.75" customHeight="1">
      <c r="A30" s="1647"/>
      <c r="B30" s="1661"/>
      <c r="C30" s="1648"/>
      <c r="D30" s="1648"/>
      <c r="E30" s="2214"/>
      <c r="F30" s="1646"/>
      <c r="G30" s="2282"/>
      <c r="H30" s="2283"/>
      <c r="I30" s="2282"/>
      <c r="J30" s="1659"/>
      <c r="K30" s="1522" t="str">
        <f t="shared" si="1"/>
        <v/>
      </c>
      <c r="L30" s="1571"/>
      <c r="M30" s="1522" t="str">
        <f t="shared" si="2"/>
        <v/>
      </c>
      <c r="N30" s="1571"/>
      <c r="O30" s="1571"/>
      <c r="P30" s="1522">
        <f t="shared" si="3"/>
        <v>0</v>
      </c>
      <c r="Q30" s="1659"/>
      <c r="R30" s="1522">
        <f t="shared" si="4"/>
        <v>0</v>
      </c>
      <c r="S30" s="1644"/>
      <c r="T30" s="1734"/>
      <c r="U30" s="2887">
        <f t="shared" si="0"/>
        <v>0</v>
      </c>
      <c r="V30" s="2058"/>
      <c r="W30" s="2887"/>
      <c r="X30" s="2887"/>
      <c r="Y30" s="2887"/>
      <c r="Z30" s="2887"/>
      <c r="AA30" s="2887"/>
      <c r="AB30" s="2887"/>
      <c r="AC30" s="2887"/>
      <c r="AD30" s="2887"/>
      <c r="AE30" s="2887"/>
      <c r="AF30" s="2058"/>
      <c r="AG30" s="1641"/>
      <c r="AH30" s="1641"/>
      <c r="AI30" s="1641"/>
      <c r="AJ30" s="1641"/>
      <c r="AK30" s="1641"/>
      <c r="AL30" s="1641"/>
      <c r="AM30" s="1641"/>
      <c r="AN30" s="1641"/>
      <c r="AO30" s="2058"/>
      <c r="AP30" s="2058"/>
      <c r="AQ30" s="2058"/>
      <c r="AR30" s="2058"/>
      <c r="AS30" s="2058"/>
      <c r="AT30" s="2058"/>
      <c r="AU30" s="2058"/>
    </row>
    <row r="31" spans="1:47" s="2059" customFormat="1" ht="12.75" customHeight="1">
      <c r="A31" s="1647"/>
      <c r="B31" s="1661"/>
      <c r="C31" s="1648"/>
      <c r="D31" s="1648"/>
      <c r="E31" s="2214"/>
      <c r="F31" s="1646"/>
      <c r="G31" s="2282"/>
      <c r="H31" s="2283"/>
      <c r="I31" s="2282"/>
      <c r="J31" s="1659"/>
      <c r="K31" s="1522" t="str">
        <f t="shared" si="1"/>
        <v/>
      </c>
      <c r="L31" s="1571"/>
      <c r="M31" s="1522" t="str">
        <f t="shared" si="2"/>
        <v/>
      </c>
      <c r="N31" s="1571"/>
      <c r="O31" s="1571"/>
      <c r="P31" s="1522">
        <f t="shared" si="3"/>
        <v>0</v>
      </c>
      <c r="Q31" s="1659"/>
      <c r="R31" s="1522">
        <f t="shared" si="4"/>
        <v>0</v>
      </c>
      <c r="S31" s="1644"/>
      <c r="T31" s="1734"/>
      <c r="U31" s="2887">
        <f t="shared" si="0"/>
        <v>0</v>
      </c>
      <c r="V31" s="2058"/>
      <c r="W31" s="2887"/>
      <c r="X31" s="2887"/>
      <c r="Y31" s="2887"/>
      <c r="Z31" s="2887"/>
      <c r="AA31" s="2887"/>
      <c r="AB31" s="2887"/>
      <c r="AC31" s="2887"/>
      <c r="AD31" s="2887"/>
      <c r="AE31" s="2887"/>
      <c r="AF31" s="2058"/>
      <c r="AG31" s="1641"/>
      <c r="AH31" s="1641"/>
      <c r="AI31" s="1641"/>
      <c r="AJ31" s="1641"/>
      <c r="AK31" s="1641"/>
      <c r="AL31" s="1641"/>
      <c r="AM31" s="1641"/>
      <c r="AN31" s="1641"/>
      <c r="AO31" s="2058"/>
      <c r="AP31" s="2058"/>
      <c r="AQ31" s="2058"/>
      <c r="AR31" s="2058"/>
      <c r="AS31" s="2058"/>
      <c r="AT31" s="2058"/>
      <c r="AU31" s="2058"/>
    </row>
    <row r="32" spans="1:47" s="2059" customFormat="1" ht="12.75" customHeight="1">
      <c r="A32" s="1647"/>
      <c r="B32" s="1661"/>
      <c r="C32" s="1648"/>
      <c r="D32" s="1648"/>
      <c r="E32" s="2214"/>
      <c r="F32" s="1646"/>
      <c r="G32" s="2282"/>
      <c r="H32" s="2283"/>
      <c r="I32" s="2282"/>
      <c r="J32" s="1659"/>
      <c r="K32" s="1522" t="str">
        <f t="shared" si="1"/>
        <v/>
      </c>
      <c r="L32" s="1571"/>
      <c r="M32" s="1522" t="str">
        <f t="shared" si="2"/>
        <v/>
      </c>
      <c r="N32" s="1571"/>
      <c r="O32" s="1571"/>
      <c r="P32" s="1522">
        <f t="shared" si="3"/>
        <v>0</v>
      </c>
      <c r="Q32" s="1659"/>
      <c r="R32" s="1522">
        <f t="shared" si="4"/>
        <v>0</v>
      </c>
      <c r="S32" s="1644"/>
      <c r="T32" s="1734"/>
      <c r="U32" s="2887">
        <f t="shared" si="0"/>
        <v>0</v>
      </c>
      <c r="V32" s="2058"/>
      <c r="W32" s="2887"/>
      <c r="X32" s="2887"/>
      <c r="Y32" s="2887"/>
      <c r="Z32" s="2887">
        <f>LOOKUP(E21,U15:U26,V15:V26)</f>
        <v>0</v>
      </c>
      <c r="AA32" s="2887"/>
      <c r="AB32" s="2887"/>
      <c r="AC32" s="2887"/>
      <c r="AD32" s="2887"/>
      <c r="AE32" s="2887"/>
      <c r="AF32" s="2058"/>
      <c r="AG32" s="1641"/>
      <c r="AH32" s="1641"/>
      <c r="AI32" s="1641"/>
      <c r="AJ32" s="1641"/>
      <c r="AK32" s="1641"/>
      <c r="AL32" s="1641"/>
      <c r="AM32" s="1641"/>
      <c r="AN32" s="1641"/>
      <c r="AO32" s="2058"/>
      <c r="AP32" s="2058"/>
      <c r="AQ32" s="2058"/>
      <c r="AR32" s="2058"/>
      <c r="AS32" s="2058"/>
      <c r="AT32" s="2058"/>
      <c r="AU32" s="2058"/>
    </row>
    <row r="33" spans="1:47" s="2059" customFormat="1" ht="12.75" customHeight="1">
      <c r="A33" s="1647"/>
      <c r="B33" s="1661"/>
      <c r="C33" s="1648"/>
      <c r="D33" s="1648"/>
      <c r="E33" s="2214"/>
      <c r="F33" s="1646"/>
      <c r="G33" s="2282"/>
      <c r="H33" s="2283"/>
      <c r="I33" s="2282"/>
      <c r="J33" s="1659"/>
      <c r="K33" s="1522" t="str">
        <f t="shared" si="1"/>
        <v/>
      </c>
      <c r="L33" s="1571"/>
      <c r="M33" s="1522" t="str">
        <f t="shared" si="2"/>
        <v/>
      </c>
      <c r="N33" s="1571"/>
      <c r="O33" s="1571"/>
      <c r="P33" s="1522">
        <f t="shared" si="3"/>
        <v>0</v>
      </c>
      <c r="Q33" s="1659"/>
      <c r="R33" s="1522">
        <f t="shared" si="4"/>
        <v>0</v>
      </c>
      <c r="S33" s="1644"/>
      <c r="T33" s="1734"/>
      <c r="U33" s="2887">
        <f t="shared" si="0"/>
        <v>0</v>
      </c>
      <c r="V33" s="2058"/>
      <c r="W33" s="2887"/>
      <c r="X33" s="2887"/>
      <c r="Y33" s="2887"/>
      <c r="Z33" s="2887"/>
      <c r="AA33" s="2887"/>
      <c r="AB33" s="2887"/>
      <c r="AC33" s="2887"/>
      <c r="AD33" s="2887"/>
      <c r="AE33" s="2887"/>
      <c r="AF33" s="2058"/>
      <c r="AG33" s="1641"/>
      <c r="AH33" s="1641"/>
      <c r="AI33" s="1641"/>
      <c r="AJ33" s="1641"/>
      <c r="AK33" s="1641"/>
      <c r="AL33" s="1641"/>
      <c r="AM33" s="1641"/>
      <c r="AN33" s="1641"/>
      <c r="AO33" s="2058"/>
      <c r="AP33" s="2058"/>
      <c r="AQ33" s="2058"/>
      <c r="AR33" s="2058"/>
      <c r="AS33" s="2058"/>
      <c r="AT33" s="2058"/>
      <c r="AU33" s="2058"/>
    </row>
    <row r="34" spans="1:47" s="2059" customFormat="1" ht="12.75" customHeight="1">
      <c r="A34" s="420"/>
      <c r="B34" s="1661"/>
      <c r="C34" s="1648"/>
      <c r="D34" s="1648"/>
      <c r="E34" s="2214"/>
      <c r="F34" s="1646"/>
      <c r="G34" s="2282"/>
      <c r="H34" s="2283"/>
      <c r="I34" s="2282"/>
      <c r="J34" s="1659"/>
      <c r="K34" s="1522" t="str">
        <f t="shared" si="1"/>
        <v/>
      </c>
      <c r="L34" s="1571"/>
      <c r="M34" s="1522" t="str">
        <f t="shared" si="2"/>
        <v/>
      </c>
      <c r="N34" s="1571"/>
      <c r="O34" s="1571"/>
      <c r="P34" s="1522">
        <f t="shared" si="3"/>
        <v>0</v>
      </c>
      <c r="Q34" s="1659"/>
      <c r="R34" s="1522">
        <f t="shared" si="4"/>
        <v>0</v>
      </c>
      <c r="S34" s="1644"/>
      <c r="T34" s="1734"/>
      <c r="U34" s="2887">
        <f t="shared" si="0"/>
        <v>0</v>
      </c>
      <c r="V34" s="2058"/>
      <c r="W34" s="2887"/>
      <c r="X34" s="2887"/>
      <c r="Y34" s="2887"/>
      <c r="Z34" s="2887"/>
      <c r="AA34" s="2887"/>
      <c r="AB34" s="2887"/>
      <c r="AC34" s="2887"/>
      <c r="AD34" s="2887"/>
      <c r="AE34" s="2887"/>
      <c r="AF34" s="2058"/>
      <c r="AG34" s="1641"/>
      <c r="AH34" s="1641"/>
      <c r="AI34" s="1641"/>
      <c r="AJ34" s="1641"/>
      <c r="AK34" s="1641"/>
      <c r="AL34" s="1641"/>
      <c r="AM34" s="1641"/>
      <c r="AN34" s="1641"/>
      <c r="AO34" s="2058"/>
      <c r="AP34" s="2058"/>
      <c r="AQ34" s="2058"/>
      <c r="AR34" s="2058"/>
      <c r="AS34" s="2058"/>
      <c r="AT34" s="2058"/>
      <c r="AU34" s="2058"/>
    </row>
    <row r="35" spans="1:47" s="2059" customFormat="1" ht="12.75" customHeight="1">
      <c r="A35" s="420"/>
      <c r="B35" s="1661"/>
      <c r="C35" s="1648"/>
      <c r="D35" s="1648"/>
      <c r="E35" s="2214"/>
      <c r="F35" s="1646"/>
      <c r="G35" s="2282"/>
      <c r="H35" s="2283"/>
      <c r="I35" s="2282"/>
      <c r="J35" s="1659"/>
      <c r="K35" s="1522" t="str">
        <f t="shared" si="1"/>
        <v/>
      </c>
      <c r="L35" s="1571"/>
      <c r="M35" s="1522" t="str">
        <f t="shared" si="2"/>
        <v/>
      </c>
      <c r="N35" s="1571"/>
      <c r="O35" s="1571"/>
      <c r="P35" s="1522">
        <f t="shared" si="3"/>
        <v>0</v>
      </c>
      <c r="Q35" s="1659"/>
      <c r="R35" s="1522">
        <f t="shared" si="4"/>
        <v>0</v>
      </c>
      <c r="S35" s="1644"/>
      <c r="T35" s="1734"/>
      <c r="U35" s="2887">
        <f t="shared" si="0"/>
        <v>0</v>
      </c>
      <c r="W35" s="2887">
        <f>Texte!A2214</f>
        <v>0</v>
      </c>
      <c r="X35" s="2887"/>
      <c r="Y35" s="2887"/>
      <c r="Z35" s="2887"/>
      <c r="AA35" s="2887"/>
      <c r="AB35" s="2887"/>
      <c r="AC35" s="2887"/>
      <c r="AD35" s="2887"/>
      <c r="AE35" s="2887"/>
      <c r="AF35" s="2058"/>
      <c r="AG35" s="1641"/>
      <c r="AH35" s="1641"/>
      <c r="AI35" s="1641"/>
      <c r="AJ35" s="1641"/>
      <c r="AK35" s="1641"/>
      <c r="AL35" s="1641"/>
      <c r="AM35" s="1641"/>
      <c r="AN35" s="1641"/>
      <c r="AO35" s="2058"/>
      <c r="AP35" s="2058"/>
      <c r="AQ35" s="2058"/>
      <c r="AR35" s="2058"/>
      <c r="AS35" s="2058"/>
      <c r="AT35" s="2058"/>
      <c r="AU35" s="2058"/>
    </row>
    <row r="36" spans="1:47" s="2059" customFormat="1" ht="12.75" customHeight="1">
      <c r="A36" s="420"/>
      <c r="B36" s="1661"/>
      <c r="C36" s="1648"/>
      <c r="D36" s="1648"/>
      <c r="E36" s="2214"/>
      <c r="F36" s="1646"/>
      <c r="G36" s="2282"/>
      <c r="H36" s="2283"/>
      <c r="I36" s="2282"/>
      <c r="J36" s="1659"/>
      <c r="K36" s="1522" t="str">
        <f t="shared" si="1"/>
        <v/>
      </c>
      <c r="L36" s="1571"/>
      <c r="M36" s="1522" t="str">
        <f t="shared" si="2"/>
        <v/>
      </c>
      <c r="N36" s="1571"/>
      <c r="O36" s="1571"/>
      <c r="P36" s="1522">
        <f t="shared" si="3"/>
        <v>0</v>
      </c>
      <c r="Q36" s="1659"/>
      <c r="R36" s="1522">
        <f t="shared" si="4"/>
        <v>0</v>
      </c>
      <c r="S36" s="1644"/>
      <c r="T36" s="1734"/>
      <c r="U36" s="2887">
        <f t="shared" si="0"/>
        <v>0</v>
      </c>
      <c r="V36" s="2058"/>
      <c r="W36" s="2887"/>
      <c r="X36" s="2887"/>
      <c r="Y36" s="2887"/>
      <c r="Z36" s="2887"/>
      <c r="AA36" s="2887"/>
      <c r="AB36" s="2887"/>
      <c r="AC36" s="2887"/>
      <c r="AD36" s="2887"/>
      <c r="AE36" s="2887"/>
      <c r="AF36" s="2058"/>
      <c r="AG36" s="1641"/>
      <c r="AH36" s="1641"/>
      <c r="AI36" s="1641"/>
      <c r="AJ36" s="1641"/>
      <c r="AK36" s="1641"/>
      <c r="AL36" s="1641"/>
      <c r="AM36" s="1641"/>
      <c r="AN36" s="1641"/>
      <c r="AO36" s="2058"/>
      <c r="AP36" s="2058"/>
      <c r="AQ36" s="2058"/>
      <c r="AR36" s="2058"/>
      <c r="AS36" s="2058"/>
      <c r="AT36" s="2058"/>
      <c r="AU36" s="2058"/>
    </row>
    <row r="37" spans="1:47" s="2059" customFormat="1" ht="12.75" customHeight="1">
      <c r="A37" s="420"/>
      <c r="B37" s="1661"/>
      <c r="C37" s="1648"/>
      <c r="D37" s="1648"/>
      <c r="E37" s="2214"/>
      <c r="F37" s="1646"/>
      <c r="G37" s="2282"/>
      <c r="H37" s="2283"/>
      <c r="I37" s="2282"/>
      <c r="J37" s="1659"/>
      <c r="K37" s="1522" t="str">
        <f t="shared" si="1"/>
        <v/>
      </c>
      <c r="L37" s="1571"/>
      <c r="M37" s="1522" t="str">
        <f t="shared" si="2"/>
        <v/>
      </c>
      <c r="N37" s="1571"/>
      <c r="O37" s="1571"/>
      <c r="P37" s="1522">
        <f t="shared" si="3"/>
        <v>0</v>
      </c>
      <c r="Q37" s="1659"/>
      <c r="R37" s="1522">
        <f t="shared" si="4"/>
        <v>0</v>
      </c>
      <c r="S37" s="1643"/>
      <c r="T37" s="1734"/>
      <c r="U37" s="2887">
        <f t="shared" si="0"/>
        <v>0</v>
      </c>
      <c r="V37" s="2058"/>
      <c r="W37" s="2887"/>
      <c r="X37" s="2891" t="s">
        <v>2117</v>
      </c>
      <c r="Y37" s="2887"/>
      <c r="Z37" s="2887"/>
      <c r="AA37" s="2887"/>
      <c r="AB37" s="2887"/>
      <c r="AC37" s="2887"/>
      <c r="AD37" s="2887"/>
      <c r="AE37" s="2887"/>
      <c r="AF37" s="2058"/>
      <c r="AG37" s="1641"/>
      <c r="AH37" s="1641"/>
      <c r="AI37" s="1641"/>
      <c r="AJ37" s="1641"/>
      <c r="AK37" s="1641"/>
      <c r="AL37" s="1641"/>
      <c r="AM37" s="1641"/>
      <c r="AN37" s="1641"/>
      <c r="AO37" s="2058"/>
      <c r="AP37" s="2058"/>
      <c r="AQ37" s="2058"/>
      <c r="AR37" s="2058"/>
      <c r="AS37" s="2058"/>
      <c r="AT37" s="2058"/>
      <c r="AU37" s="2058"/>
    </row>
    <row r="38" spans="1:47" s="2059" customFormat="1" ht="12.75" customHeight="1">
      <c r="A38" s="420"/>
      <c r="B38" s="1658" t="str">
        <f>Texte!A2163</f>
        <v>Weitere raufutterverzehrende Tiere</v>
      </c>
      <c r="C38" s="995"/>
      <c r="D38" s="995"/>
      <c r="E38" s="995"/>
      <c r="F38" s="995"/>
      <c r="G38" s="1657"/>
      <c r="H38" s="1656"/>
      <c r="I38" s="1655"/>
      <c r="J38" s="1654"/>
      <c r="K38" s="1653"/>
      <c r="L38" s="1652"/>
      <c r="M38" s="1652" t="str">
        <f t="shared" si="2"/>
        <v/>
      </c>
      <c r="N38" s="1652"/>
      <c r="O38" s="1652"/>
      <c r="P38" s="1652"/>
      <c r="Q38" s="1652"/>
      <c r="R38" s="1653"/>
      <c r="S38" s="3415" t="str">
        <f>IF(SUM(SaveGVE)&gt;0,Texte!A2086,"")</f>
        <v/>
      </c>
      <c r="T38" s="1734"/>
      <c r="U38" s="2887"/>
      <c r="W38" s="2887" t="s">
        <v>54</v>
      </c>
      <c r="X38" s="2891" t="s">
        <v>6528</v>
      </c>
      <c r="Y38" s="2887" t="s">
        <v>3614</v>
      </c>
      <c r="Z38" s="2887"/>
      <c r="AA38" s="2887"/>
      <c r="AB38" s="2887"/>
      <c r="AC38" s="2887"/>
      <c r="AD38" s="2887"/>
      <c r="AE38" s="2887"/>
      <c r="AF38" s="2058"/>
      <c r="AG38" s="1641"/>
      <c r="AH38" s="1641"/>
      <c r="AI38" s="1641"/>
      <c r="AJ38" s="1641"/>
      <c r="AK38" s="1641"/>
      <c r="AL38" s="1641"/>
      <c r="AM38" s="1641"/>
      <c r="AN38" s="1641"/>
      <c r="AO38" s="2058"/>
      <c r="AP38" s="2058"/>
      <c r="AQ38" s="2058"/>
      <c r="AR38" s="2058"/>
      <c r="AS38" s="2058"/>
      <c r="AT38" s="2058"/>
      <c r="AU38" s="2058"/>
    </row>
    <row r="39" spans="1:47" s="2059" customFormat="1" ht="12.75" customHeight="1">
      <c r="A39" s="1647"/>
      <c r="B39" s="1661" t="s">
        <v>1258</v>
      </c>
      <c r="C39" s="1648"/>
      <c r="D39" s="1648"/>
      <c r="E39" s="2214"/>
      <c r="F39" s="1646" t="s">
        <v>5735</v>
      </c>
      <c r="G39" s="2282">
        <v>5</v>
      </c>
      <c r="H39" s="2283">
        <v>0</v>
      </c>
      <c r="I39" s="2282">
        <v>5</v>
      </c>
      <c r="J39" s="1659">
        <v>17</v>
      </c>
      <c r="K39" s="1522">
        <f t="shared" si="1"/>
        <v>85</v>
      </c>
      <c r="L39" s="1571"/>
      <c r="M39" s="1522">
        <f t="shared" si="2"/>
        <v>0</v>
      </c>
      <c r="N39" s="1571">
        <v>0</v>
      </c>
      <c r="O39" s="1571">
        <v>0</v>
      </c>
      <c r="P39" s="1522">
        <f t="shared" ref="P39:P47" si="5">N39*O39</f>
        <v>0</v>
      </c>
      <c r="Q39" s="1659">
        <f>IF($N$39 *  $O$39&gt; 0, 4.65753424657534, 0)</f>
        <v>0</v>
      </c>
      <c r="R39" s="1522">
        <f t="shared" ref="R39:R47" si="6">Q39*P39*0.01</f>
        <v>0</v>
      </c>
      <c r="S39" s="1651"/>
      <c r="T39" s="1734">
        <v>0.7</v>
      </c>
      <c r="U39" s="3414">
        <f t="shared" ref="U39:U47" si="7">$G39*$T39</f>
        <v>3.5</v>
      </c>
      <c r="V39" s="3408">
        <v>220</v>
      </c>
      <c r="W39" s="3414">
        <f t="shared" ref="W39:W47" si="8">IF(P39&gt;0,S39*100/P39,0)</f>
        <v>0</v>
      </c>
      <c r="X39" s="3414">
        <f>IF(OR(AND(V39=300,W39&gt;0.25),AND(V39=400,W39&gt;0.2)),1,0)</f>
        <v>0</v>
      </c>
      <c r="Y39" s="2887"/>
      <c r="Z39" s="2887"/>
      <c r="AA39" s="2887"/>
      <c r="AB39" s="2887"/>
      <c r="AC39" s="2887"/>
      <c r="AD39" s="2887"/>
      <c r="AE39" s="2887"/>
      <c r="AF39" s="2058"/>
      <c r="AG39" s="1641"/>
      <c r="AH39" s="1641"/>
      <c r="AI39" s="1641"/>
      <c r="AJ39" s="1641"/>
      <c r="AK39" s="1641"/>
      <c r="AL39" s="1641"/>
      <c r="AM39" s="1641"/>
      <c r="AN39" s="1641"/>
      <c r="AO39" s="2058"/>
      <c r="AP39" s="2058"/>
      <c r="AQ39" s="2058"/>
      <c r="AR39" s="2058"/>
      <c r="AS39" s="2058"/>
      <c r="AT39" s="2058"/>
      <c r="AU39" s="2058"/>
    </row>
    <row r="40" spans="1:47" s="2059" customFormat="1" ht="12.75" customHeight="1">
      <c r="A40" s="1647"/>
      <c r="B40" s="1661" t="s">
        <v>12155</v>
      </c>
      <c r="C40" s="1648"/>
      <c r="D40" s="1648">
        <v>450</v>
      </c>
      <c r="E40" s="2214"/>
      <c r="F40" s="1646" t="s">
        <v>5735</v>
      </c>
      <c r="G40" s="2282">
        <v>219</v>
      </c>
      <c r="H40" s="2283">
        <v>0</v>
      </c>
      <c r="I40" s="2282">
        <v>219</v>
      </c>
      <c r="J40" s="1659">
        <v>8.9</v>
      </c>
      <c r="K40" s="1522">
        <f t="shared" si="1"/>
        <v>1949.1000000000001</v>
      </c>
      <c r="L40" s="1571"/>
      <c r="M40" s="1522">
        <f t="shared" si="2"/>
        <v>0</v>
      </c>
      <c r="N40" s="1571">
        <v>0</v>
      </c>
      <c r="O40" s="1571">
        <v>0</v>
      </c>
      <c r="P40" s="1522">
        <f t="shared" si="5"/>
        <v>0</v>
      </c>
      <c r="Q40" s="1659">
        <f>IF($N$40 *  $O$40&gt; 0, 2.43835616438356, 0)</f>
        <v>0</v>
      </c>
      <c r="R40" s="2221">
        <f t="shared" si="6"/>
        <v>0</v>
      </c>
      <c r="S40" s="3455"/>
      <c r="T40" s="1734">
        <v>0.25</v>
      </c>
      <c r="U40" s="3414">
        <f t="shared" si="7"/>
        <v>54.75</v>
      </c>
      <c r="V40" s="3408">
        <v>300</v>
      </c>
      <c r="W40" s="3414">
        <f t="shared" si="8"/>
        <v>0</v>
      </c>
      <c r="X40" s="3414">
        <f>IF(OR(AND(V40=300,W40&gt;0.25),AND(V40=400,W40&gt;0.2)),1,0)</f>
        <v>0</v>
      </c>
      <c r="Y40" s="2887"/>
      <c r="Z40" s="2887"/>
      <c r="AA40" s="2887"/>
      <c r="AB40" s="2887"/>
      <c r="AC40" s="2887"/>
      <c r="AD40" s="2887"/>
      <c r="AE40" s="2887"/>
      <c r="AF40" s="2058"/>
      <c r="AG40" s="1641"/>
      <c r="AH40" s="1641"/>
      <c r="AI40" s="1641"/>
      <c r="AJ40" s="1641"/>
      <c r="AK40" s="1641"/>
      <c r="AL40" s="1641"/>
      <c r="AM40" s="1641"/>
      <c r="AN40" s="1641"/>
      <c r="AO40" s="2058"/>
      <c r="AP40" s="2058"/>
      <c r="AQ40" s="2058"/>
      <c r="AR40" s="2058"/>
      <c r="AS40" s="2058"/>
      <c r="AT40" s="2058"/>
      <c r="AU40" s="2058"/>
    </row>
    <row r="41" spans="1:47" s="2059" customFormat="1" ht="12.75" customHeight="1">
      <c r="A41" s="1647"/>
      <c r="B41" s="1661" t="s">
        <v>12144</v>
      </c>
      <c r="C41" s="1648"/>
      <c r="D41" s="1648"/>
      <c r="E41" s="2214"/>
      <c r="F41" s="1646" t="s">
        <v>5735</v>
      </c>
      <c r="G41" s="2282">
        <v>45</v>
      </c>
      <c r="H41" s="2283">
        <v>0</v>
      </c>
      <c r="I41" s="2282">
        <v>45</v>
      </c>
      <c r="J41" s="1659">
        <v>6.5</v>
      </c>
      <c r="K41" s="1522">
        <f t="shared" si="1"/>
        <v>292.5</v>
      </c>
      <c r="L41" s="1571"/>
      <c r="M41" s="1522">
        <f t="shared" si="2"/>
        <v>0</v>
      </c>
      <c r="N41" s="1571">
        <v>0</v>
      </c>
      <c r="O41" s="1571">
        <v>0</v>
      </c>
      <c r="P41" s="1522">
        <f t="shared" si="5"/>
        <v>0</v>
      </c>
      <c r="Q41" s="1659">
        <f>IF($N$41 *  $O$41&gt; 0, 1.78082191780822, 0)</f>
        <v>0</v>
      </c>
      <c r="R41" s="1522">
        <f t="shared" si="6"/>
        <v>0</v>
      </c>
      <c r="S41" s="3456"/>
      <c r="T41" s="1734">
        <v>0.17</v>
      </c>
      <c r="U41" s="3414">
        <f t="shared" si="7"/>
        <v>7.65</v>
      </c>
      <c r="V41" s="3408">
        <v>310</v>
      </c>
      <c r="W41" s="3414">
        <f t="shared" si="8"/>
        <v>0</v>
      </c>
      <c r="X41" s="3414">
        <f t="shared" ref="X41:X47" si="9">IF(OR(AND(V41=300,W41&gt;0.25),AND(V41=400,W41&gt;0.2)),1,0)</f>
        <v>0</v>
      </c>
      <c r="Y41" s="2887"/>
      <c r="Z41" s="2887"/>
      <c r="AA41" s="2887"/>
      <c r="AB41" s="2887"/>
      <c r="AC41" s="2887"/>
      <c r="AD41" s="2887"/>
      <c r="AE41" s="2887"/>
      <c r="AF41" s="2058"/>
      <c r="AG41" s="1641"/>
      <c r="AH41" s="1641"/>
      <c r="AI41" s="1641"/>
      <c r="AJ41" s="1641"/>
      <c r="AK41" s="1641"/>
      <c r="AL41" s="1641"/>
      <c r="AM41" s="1641"/>
      <c r="AN41" s="1641"/>
      <c r="AO41" s="2058"/>
      <c r="AP41" s="2058"/>
      <c r="AQ41" s="2058"/>
      <c r="AR41" s="2058"/>
      <c r="AS41" s="2058"/>
      <c r="AT41" s="2058"/>
      <c r="AU41" s="2058"/>
    </row>
    <row r="42" spans="1:47" s="2059" customFormat="1" ht="12.75" customHeight="1">
      <c r="A42" s="1647"/>
      <c r="B42" s="1661" t="s">
        <v>12182</v>
      </c>
      <c r="C42" s="1648"/>
      <c r="D42" s="1648"/>
      <c r="E42" s="2214"/>
      <c r="F42" s="1646" t="s">
        <v>5735</v>
      </c>
      <c r="G42" s="2282">
        <v>106</v>
      </c>
      <c r="H42" s="2283">
        <v>0</v>
      </c>
      <c r="I42" s="2282">
        <v>106</v>
      </c>
      <c r="J42" s="1659">
        <v>4.9000000000000004</v>
      </c>
      <c r="K42" s="1522">
        <f t="shared" si="1"/>
        <v>519.40000000000009</v>
      </c>
      <c r="L42" s="1571"/>
      <c r="M42" s="1522">
        <f t="shared" si="2"/>
        <v>0</v>
      </c>
      <c r="N42" s="1571">
        <v>0</v>
      </c>
      <c r="O42" s="1571">
        <v>0</v>
      </c>
      <c r="P42" s="1522">
        <f t="shared" si="5"/>
        <v>0</v>
      </c>
      <c r="Q42" s="1659">
        <f>IF($N$42 *  $O$42&gt; 0, 1.34246575342466, 0)</f>
        <v>0</v>
      </c>
      <c r="R42" s="1522">
        <f t="shared" si="6"/>
        <v>0</v>
      </c>
      <c r="S42" s="1644"/>
      <c r="T42" s="1734">
        <v>0.06</v>
      </c>
      <c r="U42" s="3414">
        <f t="shared" si="7"/>
        <v>6.3599999999999994</v>
      </c>
      <c r="V42" s="3408">
        <v>320</v>
      </c>
      <c r="W42" s="3414">
        <f t="shared" si="8"/>
        <v>0</v>
      </c>
      <c r="X42" s="3414">
        <f t="shared" si="9"/>
        <v>0</v>
      </c>
      <c r="Y42" s="2887"/>
      <c r="Z42" s="2887"/>
      <c r="AA42" s="2887"/>
      <c r="AB42" s="2887"/>
      <c r="AC42" s="2887"/>
      <c r="AD42" s="2887"/>
      <c r="AE42" s="2887"/>
      <c r="AF42" s="2058"/>
      <c r="AG42" s="1641"/>
      <c r="AH42" s="1641"/>
      <c r="AI42" s="1641"/>
      <c r="AJ42" s="1641"/>
      <c r="AK42" s="1641"/>
      <c r="AL42" s="1641"/>
      <c r="AM42" s="1641"/>
      <c r="AN42" s="1641"/>
      <c r="AO42" s="2058"/>
      <c r="AP42" s="2058"/>
      <c r="AQ42" s="2058"/>
      <c r="AR42" s="2058"/>
      <c r="AS42" s="2058"/>
      <c r="AT42" s="2058"/>
      <c r="AU42" s="2058"/>
    </row>
    <row r="43" spans="1:47" s="2059" customFormat="1" ht="12.75" customHeight="1">
      <c r="A43" s="1647"/>
      <c r="B43" s="1661" t="s">
        <v>12145</v>
      </c>
      <c r="C43" s="1648"/>
      <c r="D43" s="1648"/>
      <c r="E43" s="2214"/>
      <c r="F43" s="1646" t="s">
        <v>5735</v>
      </c>
      <c r="G43" s="2282">
        <v>129</v>
      </c>
      <c r="H43" s="2283">
        <v>0</v>
      </c>
      <c r="I43" s="2282">
        <v>129</v>
      </c>
      <c r="J43" s="1659">
        <v>1.4</v>
      </c>
      <c r="K43" s="1522">
        <f t="shared" si="1"/>
        <v>180.6</v>
      </c>
      <c r="L43" s="1571"/>
      <c r="M43" s="1522">
        <f t="shared" si="2"/>
        <v>0</v>
      </c>
      <c r="N43" s="1571">
        <v>0</v>
      </c>
      <c r="O43" s="1571">
        <v>0</v>
      </c>
      <c r="P43" s="1522">
        <f t="shared" si="5"/>
        <v>0</v>
      </c>
      <c r="Q43" s="1659">
        <f>IF($N$43 *  $O$43&gt; 0, 0.383561643835616, 0)</f>
        <v>0</v>
      </c>
      <c r="R43" s="1522">
        <f t="shared" si="6"/>
        <v>0</v>
      </c>
      <c r="S43" s="1644"/>
      <c r="T43" s="1734">
        <v>0.03</v>
      </c>
      <c r="U43" s="3414">
        <f t="shared" si="7"/>
        <v>3.8699999999999997</v>
      </c>
      <c r="V43" s="3408">
        <v>330</v>
      </c>
      <c r="W43" s="3414">
        <f t="shared" si="8"/>
        <v>0</v>
      </c>
      <c r="X43" s="3414">
        <f t="shared" si="9"/>
        <v>0</v>
      </c>
      <c r="Y43" s="2887"/>
      <c r="Z43" s="2887"/>
      <c r="AA43" s="2887"/>
      <c r="AB43" s="2887"/>
      <c r="AC43" s="2887"/>
      <c r="AD43" s="2887"/>
      <c r="AE43" s="2887"/>
      <c r="AF43" s="2058"/>
      <c r="AG43" s="1641"/>
      <c r="AH43" s="1641"/>
      <c r="AI43" s="1641"/>
      <c r="AJ43" s="1641"/>
      <c r="AK43" s="1641"/>
      <c r="AL43" s="1641"/>
      <c r="AM43" s="1641"/>
      <c r="AN43" s="1641"/>
      <c r="AO43" s="2058"/>
      <c r="AP43" s="2058"/>
      <c r="AQ43" s="2058"/>
      <c r="AR43" s="2058"/>
      <c r="AS43" s="2058"/>
      <c r="AT43" s="2058"/>
      <c r="AU43" s="2058"/>
    </row>
    <row r="44" spans="1:47" s="2059" customFormat="1" ht="12.75" customHeight="1">
      <c r="A44" s="1647"/>
      <c r="B44" s="1661" t="s">
        <v>12156</v>
      </c>
      <c r="C44" s="1648"/>
      <c r="D44" s="1648">
        <v>550</v>
      </c>
      <c r="E44" s="2214"/>
      <c r="F44" s="1646" t="s">
        <v>5735</v>
      </c>
      <c r="G44" s="2282">
        <v>3</v>
      </c>
      <c r="H44" s="2283">
        <v>0</v>
      </c>
      <c r="I44" s="2282">
        <v>3</v>
      </c>
      <c r="J44" s="1659">
        <v>6.2</v>
      </c>
      <c r="K44" s="1522">
        <f t="shared" si="1"/>
        <v>18.600000000000001</v>
      </c>
      <c r="L44" s="1571"/>
      <c r="M44" s="1522">
        <f t="shared" si="2"/>
        <v>0</v>
      </c>
      <c r="N44" s="1571">
        <v>0</v>
      </c>
      <c r="O44" s="1571">
        <v>0</v>
      </c>
      <c r="P44" s="1522">
        <f t="shared" si="5"/>
        <v>0</v>
      </c>
      <c r="Q44" s="1659">
        <f>IF($N$44 *  $O$44&gt; 0, 1.6986301369863, 0)</f>
        <v>0</v>
      </c>
      <c r="R44" s="2221">
        <f t="shared" si="6"/>
        <v>0</v>
      </c>
      <c r="S44" s="3455"/>
      <c r="T44" s="1734">
        <v>0.2</v>
      </c>
      <c r="U44" s="3414">
        <f t="shared" si="7"/>
        <v>0.60000000000000009</v>
      </c>
      <c r="V44" s="3408">
        <v>400</v>
      </c>
      <c r="W44" s="3414">
        <f t="shared" si="8"/>
        <v>0</v>
      </c>
      <c r="X44" s="3414">
        <f t="shared" si="9"/>
        <v>0</v>
      </c>
      <c r="Y44" s="2887"/>
      <c r="Z44" s="2887"/>
      <c r="AA44" s="2887"/>
      <c r="AB44" s="2887"/>
      <c r="AC44" s="2887"/>
      <c r="AD44" s="2887"/>
      <c r="AE44" s="2887"/>
      <c r="AF44" s="2058"/>
      <c r="AG44" s="1641"/>
      <c r="AH44" s="1641"/>
      <c r="AI44" s="1641"/>
      <c r="AJ44" s="1641"/>
      <c r="AK44" s="1641"/>
      <c r="AL44" s="1641"/>
      <c r="AM44" s="1641"/>
      <c r="AN44" s="1641"/>
      <c r="AO44" s="2058"/>
      <c r="AP44" s="2058"/>
      <c r="AQ44" s="2058"/>
      <c r="AR44" s="2058"/>
      <c r="AS44" s="2058"/>
      <c r="AT44" s="2058"/>
      <c r="AU44" s="2058"/>
    </row>
    <row r="45" spans="1:47" s="2059" customFormat="1" ht="12.75" customHeight="1">
      <c r="A45" s="1647"/>
      <c r="B45" s="1661" t="s">
        <v>12146</v>
      </c>
      <c r="C45" s="1648"/>
      <c r="D45" s="1648"/>
      <c r="E45" s="2214"/>
      <c r="F45" s="1646" t="s">
        <v>5735</v>
      </c>
      <c r="G45" s="2282">
        <v>1.55</v>
      </c>
      <c r="H45" s="2283">
        <v>0</v>
      </c>
      <c r="I45" s="2282">
        <v>1.55</v>
      </c>
      <c r="J45" s="1659">
        <v>5.7</v>
      </c>
      <c r="K45" s="1522">
        <f t="shared" si="1"/>
        <v>8.8350000000000009</v>
      </c>
      <c r="L45" s="1571"/>
      <c r="M45" s="1522">
        <f t="shared" si="2"/>
        <v>0</v>
      </c>
      <c r="N45" s="1571">
        <v>0</v>
      </c>
      <c r="O45" s="1571">
        <v>0</v>
      </c>
      <c r="P45" s="1522">
        <f t="shared" si="5"/>
        <v>0</v>
      </c>
      <c r="Q45" s="1659">
        <f>IF($N$45 *  $O$45&gt; 0, 1.56164383561644, 0)</f>
        <v>0</v>
      </c>
      <c r="R45" s="1522">
        <f t="shared" si="6"/>
        <v>0</v>
      </c>
      <c r="S45" s="3456"/>
      <c r="T45" s="1734">
        <v>0.17</v>
      </c>
      <c r="U45" s="3414">
        <f t="shared" si="7"/>
        <v>0.26350000000000001</v>
      </c>
      <c r="V45" s="3408">
        <v>410</v>
      </c>
      <c r="W45" s="3414">
        <f t="shared" si="8"/>
        <v>0</v>
      </c>
      <c r="X45" s="3414">
        <f t="shared" si="9"/>
        <v>0</v>
      </c>
      <c r="Y45" s="2887"/>
      <c r="Z45" s="2887"/>
      <c r="AA45" s="2887"/>
      <c r="AB45" s="2887"/>
      <c r="AC45" s="2887"/>
      <c r="AD45" s="2887"/>
      <c r="AE45" s="2887"/>
      <c r="AF45" s="2058"/>
      <c r="AG45" s="1641"/>
      <c r="AH45" s="1641"/>
      <c r="AI45" s="1641"/>
      <c r="AJ45" s="1641"/>
      <c r="AK45" s="1641"/>
      <c r="AL45" s="1641"/>
      <c r="AM45" s="1641"/>
      <c r="AN45" s="1641"/>
      <c r="AO45" s="2058"/>
      <c r="AP45" s="2058"/>
      <c r="AQ45" s="2058"/>
      <c r="AR45" s="2058"/>
      <c r="AS45" s="2058"/>
      <c r="AT45" s="2058"/>
      <c r="AU45" s="2058"/>
    </row>
    <row r="46" spans="1:47" s="2059" customFormat="1" ht="12.75" customHeight="1">
      <c r="A46" s="1647"/>
      <c r="B46" s="1661" t="s">
        <v>12183</v>
      </c>
      <c r="C46" s="1648"/>
      <c r="D46" s="1648"/>
      <c r="E46" s="2214"/>
      <c r="F46" s="1646" t="s">
        <v>5735</v>
      </c>
      <c r="G46" s="2282">
        <v>2.79</v>
      </c>
      <c r="H46" s="2283">
        <v>0</v>
      </c>
      <c r="I46" s="2282">
        <v>2.79</v>
      </c>
      <c r="J46" s="1659">
        <v>3.5</v>
      </c>
      <c r="K46" s="1522">
        <f t="shared" si="1"/>
        <v>9.7650000000000006</v>
      </c>
      <c r="L46" s="1571"/>
      <c r="M46" s="1522">
        <f t="shared" si="2"/>
        <v>0</v>
      </c>
      <c r="N46" s="1571">
        <v>0</v>
      </c>
      <c r="O46" s="1571">
        <v>0</v>
      </c>
      <c r="P46" s="1522">
        <f t="shared" si="5"/>
        <v>0</v>
      </c>
      <c r="Q46" s="1659">
        <f>IF($N$46 *  $O$46&gt; 0, 0.958904109589041, 0)</f>
        <v>0</v>
      </c>
      <c r="R46" s="1522">
        <f t="shared" si="6"/>
        <v>0</v>
      </c>
      <c r="S46" s="1644"/>
      <c r="T46" s="1734">
        <v>0.06</v>
      </c>
      <c r="U46" s="3414">
        <f t="shared" si="7"/>
        <v>0.16739999999999999</v>
      </c>
      <c r="V46" s="3408">
        <v>420</v>
      </c>
      <c r="W46" s="3414">
        <f t="shared" si="8"/>
        <v>0</v>
      </c>
      <c r="X46" s="3414">
        <f t="shared" si="9"/>
        <v>0</v>
      </c>
      <c r="Y46" s="2887"/>
      <c r="Z46" s="2887"/>
      <c r="AA46" s="2887"/>
      <c r="AB46" s="2887"/>
      <c r="AC46" s="2887"/>
      <c r="AD46" s="2887"/>
      <c r="AE46" s="2887"/>
      <c r="AF46" s="2058"/>
      <c r="AG46" s="1641"/>
      <c r="AH46" s="1641"/>
      <c r="AI46" s="1641"/>
      <c r="AJ46" s="1641"/>
      <c r="AK46" s="1641"/>
      <c r="AL46" s="1641"/>
      <c r="AM46" s="1641"/>
      <c r="AN46" s="1641"/>
      <c r="AO46" s="2058"/>
      <c r="AP46" s="2058"/>
      <c r="AQ46" s="2058"/>
      <c r="AR46" s="2058"/>
      <c r="AS46" s="2058"/>
      <c r="AT46" s="2058"/>
      <c r="AU46" s="2058"/>
    </row>
    <row r="47" spans="1:47" s="2059" customFormat="1" ht="12.75" customHeight="1">
      <c r="A47" s="1647"/>
      <c r="B47" s="1950" t="s">
        <v>12150</v>
      </c>
      <c r="C47" s="1650"/>
      <c r="D47" s="1650"/>
      <c r="E47" s="2215"/>
      <c r="F47" s="1525" t="s">
        <v>5735</v>
      </c>
      <c r="G47" s="2284">
        <v>1.99</v>
      </c>
      <c r="H47" s="2285">
        <v>0</v>
      </c>
      <c r="I47" s="2284">
        <v>1.99</v>
      </c>
      <c r="J47" s="1951">
        <v>0.7</v>
      </c>
      <c r="K47" s="1513">
        <f t="shared" si="1"/>
        <v>1.393</v>
      </c>
      <c r="L47" s="1583"/>
      <c r="M47" s="1522">
        <f t="shared" si="2"/>
        <v>0</v>
      </c>
      <c r="N47" s="1583">
        <v>0</v>
      </c>
      <c r="O47" s="1583">
        <v>0</v>
      </c>
      <c r="P47" s="1513">
        <f t="shared" si="5"/>
        <v>0</v>
      </c>
      <c r="Q47" s="1951">
        <f>IF($N$47 *  $O$47&gt; 0, 0.191780821917808, 0)</f>
        <v>0</v>
      </c>
      <c r="R47" s="1513">
        <f t="shared" si="6"/>
        <v>0</v>
      </c>
      <c r="S47" s="1644"/>
      <c r="T47" s="1734">
        <v>0.03</v>
      </c>
      <c r="U47" s="3414">
        <f t="shared" si="7"/>
        <v>5.9699999999999996E-2</v>
      </c>
      <c r="V47" s="3408">
        <v>430</v>
      </c>
      <c r="W47" s="3414">
        <f t="shared" si="8"/>
        <v>0</v>
      </c>
      <c r="X47" s="3414">
        <f t="shared" si="9"/>
        <v>0</v>
      </c>
      <c r="Y47" s="2887"/>
      <c r="Z47" s="2887"/>
      <c r="AA47" s="2887"/>
      <c r="AB47" s="2887"/>
      <c r="AC47" s="2887"/>
      <c r="AD47" s="2887"/>
      <c r="AE47" s="2887"/>
      <c r="AF47" s="2058"/>
      <c r="AG47" s="1641"/>
      <c r="AH47" s="1641"/>
      <c r="AI47" s="1641"/>
      <c r="AJ47" s="1641"/>
      <c r="AK47" s="1641"/>
      <c r="AL47" s="1641"/>
      <c r="AM47" s="1641"/>
      <c r="AN47" s="1641"/>
      <c r="AO47" s="2058"/>
      <c r="AP47" s="2058"/>
      <c r="AQ47" s="2058"/>
      <c r="AR47" s="2058"/>
      <c r="AS47" s="2058"/>
      <c r="AT47" s="2058"/>
      <c r="AU47" s="2058"/>
    </row>
    <row r="48" spans="1:47" s="2059" customFormat="1" ht="12.75" customHeight="1">
      <c r="A48" s="1647"/>
      <c r="B48" s="1598"/>
      <c r="C48" s="1517"/>
      <c r="D48" s="1517"/>
      <c r="E48" s="1517"/>
      <c r="F48" s="1322"/>
      <c r="G48" s="1322"/>
      <c r="H48" s="1322"/>
      <c r="I48" s="1596"/>
      <c r="J48" s="1958"/>
      <c r="K48" s="1639">
        <f>SUM(K21:K47)</f>
        <v>3065.1930000000002</v>
      </c>
      <c r="L48" s="1960" t="str">
        <f>Texte!A2117</f>
        <v>dt TS</v>
      </c>
      <c r="M48" s="1639">
        <f>SUM(M21:M47)</f>
        <v>0</v>
      </c>
      <c r="N48" s="1597" t="str">
        <f>Texte!A2115</f>
        <v>dt FS</v>
      </c>
      <c r="O48" s="1962"/>
      <c r="P48" s="1962"/>
      <c r="Q48" s="1963" t="str">
        <f>Texte!A2117</f>
        <v>dt TS</v>
      </c>
      <c r="R48" s="1639">
        <f>SUM(R21:R47)</f>
        <v>0</v>
      </c>
      <c r="S48" s="1687">
        <f>SUM(S21:S47)</f>
        <v>0</v>
      </c>
      <c r="T48" s="1548" t="str">
        <f>Texte!A2115</f>
        <v>dt FS</v>
      </c>
      <c r="U48" s="2887"/>
      <c r="V48" s="2058"/>
      <c r="W48" s="2887"/>
      <c r="X48" s="2887"/>
      <c r="Y48" s="2887"/>
      <c r="Z48" s="2887"/>
      <c r="AA48" s="2887"/>
      <c r="AB48" s="2887"/>
      <c r="AC48" s="2887"/>
      <c r="AD48" s="2887"/>
      <c r="AE48" s="2887"/>
      <c r="AF48" s="2058"/>
      <c r="AG48" s="1641"/>
      <c r="AH48" s="1641"/>
      <c r="AI48" s="1641"/>
      <c r="AJ48" s="1641"/>
      <c r="AK48" s="1641"/>
      <c r="AL48" s="1641"/>
      <c r="AM48" s="1641"/>
      <c r="AN48" s="1641"/>
      <c r="AO48" s="2058"/>
      <c r="AP48" s="2058"/>
      <c r="AQ48" s="2058"/>
      <c r="AR48" s="2058"/>
      <c r="AS48" s="2058"/>
      <c r="AT48" s="2058"/>
      <c r="AU48" s="2058"/>
    </row>
    <row r="49" spans="1:47" s="2059" customFormat="1" ht="12.75" customHeight="1">
      <c r="A49" s="1647"/>
      <c r="B49" s="1952" t="str">
        <f>Texte!A2183</f>
        <v>Übrige Tierkategorien mit GF-Verzehr</v>
      </c>
      <c r="C49" s="1953"/>
      <c r="D49" s="1953"/>
      <c r="E49" s="1953"/>
      <c r="F49" s="1953"/>
      <c r="G49" s="1954"/>
      <c r="H49" s="1955"/>
      <c r="I49" s="1956"/>
      <c r="J49" s="1957"/>
      <c r="K49" s="1653"/>
      <c r="L49" s="1961"/>
      <c r="M49" s="1959"/>
      <c r="N49" s="1961"/>
      <c r="O49" s="1961"/>
      <c r="P49" s="1961"/>
      <c r="Q49" s="1957"/>
      <c r="R49" s="1653"/>
      <c r="S49" s="1671"/>
      <c r="T49" s="1734"/>
      <c r="U49" s="2887"/>
      <c r="V49" s="2058"/>
      <c r="W49" s="2887"/>
      <c r="X49" s="2887"/>
      <c r="Y49" s="2887"/>
      <c r="Z49" s="2887"/>
      <c r="AA49" s="2887"/>
      <c r="AB49" s="2887"/>
      <c r="AC49" s="2887"/>
      <c r="AD49" s="2887"/>
      <c r="AE49" s="2887"/>
      <c r="AF49" s="2058"/>
      <c r="AG49" s="1641"/>
      <c r="AH49" s="1641"/>
      <c r="AI49" s="1641"/>
      <c r="AJ49" s="1641"/>
      <c r="AK49" s="1641"/>
      <c r="AL49" s="1641"/>
      <c r="AM49" s="1641"/>
      <c r="AN49" s="1641"/>
      <c r="AO49" s="2058"/>
      <c r="AP49" s="2058"/>
      <c r="AQ49" s="2058"/>
      <c r="AR49" s="2058"/>
      <c r="AS49" s="2058"/>
      <c r="AT49" s="2058"/>
      <c r="AU49" s="2058"/>
    </row>
    <row r="50" spans="1:47" s="2059" customFormat="1" ht="12.75" customHeight="1">
      <c r="A50" s="420"/>
      <c r="B50" s="1598"/>
      <c r="C50" s="1456"/>
      <c r="D50" s="1456"/>
      <c r="E50" s="1456"/>
      <c r="F50" s="1677"/>
      <c r="G50" s="1677"/>
      <c r="H50" s="1676"/>
      <c r="I50" s="1676"/>
      <c r="J50" s="1545" t="str">
        <f>Texte!A2112</f>
        <v>Grundfutter-</v>
      </c>
      <c r="K50" s="1675"/>
      <c r="L50" s="1545" t="str">
        <f>Texte!A2184</f>
        <v xml:space="preserve">davon Wiesen- </v>
      </c>
      <c r="M50" s="1675"/>
      <c r="N50" s="1880"/>
      <c r="O50" s="1880"/>
      <c r="P50" s="1880"/>
      <c r="Q50" s="1880"/>
      <c r="R50" s="1651"/>
      <c r="S50" s="1651"/>
      <c r="T50" s="1735"/>
      <c r="U50" s="2887"/>
      <c r="V50" s="2058"/>
      <c r="W50" s="2887"/>
      <c r="X50" s="2887"/>
      <c r="Y50" s="2887"/>
      <c r="Z50" s="2887"/>
      <c r="AA50" s="2887"/>
      <c r="AB50" s="2887"/>
      <c r="AC50" s="2887"/>
      <c r="AD50" s="2887"/>
      <c r="AE50" s="2887"/>
      <c r="AF50" s="2058"/>
      <c r="AG50" s="1641"/>
      <c r="AH50" s="1641"/>
      <c r="AI50" s="1641"/>
      <c r="AJ50" s="1641"/>
      <c r="AK50" s="1641"/>
      <c r="AL50" s="1641"/>
      <c r="AM50" s="1641"/>
      <c r="AN50" s="1641"/>
      <c r="AO50" s="2058"/>
      <c r="AP50" s="2058"/>
      <c r="AQ50" s="2058"/>
      <c r="AR50" s="2058"/>
      <c r="AS50" s="2058"/>
      <c r="AT50" s="2058"/>
      <c r="AU50" s="2058"/>
    </row>
    <row r="51" spans="1:47" s="2059" customFormat="1" ht="12.75" customHeight="1">
      <c r="A51" s="1674"/>
      <c r="B51" s="1324"/>
      <c r="C51" s="1591"/>
      <c r="D51" s="1591"/>
      <c r="E51" s="1591"/>
      <c r="F51" s="1671"/>
      <c r="G51" s="692"/>
      <c r="H51" s="1669" t="str">
        <f>Texte!A2105</f>
        <v>Abzug</v>
      </c>
      <c r="I51" s="1669" t="str">
        <f>Texte!A2125</f>
        <v>Anzahl</v>
      </c>
      <c r="J51" s="1673" t="str">
        <f>Texte!A2113</f>
        <v>verzehr</v>
      </c>
      <c r="K51" s="1672"/>
      <c r="L51" s="1673" t="str">
        <f>Texte!A2185</f>
        <v>&amp; Weidefutter</v>
      </c>
      <c r="M51" s="1672"/>
      <c r="N51" s="1877"/>
      <c r="O51" s="1877"/>
      <c r="P51" s="1877"/>
      <c r="Q51" s="1877"/>
      <c r="R51" s="1644"/>
      <c r="S51" s="1644"/>
      <c r="T51" s="1734"/>
      <c r="U51" s="2887"/>
      <c r="V51" s="2058"/>
      <c r="W51" s="2887"/>
      <c r="X51" s="2887"/>
      <c r="Y51" s="2887"/>
      <c r="Z51" s="2887"/>
      <c r="AA51" s="2887"/>
      <c r="AB51" s="2887"/>
      <c r="AC51" s="2887"/>
      <c r="AD51" s="2887"/>
      <c r="AE51" s="2887"/>
      <c r="AF51" s="2058"/>
      <c r="AG51" s="1641"/>
      <c r="AH51" s="1641"/>
      <c r="AI51" s="1641"/>
      <c r="AJ51" s="1641"/>
      <c r="AK51" s="1641"/>
      <c r="AL51" s="1641"/>
      <c r="AM51" s="1641"/>
      <c r="AN51" s="1641"/>
      <c r="AO51" s="2058"/>
      <c r="AP51" s="2058"/>
      <c r="AQ51" s="2058"/>
      <c r="AR51" s="2058"/>
      <c r="AS51" s="2058"/>
      <c r="AT51" s="2058"/>
      <c r="AU51" s="2058"/>
    </row>
    <row r="52" spans="1:47" s="2059" customFormat="1" ht="12.75" customHeight="1">
      <c r="A52" s="420"/>
      <c r="B52" s="1324"/>
      <c r="C52" s="1591"/>
      <c r="D52" s="1591"/>
      <c r="E52" s="1591"/>
      <c r="F52" s="1671" t="str">
        <f>Texte!A2103</f>
        <v>Einheit</v>
      </c>
      <c r="G52" s="1669" t="str">
        <f>Texte!A2125</f>
        <v>Anzahl</v>
      </c>
      <c r="H52" s="1669" t="str">
        <f>Texte!A2106</f>
        <v>/ Zu-</v>
      </c>
      <c r="I52" s="1669" t="str">
        <f>Texte!A2110</f>
        <v>korri-</v>
      </c>
      <c r="J52" s="1670" t="str">
        <f>Texte!A2117</f>
        <v>dt TS</v>
      </c>
      <c r="K52" s="1670" t="str">
        <f>Texte!A2117</f>
        <v>dt TS</v>
      </c>
      <c r="L52" s="1670" t="str">
        <f>Texte!A2117</f>
        <v>dt TS</v>
      </c>
      <c r="M52" s="3418" t="str">
        <f>Texte!A2117</f>
        <v>dt TS</v>
      </c>
      <c r="N52" s="1877"/>
      <c r="O52" s="1877"/>
      <c r="P52" s="1877"/>
      <c r="Q52" s="1877"/>
      <c r="R52" s="1644"/>
      <c r="S52" s="1644"/>
      <c r="T52" s="1734"/>
      <c r="U52" s="2887"/>
      <c r="V52" s="2058"/>
      <c r="W52" s="2887"/>
      <c r="X52" s="2887"/>
      <c r="Y52" s="2887"/>
      <c r="Z52" s="2887"/>
      <c r="AA52" s="2887"/>
      <c r="AB52" s="2887"/>
      <c r="AC52" s="2887"/>
      <c r="AD52" s="2887"/>
      <c r="AE52" s="2887"/>
      <c r="AF52" s="2058"/>
      <c r="AG52" s="1641"/>
      <c r="AH52" s="1641"/>
      <c r="AI52" s="1641"/>
      <c r="AJ52" s="1641"/>
      <c r="AK52" s="1641"/>
      <c r="AL52" s="1641"/>
      <c r="AM52" s="1641"/>
      <c r="AN52" s="1641"/>
      <c r="AO52" s="2058"/>
      <c r="AP52" s="2058"/>
      <c r="AQ52" s="2058"/>
      <c r="AR52" s="2058"/>
      <c r="AS52" s="2058"/>
      <c r="AT52" s="2058"/>
      <c r="AU52" s="2058"/>
    </row>
    <row r="53" spans="1:47" s="2059" customFormat="1" ht="12.75" customHeight="1">
      <c r="A53" s="420"/>
      <c r="B53" s="1551"/>
      <c r="C53" s="1550"/>
      <c r="D53" s="1550"/>
      <c r="E53" s="1550"/>
      <c r="F53" s="1538"/>
      <c r="G53" s="1538"/>
      <c r="H53" s="1534" t="str">
        <f>Texte!A2107</f>
        <v>schlag</v>
      </c>
      <c r="I53" s="1534" t="str">
        <f>Texte!A2111</f>
        <v>giert</v>
      </c>
      <c r="J53" s="1534" t="str">
        <f>Texte!A2114</f>
        <v>pro Jahr</v>
      </c>
      <c r="K53" s="1534" t="str">
        <f>Texte!A2116</f>
        <v>total</v>
      </c>
      <c r="L53" s="1669" t="str">
        <f>Texte!A2114</f>
        <v>pro Jahr</v>
      </c>
      <c r="M53" s="1669" t="str">
        <f>Texte!A2116</f>
        <v>total</v>
      </c>
      <c r="N53" s="1972"/>
      <c r="O53" s="1877"/>
      <c r="P53" s="1877"/>
      <c r="Q53" s="1973"/>
      <c r="R53" s="1644"/>
      <c r="S53" s="1644"/>
      <c r="T53" s="1734"/>
      <c r="U53" s="2887"/>
      <c r="V53" s="2058"/>
      <c r="W53" s="2887"/>
      <c r="X53" s="2887"/>
      <c r="Y53" s="2887"/>
      <c r="Z53" s="2887" t="s">
        <v>5810</v>
      </c>
      <c r="AA53" s="2887" t="s">
        <v>2308</v>
      </c>
      <c r="AB53" s="2887"/>
      <c r="AC53" s="2887"/>
      <c r="AD53" s="2887"/>
      <c r="AE53" s="2887"/>
      <c r="AF53" s="2058"/>
      <c r="AG53" s="1641"/>
      <c r="AH53" s="1641"/>
      <c r="AI53" s="1641"/>
      <c r="AJ53" s="1641"/>
      <c r="AK53" s="1641"/>
      <c r="AL53" s="1641"/>
      <c r="AM53" s="1641"/>
      <c r="AN53" s="1641"/>
      <c r="AO53" s="2058"/>
      <c r="AP53" s="2058"/>
      <c r="AQ53" s="2058"/>
      <c r="AR53" s="2058"/>
      <c r="AS53" s="2058"/>
      <c r="AT53" s="2058"/>
      <c r="AU53" s="2058"/>
    </row>
    <row r="54" spans="1:47" s="2059" customFormat="1" ht="12.75" customHeight="1">
      <c r="A54" s="1647"/>
      <c r="B54" s="1649" t="s">
        <v>2536</v>
      </c>
      <c r="C54" s="1650"/>
      <c r="D54" s="1650"/>
      <c r="E54" s="1650"/>
      <c r="F54" s="1525" t="s">
        <v>5735</v>
      </c>
      <c r="G54" s="2282">
        <v>2</v>
      </c>
      <c r="H54" s="2283">
        <v>0</v>
      </c>
      <c r="I54" s="2282">
        <v>2</v>
      </c>
      <c r="J54" s="1659">
        <v>0.5</v>
      </c>
      <c r="K54" s="2221">
        <f t="shared" ref="K54:K59" si="10">IF(I54&gt;0,I54*J54,"")</f>
        <v>1</v>
      </c>
      <c r="L54" s="1975">
        <f t="shared" ref="L54:L59" si="11">IF(I54&gt;0,M54/I54,"")</f>
        <v>0</v>
      </c>
      <c r="M54" s="3457"/>
      <c r="N54" s="1978" t="str">
        <f>IF(M54&gt;K54,Texte!$A$2202,"")</f>
        <v/>
      </c>
      <c r="O54" s="1877"/>
      <c r="P54" s="1877"/>
      <c r="Q54" s="1877"/>
      <c r="R54" s="1644"/>
      <c r="S54" s="1644"/>
      <c r="T54" s="1734"/>
      <c r="U54" s="2887"/>
      <c r="V54" s="2288"/>
      <c r="W54" s="2887" t="str">
        <f>IF($B54="","",IF(OR(AND($J54&gt;0,$B54=$Z$57),AND($J54&gt;0.5,$B54&lt;&gt;$Z$54,$B54&lt;&gt;$Z$55,$J54&lt;=VLOOKUP($B54,$Z$54:$AA$60,2))),Texte!$A$2200,IF(OR($J54&lt;=0.5,$B54=$Z$54,$B54=$Z$55),"",Texte!$A$2201)))</f>
        <v/>
      </c>
      <c r="X54" s="2887"/>
      <c r="Y54" s="2887"/>
      <c r="Z54" s="2887" t="str">
        <f>D_Tierb!B60</f>
        <v>Kaninchen, Zibben inkl. Jungtiere bis ca. 35-tägig</v>
      </c>
      <c r="AA54" s="2887">
        <v>0.36</v>
      </c>
      <c r="AB54" s="2887"/>
      <c r="AC54" s="2887"/>
      <c r="AD54" s="2887"/>
      <c r="AE54" s="2887"/>
      <c r="AF54" s="2058"/>
      <c r="AG54" s="1641"/>
      <c r="AH54" s="1641"/>
      <c r="AI54" s="1641"/>
      <c r="AJ54" s="1641"/>
      <c r="AK54" s="1641"/>
      <c r="AL54" s="1641"/>
      <c r="AM54" s="1641"/>
      <c r="AN54" s="1641"/>
      <c r="AO54" s="2058"/>
      <c r="AP54" s="2058"/>
      <c r="AQ54" s="2058"/>
      <c r="AR54" s="2058"/>
      <c r="AS54" s="2058"/>
      <c r="AT54" s="2058"/>
      <c r="AU54" s="2058"/>
    </row>
    <row r="55" spans="1:47" s="2059" customFormat="1" ht="12.75" customHeight="1">
      <c r="A55" s="1647"/>
      <c r="B55" s="1649"/>
      <c r="C55" s="1650"/>
      <c r="D55" s="1650"/>
      <c r="E55" s="1650"/>
      <c r="F55" s="1525"/>
      <c r="G55" s="2282"/>
      <c r="H55" s="2283"/>
      <c r="I55" s="2282"/>
      <c r="J55" s="1659"/>
      <c r="K55" s="2221" t="str">
        <f t="shared" si="10"/>
        <v/>
      </c>
      <c r="L55" s="2228" t="str">
        <f t="shared" si="11"/>
        <v/>
      </c>
      <c r="M55" s="3458"/>
      <c r="N55" s="1978" t="str">
        <f>IF(M55&gt;K55,Texte!$A$2202,"")</f>
        <v/>
      </c>
      <c r="O55" s="1877"/>
      <c r="P55" s="1877"/>
      <c r="Q55" s="1877"/>
      <c r="R55" s="1644"/>
      <c r="S55" s="1644"/>
      <c r="T55" s="1734"/>
      <c r="U55" s="2887"/>
      <c r="V55" s="2288"/>
      <c r="W55" s="2887" t="str">
        <f>IF($B55="","",IF(OR(AND($J55&gt;0,$B55=$Z$57),AND($J55&gt;0.5,$B55&lt;&gt;$Z$54,$B55&lt;&gt;$Z$55,$J55&lt;=VLOOKUP($B55,$Z$54:$AA$60,2))),Texte!$A$2200,IF(OR($J55&lt;=0.5,$B55=$Z$54,$B55=$Z$55),"",Texte!$A$2201)))</f>
        <v/>
      </c>
      <c r="X55" s="2887"/>
      <c r="Y55" s="2887"/>
      <c r="Z55" s="2887" t="str">
        <f>D_Tierb!B61</f>
        <v>Kaninchen, Jungtiere über ca. 35-tägig</v>
      </c>
      <c r="AA55" s="2887">
        <v>4</v>
      </c>
      <c r="AB55" s="2887"/>
      <c r="AC55" s="2887"/>
      <c r="AD55" s="2887"/>
      <c r="AE55" s="2887"/>
      <c r="AF55" s="2058"/>
      <c r="AG55" s="1641"/>
      <c r="AH55" s="1641"/>
      <c r="AI55" s="1641"/>
      <c r="AJ55" s="1641"/>
      <c r="AK55" s="1641"/>
      <c r="AL55" s="1641"/>
      <c r="AM55" s="1641"/>
      <c r="AN55" s="1641"/>
      <c r="AO55" s="2058"/>
      <c r="AP55" s="2058"/>
      <c r="AQ55" s="2058"/>
      <c r="AR55" s="2058"/>
      <c r="AS55" s="2058"/>
      <c r="AT55" s="2058"/>
      <c r="AU55" s="2058"/>
    </row>
    <row r="56" spans="1:47" s="2059" customFormat="1" ht="12.75" customHeight="1">
      <c r="A56" s="1647"/>
      <c r="B56" s="1649"/>
      <c r="C56" s="1650"/>
      <c r="D56" s="1650"/>
      <c r="E56" s="1650"/>
      <c r="F56" s="1525"/>
      <c r="G56" s="2282"/>
      <c r="H56" s="2283"/>
      <c r="I56" s="2282"/>
      <c r="J56" s="1659"/>
      <c r="K56" s="2221" t="str">
        <f t="shared" si="10"/>
        <v/>
      </c>
      <c r="L56" s="2228" t="str">
        <f t="shared" si="11"/>
        <v/>
      </c>
      <c r="M56" s="2225"/>
      <c r="N56" s="1978" t="str">
        <f>IF(M56&gt;K56,Texte!$A$2202,"")</f>
        <v/>
      </c>
      <c r="O56" s="1877"/>
      <c r="P56" s="1877"/>
      <c r="Q56" s="1877"/>
      <c r="R56" s="1644"/>
      <c r="S56" s="1644"/>
      <c r="T56" s="1734"/>
      <c r="U56" s="2887"/>
      <c r="V56" s="2288"/>
      <c r="W56" s="2887" t="str">
        <f>IF($B56="","",IF(OR(AND($J56&gt;0,$B56=$Z$57),AND($J56&gt;0.5,$B56&lt;&gt;$Z$54,$B56&lt;&gt;$Z$55,$J56&lt;=VLOOKUP($B56,$Z$54:$AA$60,2))),Texte!$A$2200,IF(OR($J56&lt;=0.5,$B56=$Z$54,$B56=$Z$55),"",Texte!$A$2201)))</f>
        <v/>
      </c>
      <c r="X56" s="2887"/>
      <c r="Y56" s="2887"/>
      <c r="Z56" s="2887" t="str">
        <f>D_Tierb!B64</f>
        <v>Zuchtschweine inkl. Ferkel bis 26 kg LG</v>
      </c>
      <c r="AA56" s="2887">
        <v>6.5</v>
      </c>
      <c r="AB56" s="2887"/>
      <c r="AC56" s="2887"/>
      <c r="AD56" s="2887"/>
      <c r="AE56" s="2887"/>
      <c r="AF56" s="2058"/>
      <c r="AG56" s="1641"/>
      <c r="AH56" s="1641"/>
      <c r="AI56" s="1641"/>
      <c r="AJ56" s="1641">
        <v>0</v>
      </c>
      <c r="AK56" s="1641"/>
      <c r="AL56" s="1641"/>
      <c r="AM56" s="1641"/>
      <c r="AN56" s="1641"/>
      <c r="AO56" s="2058"/>
      <c r="AP56" s="2058"/>
      <c r="AQ56" s="2058"/>
      <c r="AR56" s="2058"/>
      <c r="AS56" s="2058"/>
      <c r="AT56" s="2058"/>
      <c r="AU56" s="2058"/>
    </row>
    <row r="57" spans="1:47" s="2059" customFormat="1" ht="12.75" customHeight="1">
      <c r="A57" s="1647"/>
      <c r="B57" s="1649"/>
      <c r="C57" s="1648"/>
      <c r="D57" s="1648"/>
      <c r="E57" s="1648"/>
      <c r="F57" s="1646"/>
      <c r="G57" s="2282"/>
      <c r="H57" s="2283"/>
      <c r="I57" s="2282"/>
      <c r="J57" s="1659"/>
      <c r="K57" s="2221" t="str">
        <f t="shared" si="10"/>
        <v/>
      </c>
      <c r="L57" s="2228" t="str">
        <f t="shared" si="11"/>
        <v/>
      </c>
      <c r="M57" s="2225"/>
      <c r="N57" s="1978" t="str">
        <f>IF(M57&gt;K57,Texte!$A$2202,"")</f>
        <v/>
      </c>
      <c r="O57" s="1877"/>
      <c r="P57" s="1877"/>
      <c r="Q57" s="1877"/>
      <c r="R57" s="1644"/>
      <c r="S57" s="1644"/>
      <c r="T57" s="1734"/>
      <c r="U57" s="2887"/>
      <c r="V57" s="2288"/>
      <c r="W57" s="2887" t="str">
        <f>IF($B57="","",IF(OR(AND($J57&gt;0,$B57=$Z$57),AND($J57&gt;0.5,$B57&lt;&gt;$Z$54,$B57&lt;&gt;$Z$55,$J57&lt;=VLOOKUP($B57,$Z$54:$AA$60,2))),Texte!$A$2200,IF(OR($J57&lt;=0.5,$B57=$Z$54,$B57=$Z$55),"",Texte!$A$2201)))</f>
        <v/>
      </c>
      <c r="X57" s="2887"/>
      <c r="Y57" s="2892"/>
      <c r="Z57" s="2887" t="str">
        <f>D_Tierb!B65</f>
        <v>Mastschweine, Remonten, 3.32 Umtriebe pro Jahr</v>
      </c>
      <c r="AA57" s="2892"/>
      <c r="AB57" s="2887"/>
      <c r="AC57" s="2887"/>
      <c r="AD57" s="2887"/>
      <c r="AE57" s="2887"/>
      <c r="AF57" s="2058"/>
      <c r="AG57" s="1641"/>
      <c r="AH57" s="1641"/>
      <c r="AI57" s="1641" t="str">
        <f>IF(AE57&gt;0,(L57*AE57*AG57*AH57)/8760,"")</f>
        <v/>
      </c>
      <c r="AJ57" s="1641">
        <v>0</v>
      </c>
      <c r="AK57" s="1641"/>
      <c r="AL57" s="1641"/>
      <c r="AM57" s="1641"/>
      <c r="AN57" s="1641"/>
      <c r="AO57" s="2058"/>
      <c r="AP57" s="2058"/>
      <c r="AQ57" s="2058"/>
      <c r="AR57" s="2058"/>
      <c r="AS57" s="2058"/>
      <c r="AT57" s="2058"/>
      <c r="AU57" s="2058"/>
    </row>
    <row r="58" spans="1:47" s="2059" customFormat="1" ht="12.75" customHeight="1">
      <c r="A58" s="1647"/>
      <c r="B58" s="1661"/>
      <c r="C58" s="1648"/>
      <c r="D58" s="1648"/>
      <c r="E58" s="1648"/>
      <c r="F58" s="1646"/>
      <c r="G58" s="2282"/>
      <c r="H58" s="2283"/>
      <c r="I58" s="2282"/>
      <c r="J58" s="1659"/>
      <c r="K58" s="2221" t="str">
        <f t="shared" si="10"/>
        <v/>
      </c>
      <c r="L58" s="2228" t="str">
        <f t="shared" si="11"/>
        <v/>
      </c>
      <c r="M58" s="2225"/>
      <c r="N58" s="1978" t="str">
        <f>IF(M58&gt;K58,Texte!$A$2202,"")</f>
        <v/>
      </c>
      <c r="O58" s="1877"/>
      <c r="P58" s="1877"/>
      <c r="Q58" s="1877"/>
      <c r="R58" s="1644"/>
      <c r="S58" s="1644"/>
      <c r="T58" s="1734"/>
      <c r="U58" s="2887"/>
      <c r="V58" s="2288"/>
      <c r="W58" s="2887" t="str">
        <f>IF($B58="","",IF(OR(AND($J58&gt;0,$B58=$Z$57),AND($J58&gt;0.5,$B58&lt;&gt;$Z$54,$B58&lt;&gt;$Z$55,$J58&lt;=VLOOKUP($B58,$Z$54:$AA$60,2))),Texte!$A$2200,IF(OR($J58&lt;=0.5,$B58=$Z$54,$B58=$Z$55),"",Texte!$A$2201)))</f>
        <v/>
      </c>
      <c r="X58" s="2887"/>
      <c r="Y58" s="2887"/>
      <c r="Z58" s="2887" t="str">
        <f>D_Tierb!B66</f>
        <v>Zuchteber</v>
      </c>
      <c r="AA58" s="2887">
        <v>6.5</v>
      </c>
      <c r="AB58" s="2887"/>
      <c r="AC58" s="2887"/>
      <c r="AD58" s="2887"/>
      <c r="AE58" s="2887"/>
      <c r="AF58" s="2058"/>
      <c r="AG58" s="1641"/>
      <c r="AH58" s="1641"/>
      <c r="AI58" s="1641" t="str">
        <f>IF(AE58&gt;0,(L58*AE58*AG58*AH58)/8760,"")</f>
        <v/>
      </c>
      <c r="AJ58" s="1641">
        <v>0</v>
      </c>
      <c r="AK58" s="1641"/>
      <c r="AL58" s="1641"/>
      <c r="AM58" s="1641"/>
      <c r="AN58" s="1641"/>
      <c r="AO58" s="2058"/>
      <c r="AP58" s="2058"/>
      <c r="AQ58" s="2058"/>
      <c r="AR58" s="2058"/>
      <c r="AS58" s="2058"/>
      <c r="AT58" s="2058"/>
      <c r="AU58" s="2058"/>
    </row>
    <row r="59" spans="1:47" s="2059" customFormat="1" ht="12.75" customHeight="1">
      <c r="A59" s="1647"/>
      <c r="B59" s="1688"/>
      <c r="C59" s="1689"/>
      <c r="D59" s="1689"/>
      <c r="E59" s="1689"/>
      <c r="F59" s="1690"/>
      <c r="G59" s="2286"/>
      <c r="H59" s="2287"/>
      <c r="I59" s="2286"/>
      <c r="J59" s="1691"/>
      <c r="K59" s="2224" t="str">
        <f t="shared" si="10"/>
        <v/>
      </c>
      <c r="L59" s="2229" t="str">
        <f t="shared" si="11"/>
        <v/>
      </c>
      <c r="M59" s="2226"/>
      <c r="N59" s="1978" t="str">
        <f>IF(M59&gt;K59,Texte!A2202,"")</f>
        <v/>
      </c>
      <c r="O59" s="1881"/>
      <c r="P59" s="1881"/>
      <c r="Q59" s="1881"/>
      <c r="R59" s="1643"/>
      <c r="S59" s="1643"/>
      <c r="T59" s="1734"/>
      <c r="U59" s="2887"/>
      <c r="V59" s="2288"/>
      <c r="W59" s="2887" t="str">
        <f>IF($B59="","",IF(OR(AND($J59&gt;0,$B59=$Z$57),AND($J59&gt;0.5,$B59&lt;&gt;$Z$54,$B59&lt;&gt;$Z$55,$J59&lt;=VLOOKUP($B59,$Z$54:$AA$60,2))),Texte!$A$2200,IF(OR($J59&lt;=0.5,$B59=$Z$54,$B59=$Z$55),"",Texte!$A$2201)))</f>
        <v/>
      </c>
      <c r="X59" s="2887"/>
      <c r="Y59" s="2887"/>
      <c r="Z59" s="2887" t="str">
        <f>D_Tierb!B67</f>
        <v>Zuchtschweine, säugend</v>
      </c>
      <c r="AA59" s="2887">
        <v>6.5</v>
      </c>
      <c r="AB59" s="2887"/>
      <c r="AC59" s="2887"/>
      <c r="AD59" s="2887" t="str">
        <f>IF(AB59,(L59*AB59*AC59*0.1)/365,"")</f>
        <v/>
      </c>
      <c r="AE59" s="2887"/>
      <c r="AF59" s="2058"/>
      <c r="AG59" s="1641"/>
      <c r="AH59" s="1641"/>
      <c r="AI59" s="1641">
        <f>SUM(AI21:AI56)</f>
        <v>0</v>
      </c>
      <c r="AJ59" s="1641">
        <v>0</v>
      </c>
      <c r="AK59" s="1641"/>
      <c r="AL59" s="1641"/>
      <c r="AM59" s="1641"/>
      <c r="AN59" s="1641"/>
      <c r="AO59" s="2058"/>
      <c r="AP59" s="2058"/>
      <c r="AQ59" s="2058"/>
      <c r="AR59" s="2058"/>
      <c r="AS59" s="2058"/>
      <c r="AT59" s="2058"/>
      <c r="AU59" s="2058"/>
    </row>
    <row r="60" spans="1:47" s="2059" customFormat="1" ht="12.75" customHeight="1">
      <c r="A60" s="1591"/>
      <c r="B60" s="692"/>
      <c r="C60" s="1584"/>
      <c r="D60" s="1584"/>
      <c r="E60" s="1584"/>
      <c r="F60" s="675"/>
      <c r="G60" s="675"/>
      <c r="H60" s="675"/>
      <c r="I60" s="1600"/>
      <c r="J60" s="1640"/>
      <c r="K60" s="1687">
        <f>SUM(K54:K59)</f>
        <v>1</v>
      </c>
      <c r="L60" s="2227" t="str">
        <f>Texte!A2117</f>
        <v>dt TS</v>
      </c>
      <c r="M60" s="1687">
        <f>SUM(M54:M59)</f>
        <v>0</v>
      </c>
      <c r="N60" s="3416" t="str">
        <f>M52</f>
        <v>dt TS</v>
      </c>
      <c r="O60" s="2346"/>
      <c r="P60" s="1885"/>
      <c r="Q60" s="1885"/>
      <c r="R60" s="1885"/>
      <c r="S60" s="1885"/>
      <c r="T60" s="1548"/>
      <c r="U60" s="2887">
        <f>SUM(U21:U59)</f>
        <v>77.220600000000005</v>
      </c>
      <c r="V60" s="2058"/>
      <c r="W60" s="2887"/>
      <c r="X60" s="2887"/>
      <c r="Y60" s="2887"/>
      <c r="Z60" s="2887" t="str">
        <f>D_Tierb!B68</f>
        <v>Zuchtsauen über 6 Monate, nicht säugend</v>
      </c>
      <c r="AA60" s="2887">
        <v>9</v>
      </c>
      <c r="AB60" s="2887"/>
      <c r="AC60" s="2887"/>
      <c r="AD60" s="2887"/>
      <c r="AE60" s="2887"/>
      <c r="AF60" s="2058"/>
      <c r="AG60" s="1641"/>
      <c r="AH60" s="1641"/>
      <c r="AI60" s="1641"/>
      <c r="AJ60" s="1641"/>
      <c r="AK60" s="1641"/>
      <c r="AL60" s="1641"/>
      <c r="AM60" s="1641"/>
      <c r="AN60" s="1641"/>
      <c r="AO60" s="2058"/>
      <c r="AP60" s="2058"/>
      <c r="AQ60" s="2058"/>
      <c r="AR60" s="2058"/>
      <c r="AS60" s="2058"/>
      <c r="AT60" s="2058"/>
      <c r="AU60" s="2058"/>
    </row>
    <row r="61" spans="1:47" s="2059" customFormat="1" ht="5.0999999999999996" customHeight="1">
      <c r="A61" s="692"/>
      <c r="B61" s="1584"/>
      <c r="C61" s="1584"/>
      <c r="D61" s="1584"/>
      <c r="E61" s="1584"/>
      <c r="F61" s="675"/>
      <c r="G61" s="675"/>
      <c r="H61" s="675"/>
      <c r="I61" s="1600"/>
      <c r="J61" s="1600"/>
      <c r="K61" s="1599"/>
      <c r="L61" s="1492"/>
      <c r="M61" s="1548"/>
      <c r="N61" s="1548"/>
      <c r="O61" s="1548"/>
      <c r="P61" s="1548"/>
      <c r="Q61" s="1548"/>
      <c r="R61" s="1548"/>
      <c r="S61" s="1548"/>
      <c r="T61" s="1548"/>
      <c r="U61" s="2887"/>
      <c r="V61" s="2058"/>
      <c r="W61" s="2887"/>
      <c r="X61" s="2887"/>
      <c r="Y61" s="2887"/>
      <c r="Z61" s="2887"/>
      <c r="AA61" s="2887"/>
      <c r="AB61" s="2887"/>
      <c r="AC61" s="2887"/>
      <c r="AD61" s="2887"/>
      <c r="AE61" s="2887"/>
      <c r="AF61" s="2058"/>
      <c r="AG61" s="1641"/>
      <c r="AH61" s="1641"/>
      <c r="AI61" s="1641"/>
      <c r="AJ61" s="1641"/>
      <c r="AK61" s="1641"/>
      <c r="AL61" s="1641"/>
      <c r="AM61" s="1641"/>
      <c r="AN61" s="1641"/>
      <c r="AO61" s="2058"/>
      <c r="AP61" s="2058"/>
      <c r="AQ61" s="2058"/>
      <c r="AR61" s="2058"/>
      <c r="AS61" s="2058"/>
      <c r="AT61" s="2058"/>
      <c r="AU61" s="2058"/>
    </row>
    <row r="62" spans="1:47" s="2059" customFormat="1" ht="12.75" customHeight="1">
      <c r="A62" s="692"/>
      <c r="B62" s="1591" t="str">
        <f>Texte!A2203</f>
        <v>Ganzjahresbetrieb</v>
      </c>
      <c r="C62" s="1584"/>
      <c r="D62" s="1584"/>
      <c r="E62" s="1584"/>
      <c r="F62" s="675"/>
      <c r="G62" s="675"/>
      <c r="H62" s="675"/>
      <c r="R62" s="450"/>
      <c r="S62" s="450"/>
      <c r="T62" s="450"/>
      <c r="U62" s="2887"/>
      <c r="V62" s="2058"/>
      <c r="W62" s="2887"/>
      <c r="X62" s="2887"/>
      <c r="Y62" s="2887"/>
      <c r="Z62" s="2887"/>
      <c r="AA62" s="2887"/>
      <c r="AB62" s="2887"/>
      <c r="AC62" s="2887"/>
      <c r="AD62" s="2887"/>
      <c r="AE62" s="2887"/>
      <c r="AF62" s="2058"/>
      <c r="AG62" s="1641"/>
      <c r="AH62" s="1641"/>
      <c r="AI62" s="1641"/>
      <c r="AJ62" s="1641"/>
      <c r="AK62" s="1641"/>
      <c r="AL62" s="1641"/>
      <c r="AM62" s="1641"/>
      <c r="AN62" s="1641"/>
      <c r="AO62" s="2058"/>
      <c r="AP62" s="2058"/>
      <c r="AQ62" s="2058"/>
      <c r="AR62" s="2058"/>
      <c r="AS62" s="2058"/>
      <c r="AT62" s="2058"/>
      <c r="AU62" s="2058"/>
    </row>
    <row r="63" spans="1:47" s="2059" customFormat="1" ht="12.75" customHeight="1">
      <c r="A63" s="692"/>
      <c r="B63" s="1591" t="str">
        <f>Texte!A2204</f>
        <v>A1: Grundfutterverzehr aller Tiere</v>
      </c>
      <c r="C63" s="1584"/>
      <c r="D63" s="1584"/>
      <c r="E63" s="1584"/>
      <c r="F63" s="675"/>
      <c r="H63" s="1639">
        <f>SUM(K48,K60)</f>
        <v>3066.1930000000002</v>
      </c>
      <c r="I63" s="1548" t="str">
        <f>Texte!A2117</f>
        <v>dt TS</v>
      </c>
      <c r="R63" s="450"/>
      <c r="S63" s="450"/>
      <c r="T63" s="450"/>
      <c r="U63" s="2887"/>
      <c r="V63" s="2058"/>
      <c r="W63" s="2887"/>
      <c r="X63" s="2887"/>
      <c r="Y63" s="2887"/>
      <c r="Z63" s="2887"/>
      <c r="AA63" s="2887"/>
      <c r="AB63" s="2887"/>
      <c r="AC63" s="2887"/>
      <c r="AD63" s="2887"/>
      <c r="AE63" s="2887"/>
      <c r="AF63" s="2058"/>
      <c r="AG63" s="1641"/>
      <c r="AH63" s="1641"/>
      <c r="AI63" s="1641"/>
      <c r="AJ63" s="1641"/>
      <c r="AK63" s="1641"/>
      <c r="AL63" s="1641"/>
      <c r="AM63" s="1641"/>
      <c r="AN63" s="1641"/>
      <c r="AO63" s="2058"/>
      <c r="AP63" s="2058"/>
      <c r="AQ63" s="2058"/>
      <c r="AR63" s="2058"/>
      <c r="AS63" s="2058"/>
      <c r="AT63" s="2058"/>
      <c r="AU63" s="2058"/>
    </row>
    <row r="64" spans="1:47" s="2059" customFormat="1" ht="12.75" customHeight="1">
      <c r="A64" s="692"/>
      <c r="B64" s="1591" t="str">
        <f>Texte!A2205</f>
        <v>A2: Grundfutterverzehr Raufutterverzehrer</v>
      </c>
      <c r="C64" s="1584"/>
      <c r="D64" s="1584"/>
      <c r="E64" s="1584"/>
      <c r="F64" s="675"/>
      <c r="H64" s="1639">
        <f>K48</f>
        <v>3065.1930000000002</v>
      </c>
      <c r="I64" s="1548" t="str">
        <f>Texte!A2117</f>
        <v>dt TS</v>
      </c>
      <c r="K64" s="1591" t="str">
        <f>Texte!A2209</f>
        <v>Sömmerung</v>
      </c>
      <c r="L64" s="1492"/>
      <c r="M64" s="1548"/>
      <c r="N64" s="1548"/>
      <c r="O64" s="1548"/>
      <c r="P64" s="1548"/>
      <c r="Q64" s="450"/>
      <c r="R64" s="450"/>
      <c r="S64" s="450"/>
      <c r="T64" s="450"/>
      <c r="U64" s="2887"/>
      <c r="V64" s="2058"/>
      <c r="W64" s="2887"/>
      <c r="X64" s="2887"/>
      <c r="Y64" s="2887"/>
      <c r="Z64" s="2887"/>
      <c r="AA64" s="2887"/>
      <c r="AB64" s="2887"/>
      <c r="AC64" s="2887"/>
      <c r="AD64" s="2887"/>
      <c r="AE64" s="2887"/>
      <c r="AF64" s="2058"/>
      <c r="AG64" s="1641"/>
      <c r="AH64" s="1641"/>
      <c r="AI64" s="1641"/>
      <c r="AJ64" s="1641"/>
      <c r="AK64" s="1641"/>
      <c r="AL64" s="1641"/>
      <c r="AM64" s="1641"/>
      <c r="AN64" s="1641"/>
      <c r="AO64" s="2058"/>
      <c r="AP64" s="2058"/>
      <c r="AQ64" s="2058"/>
      <c r="AR64" s="2058"/>
      <c r="AS64" s="2058"/>
      <c r="AT64" s="2058"/>
      <c r="AU64" s="2058"/>
    </row>
    <row r="65" spans="1:47" s="2059" customFormat="1" ht="12.75" customHeight="1">
      <c r="A65" s="692"/>
      <c r="B65" s="1591" t="str">
        <f>Texte!A2206</f>
        <v>A3: Wiesen-, Weidefutterverzehr übrige Tiere</v>
      </c>
      <c r="C65" s="1584"/>
      <c r="D65" s="1584"/>
      <c r="E65" s="1584"/>
      <c r="F65" s="675"/>
      <c r="H65" s="1639">
        <f>M60</f>
        <v>0</v>
      </c>
      <c r="I65" s="1548" t="str">
        <f>Texte!A2117</f>
        <v>dt TS</v>
      </c>
      <c r="K65" s="1591" t="str">
        <f>Texte!A2210</f>
        <v>A6: Grundfutterverzehr Raufutterverzehr</v>
      </c>
      <c r="M65" s="1548"/>
      <c r="N65" s="1548"/>
      <c r="O65" s="1548"/>
      <c r="Q65" s="1639">
        <f>R48</f>
        <v>0</v>
      </c>
      <c r="R65" s="1548" t="str">
        <f>Texte!A2117</f>
        <v>dt TS</v>
      </c>
      <c r="S65" s="450"/>
      <c r="T65" s="450"/>
      <c r="U65" s="2887"/>
      <c r="V65" s="2058"/>
      <c r="W65" s="2887"/>
      <c r="X65" s="2887"/>
      <c r="Y65" s="2887"/>
      <c r="Z65" s="2887"/>
      <c r="AA65" s="2887"/>
      <c r="AB65" s="2887"/>
      <c r="AC65" s="2887"/>
      <c r="AD65" s="2887"/>
      <c r="AE65" s="2887"/>
      <c r="AF65" s="2058"/>
      <c r="AG65" s="1641"/>
      <c r="AH65" s="1641"/>
      <c r="AI65" s="1641"/>
      <c r="AJ65" s="1641"/>
      <c r="AK65" s="1641"/>
      <c r="AL65" s="1641"/>
      <c r="AM65" s="1641"/>
      <c r="AN65" s="1641"/>
      <c r="AO65" s="2058"/>
      <c r="AP65" s="2058"/>
      <c r="AQ65" s="2058"/>
      <c r="AR65" s="2058"/>
      <c r="AS65" s="2058"/>
      <c r="AT65" s="2058"/>
      <c r="AU65" s="2058"/>
    </row>
    <row r="66" spans="1:47" s="2059" customFormat="1" ht="12.75" customHeight="1">
      <c r="A66" s="692"/>
      <c r="B66" s="1591" t="str">
        <f>Texte!A2207</f>
        <v>A4: Kraftfutterverzehr der berechtigten Kategorien</v>
      </c>
      <c r="C66" s="1584"/>
      <c r="D66" s="1584"/>
      <c r="E66" s="1584"/>
      <c r="F66" s="675"/>
      <c r="H66" s="1639">
        <f>M48</f>
        <v>0</v>
      </c>
      <c r="I66" s="1548" t="str">
        <f>Texte!A2115</f>
        <v>dt FS</v>
      </c>
      <c r="J66" s="1600"/>
      <c r="K66" s="1591" t="str">
        <f>Texte!A2211</f>
        <v>A7: Kraftfutterverzehr berechtigte Kategorien</v>
      </c>
      <c r="M66" s="1548"/>
      <c r="N66" s="1548"/>
      <c r="O66" s="1548"/>
      <c r="Q66" s="1639">
        <f>S48*0.88</f>
        <v>0</v>
      </c>
      <c r="R66" s="1548" t="str">
        <f>Texte!A2117</f>
        <v>dt TS</v>
      </c>
      <c r="S66" s="450"/>
      <c r="T66" s="450"/>
      <c r="U66" s="2887"/>
      <c r="V66" s="2058"/>
      <c r="W66" s="2887"/>
      <c r="X66" s="2887"/>
      <c r="Y66" s="2887"/>
      <c r="Z66" s="2887"/>
      <c r="AA66" s="2887"/>
      <c r="AB66" s="2887"/>
      <c r="AC66" s="2887"/>
      <c r="AD66" s="2887"/>
      <c r="AE66" s="2887"/>
      <c r="AF66" s="2058"/>
      <c r="AG66" s="1641"/>
      <c r="AH66" s="1641"/>
      <c r="AI66" s="1641"/>
      <c r="AJ66" s="1641"/>
      <c r="AK66" s="1641"/>
      <c r="AL66" s="1641"/>
      <c r="AM66" s="1641"/>
      <c r="AN66" s="1641"/>
      <c r="AO66" s="2058"/>
      <c r="AP66" s="2058"/>
      <c r="AQ66" s="2058"/>
      <c r="AR66" s="2058"/>
      <c r="AS66" s="2058"/>
      <c r="AT66" s="2058"/>
      <c r="AU66" s="2058"/>
    </row>
    <row r="67" spans="1:47" s="2059" customFormat="1" ht="12.75" customHeight="1">
      <c r="A67" s="692"/>
      <c r="B67" s="1591" t="str">
        <f>Texte!A2208</f>
        <v>A5: Gesamtverzehr der Raufutterverzehrer</v>
      </c>
      <c r="C67" s="1591"/>
      <c r="D67" s="1591"/>
      <c r="E67" s="1591"/>
      <c r="F67" s="675"/>
      <c r="H67" s="1639">
        <f>H64+(H66*0.88)</f>
        <v>3065.1930000000002</v>
      </c>
      <c r="I67" s="1548" t="str">
        <f>Texte!A2117</f>
        <v>dt TS</v>
      </c>
      <c r="J67" s="1599"/>
      <c r="K67" s="1591" t="str">
        <f>Texte!A2212</f>
        <v>A8: Sömmerungstage gemäss AniCalc (TVD-Auszug)</v>
      </c>
      <c r="M67" s="1548"/>
      <c r="N67" s="1548"/>
      <c r="O67" s="1548"/>
      <c r="Q67" s="1639">
        <f>SUM(P21:P47)</f>
        <v>0</v>
      </c>
      <c r="R67" s="3417" t="str">
        <f>Texte!A2127</f>
        <v>Tage</v>
      </c>
      <c r="S67" s="450"/>
      <c r="T67" s="450"/>
      <c r="U67" s="2887"/>
      <c r="V67" s="2058"/>
      <c r="W67" s="2887"/>
      <c r="X67" s="2887"/>
      <c r="Y67" s="2887"/>
      <c r="Z67" s="2887"/>
      <c r="AA67" s="2887"/>
      <c r="AB67" s="2887"/>
      <c r="AC67" s="2887"/>
      <c r="AD67" s="2887"/>
      <c r="AE67" s="2887"/>
      <c r="AF67" s="2058"/>
      <c r="AG67" s="1641"/>
      <c r="AH67" s="1641"/>
      <c r="AI67" s="1641"/>
      <c r="AJ67" s="1641"/>
      <c r="AK67" s="1641"/>
      <c r="AL67" s="1641"/>
      <c r="AM67" s="1641"/>
      <c r="AN67" s="1641"/>
      <c r="AO67" s="2058"/>
      <c r="AP67" s="2058"/>
      <c r="AQ67" s="2058"/>
      <c r="AR67" s="2058"/>
      <c r="AS67" s="2058"/>
      <c r="AT67" s="2058"/>
      <c r="AU67" s="2058"/>
    </row>
    <row r="68" spans="1:47" s="2059" customFormat="1" ht="5.0999999999999996" customHeight="1">
      <c r="A68" s="692"/>
      <c r="B68" s="1591"/>
      <c r="C68" s="1591"/>
      <c r="D68" s="1591"/>
      <c r="E68" s="1591"/>
      <c r="F68" s="675"/>
      <c r="G68" s="675"/>
      <c r="H68" s="1548"/>
      <c r="I68" s="1600"/>
      <c r="J68" s="1599"/>
      <c r="K68" s="1448"/>
      <c r="L68" s="1638"/>
      <c r="M68" s="1885"/>
      <c r="N68" s="1548"/>
      <c r="O68" s="1637"/>
      <c r="P68" s="692"/>
      <c r="Q68" s="450"/>
      <c r="R68" s="450"/>
      <c r="S68" s="450"/>
      <c r="T68" s="450"/>
      <c r="U68" s="2887"/>
      <c r="V68" s="2058"/>
      <c r="W68" s="2887"/>
      <c r="X68" s="2887"/>
      <c r="Y68" s="2887"/>
      <c r="Z68" s="2887"/>
      <c r="AA68" s="2887"/>
      <c r="AB68" s="2887"/>
      <c r="AC68" s="2887"/>
      <c r="AD68" s="2887"/>
      <c r="AE68" s="2887"/>
      <c r="AF68" s="2058"/>
      <c r="AG68" s="1641"/>
      <c r="AH68" s="1641"/>
      <c r="AI68" s="1641"/>
      <c r="AJ68" s="1641"/>
      <c r="AK68" s="1641"/>
      <c r="AL68" s="1641"/>
      <c r="AM68" s="1641"/>
      <c r="AN68" s="1641"/>
      <c r="AO68" s="2058"/>
      <c r="AP68" s="2058"/>
      <c r="AQ68" s="2058"/>
      <c r="AR68" s="2058"/>
      <c r="AS68" s="2058"/>
      <c r="AT68" s="2058"/>
      <c r="AU68" s="2058"/>
    </row>
    <row r="69" spans="1:47" s="2059" customFormat="1" ht="5.0999999999999996" customHeight="1">
      <c r="A69" s="692"/>
      <c r="B69" s="1591"/>
      <c r="C69" s="1591"/>
      <c r="D69" s="1591"/>
      <c r="E69" s="1591"/>
      <c r="F69" s="675"/>
      <c r="G69" s="675"/>
      <c r="H69" s="1548"/>
      <c r="I69" s="1600"/>
      <c r="J69" s="1600"/>
      <c r="K69" s="1599"/>
      <c r="L69" s="1448"/>
      <c r="M69" s="1638"/>
      <c r="N69" s="1637"/>
      <c r="O69" s="1637"/>
      <c r="P69" s="1637"/>
      <c r="Q69" s="1548"/>
      <c r="R69" s="1548"/>
      <c r="S69" s="1548"/>
      <c r="T69" s="1548"/>
      <c r="U69" s="2887"/>
      <c r="V69" s="2058"/>
      <c r="W69" s="2887"/>
      <c r="X69" s="2887"/>
      <c r="Y69" s="2887"/>
      <c r="Z69" s="2887"/>
      <c r="AA69" s="2887"/>
      <c r="AB69" s="2887"/>
      <c r="AC69" s="2887"/>
      <c r="AD69" s="2887"/>
      <c r="AE69" s="2887"/>
      <c r="AF69" s="2058"/>
      <c r="AG69" s="1641"/>
      <c r="AH69" s="1641"/>
      <c r="AI69" s="1641"/>
      <c r="AJ69" s="1641"/>
      <c r="AK69" s="1641"/>
      <c r="AL69" s="1641"/>
      <c r="AM69" s="1641"/>
      <c r="AN69" s="1641"/>
      <c r="AO69" s="2058"/>
      <c r="AP69" s="2058"/>
      <c r="AQ69" s="2058"/>
      <c r="AR69" s="2058"/>
      <c r="AS69" s="2058"/>
      <c r="AT69" s="2058"/>
      <c r="AU69" s="2058"/>
    </row>
    <row r="70" spans="1:47" s="2059" customFormat="1" ht="12.2" customHeight="1">
      <c r="A70" s="692"/>
      <c r="B70" s="1547" t="str">
        <f>Texte!A2218</f>
        <v>Teil B: Grundfutterproduktion</v>
      </c>
      <c r="C70" s="1547"/>
      <c r="D70" s="1547"/>
      <c r="E70" s="1547"/>
      <c r="F70" s="692"/>
      <c r="G70" s="692"/>
      <c r="H70" s="692"/>
      <c r="I70" s="1602"/>
      <c r="J70" s="692"/>
      <c r="K70" s="692"/>
      <c r="L70" s="1495" t="str">
        <f>IF($L$142&gt;$L$95,IF(($L$142-$L$95)/$L$142*100&lt;$Y$70,"",Texte!$A$2219),IF($L$95&gt;$L$142,IF(($L$95-$L$142)/$L$95*100&lt;$Y$70,"",Texte!$A$2219),""))</f>
        <v/>
      </c>
      <c r="M70" s="692"/>
      <c r="N70" s="1602"/>
      <c r="O70" s="1602"/>
      <c r="P70" s="1602"/>
      <c r="Q70" s="692"/>
      <c r="R70" s="692"/>
      <c r="S70" s="692"/>
      <c r="T70" s="692"/>
      <c r="U70" s="2887"/>
      <c r="V70" s="2058"/>
      <c r="W70" s="2887"/>
      <c r="X70" s="2887" t="s">
        <v>2307</v>
      </c>
      <c r="Y70" s="2887">
        <v>0.05</v>
      </c>
      <c r="Z70" s="2887"/>
      <c r="AA70" s="2887"/>
      <c r="AB70" s="2887"/>
      <c r="AC70" s="2887"/>
      <c r="AD70" s="2887"/>
      <c r="AE70" s="2887"/>
      <c r="AF70" s="2058"/>
      <c r="AG70" s="1641"/>
      <c r="AH70" s="1641"/>
      <c r="AI70" s="1641"/>
      <c r="AJ70" s="1641"/>
      <c r="AK70" s="1641"/>
      <c r="AL70" s="1641"/>
      <c r="AM70" s="1641"/>
      <c r="AN70" s="1641"/>
      <c r="AO70" s="2058"/>
      <c r="AP70" s="2058"/>
      <c r="AQ70" s="2058"/>
      <c r="AR70" s="2058"/>
      <c r="AS70" s="2058"/>
      <c r="AT70" s="2058"/>
      <c r="AU70" s="2058"/>
    </row>
    <row r="71" spans="1:47" s="2059" customFormat="1" ht="5.0999999999999996" customHeight="1">
      <c r="A71" s="692"/>
      <c r="B71" s="1547"/>
      <c r="C71" s="1547"/>
      <c r="D71" s="1547"/>
      <c r="E71" s="1547"/>
      <c r="F71" s="692"/>
      <c r="G71" s="692"/>
      <c r="H71" s="692"/>
      <c r="I71" s="1602"/>
      <c r="J71" s="692"/>
      <c r="K71" s="1602"/>
      <c r="L71" s="1602"/>
      <c r="M71" s="692"/>
      <c r="N71" s="1602"/>
      <c r="O71" s="1602"/>
      <c r="P71" s="1602"/>
      <c r="Q71" s="692"/>
      <c r="R71" s="692"/>
      <c r="S71" s="692"/>
      <c r="T71" s="692"/>
      <c r="U71" s="2887"/>
      <c r="V71" s="2058"/>
      <c r="W71" s="2887"/>
      <c r="X71" s="2887"/>
      <c r="Y71" s="2887"/>
      <c r="Z71" s="2887"/>
      <c r="AA71" s="2887"/>
      <c r="AB71" s="2887"/>
      <c r="AC71" s="2887"/>
      <c r="AD71" s="2887"/>
      <c r="AE71" s="2887"/>
      <c r="AF71" s="2058"/>
      <c r="AG71" s="1641"/>
      <c r="AH71" s="1641"/>
      <c r="AI71" s="1641"/>
      <c r="AJ71" s="1641"/>
      <c r="AK71" s="1641"/>
      <c r="AL71" s="1641"/>
      <c r="AM71" s="1641"/>
      <c r="AN71" s="1641"/>
      <c r="AO71" s="2058"/>
      <c r="AP71" s="2058"/>
      <c r="AQ71" s="2058"/>
      <c r="AR71" s="2058"/>
      <c r="AS71" s="2058"/>
      <c r="AT71" s="2058"/>
      <c r="AU71" s="2058"/>
    </row>
    <row r="72" spans="1:47" s="2059" customFormat="1" ht="12.2" customHeight="1">
      <c r="A72" s="692"/>
      <c r="B72" s="1598"/>
      <c r="C72" s="1636"/>
      <c r="D72" s="1636"/>
      <c r="E72" s="1636"/>
      <c r="F72" s="1322"/>
      <c r="G72" s="1322"/>
      <c r="H72" s="1595"/>
      <c r="I72" s="1635" t="str">
        <f>Texte!A2220</f>
        <v>Stand.</v>
      </c>
      <c r="J72" s="1635" t="str">
        <f>Texte!A2223</f>
        <v>Fläche</v>
      </c>
      <c r="K72" s="1635" t="str">
        <f>Texte!A2222</f>
        <v>Ertrag</v>
      </c>
      <c r="L72" s="1635" t="str">
        <f>Texte!A2225</f>
        <v>Menge</v>
      </c>
      <c r="M72" s="692"/>
      <c r="N72" s="692"/>
      <c r="O72" s="1602"/>
      <c r="P72" s="1602"/>
      <c r="Q72" s="692"/>
      <c r="R72" s="692"/>
      <c r="S72" s="692"/>
      <c r="T72" s="692"/>
      <c r="U72" s="2887"/>
      <c r="V72" s="2058"/>
      <c r="W72" s="2887"/>
      <c r="X72" s="2887"/>
      <c r="Y72" s="2887"/>
      <c r="Z72" s="2887"/>
      <c r="AA72" s="2887"/>
      <c r="AB72" s="2887"/>
      <c r="AC72" s="2887"/>
      <c r="AD72" s="2887"/>
      <c r="AE72" s="2887"/>
      <c r="AF72" s="2058"/>
      <c r="AG72" s="1641"/>
      <c r="AH72" s="1641"/>
      <c r="AI72" s="1641"/>
      <c r="AJ72" s="1641"/>
      <c r="AK72" s="1641"/>
      <c r="AL72" s="1641"/>
      <c r="AM72" s="1641"/>
      <c r="AN72" s="1641"/>
      <c r="AO72" s="2058"/>
      <c r="AP72" s="2058"/>
      <c r="AQ72" s="2058"/>
      <c r="AR72" s="2058"/>
      <c r="AS72" s="2058"/>
      <c r="AT72" s="2058"/>
      <c r="AU72" s="2058"/>
    </row>
    <row r="73" spans="1:47" s="2059" customFormat="1" ht="12.2" customHeight="1">
      <c r="A73" s="692"/>
      <c r="B73" s="1551"/>
      <c r="C73" s="1634"/>
      <c r="D73" s="1634"/>
      <c r="E73" s="1634"/>
      <c r="F73" s="1351"/>
      <c r="G73" s="1351"/>
      <c r="H73" s="1351"/>
      <c r="I73" s="1633" t="str">
        <f>Texte!A2221</f>
        <v>Ertrag</v>
      </c>
      <c r="J73" s="1633" t="s">
        <v>5675</v>
      </c>
      <c r="K73" s="1633" t="str">
        <f>Texte!A2224</f>
        <v>dt TS/ha</v>
      </c>
      <c r="L73" s="1633" t="str">
        <f>Texte!A2226</f>
        <v>dt TS</v>
      </c>
      <c r="M73" s="692"/>
      <c r="N73" s="692"/>
      <c r="O73" s="1491"/>
      <c r="P73" s="692"/>
      <c r="Q73" s="692"/>
      <c r="R73" s="692"/>
      <c r="S73" s="692"/>
      <c r="T73" s="692"/>
      <c r="U73" s="2887"/>
      <c r="V73" s="2058"/>
      <c r="W73" s="2887"/>
      <c r="X73" s="2887"/>
      <c r="Y73" s="2887"/>
      <c r="Z73" s="2887"/>
      <c r="AA73" s="2887"/>
      <c r="AB73" s="2887"/>
      <c r="AC73" s="2887"/>
      <c r="AD73" s="2887"/>
      <c r="AE73" s="2887"/>
      <c r="AF73" s="2058"/>
      <c r="AG73" s="1641"/>
      <c r="AH73" s="1641"/>
      <c r="AI73" s="1641"/>
      <c r="AJ73" s="1641"/>
      <c r="AK73" s="1641"/>
      <c r="AL73" s="1641"/>
      <c r="AM73" s="1641"/>
      <c r="AN73" s="1641"/>
      <c r="AO73" s="2058"/>
      <c r="AP73" s="2058"/>
      <c r="AQ73" s="2058"/>
      <c r="AR73" s="2058"/>
      <c r="AS73" s="2058"/>
      <c r="AT73" s="2058"/>
      <c r="AU73" s="2058"/>
    </row>
    <row r="74" spans="1:47" s="2059" customFormat="1" ht="12.2" customHeight="1">
      <c r="A74" s="692"/>
      <c r="B74" s="1521" t="str">
        <f>Texte!A2230</f>
        <v>Ganzpflanzenmais, Silomais</v>
      </c>
      <c r="C74" s="1520"/>
      <c r="D74" s="1520"/>
      <c r="E74" s="1520"/>
      <c r="F74" s="1520"/>
      <c r="G74" s="1520"/>
      <c r="H74" s="1621"/>
      <c r="I74" s="1632">
        <v>185</v>
      </c>
      <c r="J74" s="1692">
        <f>Fläche!N27</f>
        <v>2</v>
      </c>
      <c r="K74" s="1586">
        <f>N74</f>
        <v>185</v>
      </c>
      <c r="L74" s="1616">
        <f t="shared" ref="L74:L80" si="12">IF(K74&gt;0,J74*K74,J74*N74)</f>
        <v>370</v>
      </c>
      <c r="M74" s="692"/>
      <c r="N74" s="1475">
        <f>IF(J74&gt;0,IF(Fläche!O27&gt;0,Fläche!O27,I74),"")</f>
        <v>185</v>
      </c>
      <c r="O74" s="1976"/>
      <c r="P74" s="692"/>
      <c r="Q74" s="692"/>
      <c r="R74" s="692"/>
      <c r="S74" s="692"/>
      <c r="T74" s="692"/>
      <c r="U74" s="2887"/>
      <c r="V74" s="2058"/>
      <c r="W74" s="2887"/>
      <c r="X74" s="2887"/>
      <c r="Y74" s="2887"/>
      <c r="Z74" s="2887"/>
      <c r="AA74" s="2887"/>
      <c r="AB74" s="2887"/>
      <c r="AC74" s="2887"/>
      <c r="AD74" s="2887"/>
      <c r="AE74" s="2887"/>
      <c r="AF74" s="2058"/>
      <c r="AG74" s="1641"/>
      <c r="AH74" s="1641"/>
      <c r="AI74" s="1641"/>
      <c r="AJ74" s="1641"/>
      <c r="AK74" s="1641"/>
      <c r="AL74" s="1641"/>
      <c r="AM74" s="1641"/>
      <c r="AN74" s="1641"/>
      <c r="AO74" s="2058"/>
      <c r="AP74" s="2058"/>
      <c r="AQ74" s="2058"/>
      <c r="AR74" s="2058"/>
      <c r="AS74" s="2058"/>
      <c r="AT74" s="2058"/>
      <c r="AU74" s="2058"/>
    </row>
    <row r="75" spans="1:47" s="2059" customFormat="1" ht="12.2" customHeight="1">
      <c r="A75" s="692"/>
      <c r="B75" s="1619" t="str">
        <f>Texte!A2231</f>
        <v>Ganzpflanzen-Sorghum</v>
      </c>
      <c r="C75" s="1618"/>
      <c r="D75" s="1618"/>
      <c r="E75" s="1618"/>
      <c r="F75" s="1618"/>
      <c r="G75" s="1618"/>
      <c r="H75" s="1617"/>
      <c r="I75" s="1632">
        <v>185</v>
      </c>
      <c r="J75" s="1692">
        <f>Fläche!N28</f>
        <v>0</v>
      </c>
      <c r="K75" s="1586" t="str">
        <f>N75</f>
        <v/>
      </c>
      <c r="L75" s="1616">
        <f t="shared" si="12"/>
        <v>0</v>
      </c>
      <c r="M75" s="692"/>
      <c r="N75" s="1475" t="str">
        <f>IF(J75&gt;0,IF(Fläche!O28&gt;0,Fläche!O28,I75),"")</f>
        <v/>
      </c>
      <c r="O75" s="1976"/>
      <c r="P75" s="692"/>
      <c r="Q75" s="692"/>
      <c r="R75" s="692"/>
      <c r="S75" s="692"/>
      <c r="T75" s="692"/>
      <c r="U75" s="2887"/>
      <c r="V75" s="2058"/>
      <c r="W75" s="2887"/>
      <c r="X75" s="2887"/>
      <c r="Y75" s="2887"/>
      <c r="Z75" s="2887"/>
      <c r="AA75" s="2887"/>
      <c r="AB75" s="2887"/>
      <c r="AC75" s="2887"/>
      <c r="AD75" s="2887"/>
      <c r="AE75" s="2887"/>
      <c r="AF75" s="2058"/>
      <c r="AG75" s="1641"/>
      <c r="AH75" s="1641"/>
      <c r="AI75" s="1641"/>
      <c r="AJ75" s="1641"/>
      <c r="AK75" s="1641"/>
      <c r="AL75" s="1641"/>
      <c r="AM75" s="1641"/>
      <c r="AN75" s="1641"/>
      <c r="AO75" s="2058"/>
      <c r="AP75" s="2058"/>
      <c r="AQ75" s="2058"/>
      <c r="AR75" s="2058"/>
      <c r="AS75" s="2058"/>
      <c r="AT75" s="2058"/>
      <c r="AU75" s="2058"/>
    </row>
    <row r="76" spans="1:47" s="2059" customFormat="1" ht="12.2" customHeight="1">
      <c r="A76" s="692"/>
      <c r="B76" s="1619" t="str">
        <f>Texte!A2232</f>
        <v>Futterrüben, ohne Blätter</v>
      </c>
      <c r="C76" s="1618"/>
      <c r="D76" s="1618"/>
      <c r="E76" s="1618"/>
      <c r="F76" s="1618"/>
      <c r="G76" s="1618"/>
      <c r="H76" s="1617"/>
      <c r="I76" s="1632">
        <v>175</v>
      </c>
      <c r="J76" s="1692">
        <f>Fläche!N29</f>
        <v>0</v>
      </c>
      <c r="K76" s="1586" t="str">
        <f>N76</f>
        <v/>
      </c>
      <c r="L76" s="1616">
        <f t="shared" si="12"/>
        <v>0</v>
      </c>
      <c r="M76" s="692"/>
      <c r="N76" s="1475" t="str">
        <f>IF(J76&gt;0,IF(Fläche!O29&gt;0,Fläche!O29,I76),"")</f>
        <v/>
      </c>
      <c r="O76" s="1976"/>
      <c r="P76" s="692"/>
      <c r="Q76" s="692"/>
      <c r="R76" s="1887">
        <f>Texte!A2256</f>
        <v>0</v>
      </c>
      <c r="S76" s="692"/>
      <c r="T76" s="692"/>
      <c r="U76" s="2887"/>
      <c r="V76" s="2058"/>
      <c r="W76" s="2887"/>
      <c r="X76" s="2887"/>
      <c r="Y76" s="2887"/>
      <c r="Z76" s="2887"/>
      <c r="AA76" s="2887"/>
      <c r="AB76" s="2887"/>
      <c r="AC76" s="2887"/>
      <c r="AD76" s="2887"/>
      <c r="AE76" s="2887"/>
      <c r="AF76" s="2058"/>
      <c r="AG76" s="1641"/>
      <c r="AH76" s="1641"/>
      <c r="AI76" s="1641"/>
      <c r="AJ76" s="1641"/>
      <c r="AK76" s="1641"/>
      <c r="AL76" s="1641"/>
      <c r="AM76" s="1641"/>
      <c r="AN76" s="1641"/>
      <c r="AO76" s="2058"/>
      <c r="AP76" s="2058"/>
      <c r="AQ76" s="2058"/>
      <c r="AR76" s="2058"/>
      <c r="AS76" s="2058"/>
      <c r="AT76" s="2058"/>
      <c r="AU76" s="2058"/>
    </row>
    <row r="77" spans="1:47" s="2059" customFormat="1" ht="12.2" customHeight="1">
      <c r="A77" s="692"/>
      <c r="B77" s="1619" t="str">
        <f>Texte!A2233</f>
        <v>Getreide-Silage</v>
      </c>
      <c r="C77" s="1618"/>
      <c r="D77" s="1618"/>
      <c r="E77" s="1618"/>
      <c r="F77" s="1618"/>
      <c r="G77" s="1618"/>
      <c r="H77" s="1617"/>
      <c r="I77" s="1632">
        <v>106</v>
      </c>
      <c r="J77" s="1692">
        <f>Fläche!E23</f>
        <v>0</v>
      </c>
      <c r="K77" s="1616">
        <f>I77</f>
        <v>106</v>
      </c>
      <c r="L77" s="1616">
        <f t="shared" si="12"/>
        <v>0</v>
      </c>
      <c r="M77" s="692"/>
      <c r="N77" s="1475"/>
      <c r="O77" s="1976"/>
      <c r="P77" s="692"/>
      <c r="Q77" s="692"/>
      <c r="R77" s="1887"/>
      <c r="S77" s="692"/>
      <c r="T77" s="692"/>
      <c r="U77" s="2887"/>
      <c r="V77" s="2058"/>
      <c r="W77" s="2887"/>
      <c r="X77" s="2887"/>
      <c r="Y77" s="2887"/>
      <c r="Z77" s="2887"/>
      <c r="AA77" s="2887"/>
      <c r="AB77" s="2887"/>
      <c r="AC77" s="2887"/>
      <c r="AD77" s="2887"/>
      <c r="AE77" s="2887"/>
      <c r="AF77" s="2058"/>
      <c r="AG77" s="1641"/>
      <c r="AH77" s="1641"/>
      <c r="AI77" s="1641"/>
      <c r="AJ77" s="1641"/>
      <c r="AK77" s="1641"/>
      <c r="AL77" s="1641"/>
      <c r="AM77" s="1641"/>
      <c r="AN77" s="1641"/>
      <c r="AO77" s="2058"/>
      <c r="AP77" s="2058"/>
      <c r="AQ77" s="2058"/>
      <c r="AR77" s="2058"/>
      <c r="AS77" s="2058"/>
      <c r="AT77" s="2058"/>
      <c r="AU77" s="2058"/>
    </row>
    <row r="78" spans="1:47" s="2059" customFormat="1" ht="12.2" customHeight="1">
      <c r="A78" s="692"/>
      <c r="B78" s="1619" t="str">
        <f>Texte!A2234</f>
        <v>Getreide-Silage mit Leguminosen</v>
      </c>
      <c r="C78" s="1618"/>
      <c r="D78" s="1618"/>
      <c r="E78" s="1618"/>
      <c r="F78" s="1618"/>
      <c r="G78" s="1618"/>
      <c r="H78" s="1617"/>
      <c r="I78" s="1632">
        <v>106</v>
      </c>
      <c r="J78" s="1692">
        <f>Fläche!E24</f>
        <v>1.6211</v>
      </c>
      <c r="K78" s="1616">
        <f>I78</f>
        <v>106</v>
      </c>
      <c r="L78" s="1616">
        <f t="shared" si="12"/>
        <v>171.8366</v>
      </c>
      <c r="M78" s="692"/>
      <c r="N78" s="1475"/>
      <c r="O78" s="1976"/>
      <c r="P78" s="692"/>
      <c r="Q78" s="692"/>
      <c r="R78" s="1887"/>
      <c r="S78" s="692"/>
      <c r="T78" s="692"/>
      <c r="U78" s="2887"/>
      <c r="V78" s="2058"/>
      <c r="W78" s="2887"/>
      <c r="X78" s="2887"/>
      <c r="Y78" s="2887"/>
      <c r="Z78" s="2887"/>
      <c r="AA78" s="2887"/>
      <c r="AB78" s="2887"/>
      <c r="AC78" s="2887"/>
      <c r="AD78" s="2887"/>
      <c r="AE78" s="2887"/>
      <c r="AF78" s="2058"/>
      <c r="AG78" s="1641"/>
      <c r="AH78" s="1641"/>
      <c r="AI78" s="1641"/>
      <c r="AJ78" s="1641"/>
      <c r="AK78" s="1641"/>
      <c r="AL78" s="1641"/>
      <c r="AM78" s="1641"/>
      <c r="AN78" s="1641"/>
      <c r="AO78" s="2058"/>
      <c r="AP78" s="2058"/>
      <c r="AQ78" s="2058"/>
      <c r="AR78" s="2058"/>
      <c r="AS78" s="2058"/>
      <c r="AT78" s="2058"/>
      <c r="AU78" s="2058"/>
    </row>
    <row r="79" spans="1:47" s="2059" customFormat="1" ht="12.2" customHeight="1">
      <c r="A79" s="692"/>
      <c r="B79" s="1619" t="str">
        <f>Texte!A2235</f>
        <v>Grünmais, Zweitkultur</v>
      </c>
      <c r="C79" s="1618"/>
      <c r="D79" s="1618"/>
      <c r="E79" s="1618"/>
      <c r="F79" s="1618"/>
      <c r="G79" s="1618"/>
      <c r="H79" s="1617"/>
      <c r="I79" s="1632">
        <v>60</v>
      </c>
      <c r="J79" s="1692">
        <f>Fläche!N44</f>
        <v>0</v>
      </c>
      <c r="K79" s="1586" t="str">
        <f>N79</f>
        <v/>
      </c>
      <c r="L79" s="1616">
        <f t="shared" si="12"/>
        <v>0</v>
      </c>
      <c r="M79" s="692"/>
      <c r="N79" s="1475" t="str">
        <f>IF(J79&gt;0,IF(Fläche!O44&gt;0,Fläche!O44,I79),"")</f>
        <v/>
      </c>
      <c r="O79" s="1977"/>
      <c r="P79" s="692"/>
      <c r="Q79" s="692"/>
      <c r="R79" s="692"/>
      <c r="S79" s="692"/>
      <c r="T79" s="692"/>
      <c r="U79" s="2887"/>
      <c r="V79" s="2058"/>
      <c r="W79" s="2887"/>
      <c r="X79" s="2887"/>
      <c r="Y79" s="2887"/>
      <c r="Z79" s="2887"/>
      <c r="AA79" s="2887"/>
      <c r="AB79" s="2887"/>
      <c r="AC79" s="2887"/>
      <c r="AD79" s="2887"/>
      <c r="AE79" s="2887"/>
      <c r="AF79" s="2058"/>
      <c r="AG79" s="1641"/>
      <c r="AH79" s="1641"/>
      <c r="AI79" s="1641"/>
      <c r="AJ79" s="1641"/>
      <c r="AK79" s="1641"/>
      <c r="AL79" s="1641"/>
      <c r="AM79" s="1641"/>
      <c r="AN79" s="1641"/>
      <c r="AO79" s="2058"/>
      <c r="AP79" s="2058"/>
      <c r="AQ79" s="2058"/>
      <c r="AR79" s="2058"/>
      <c r="AS79" s="2058"/>
      <c r="AT79" s="2058"/>
      <c r="AU79" s="2058"/>
    </row>
    <row r="80" spans="1:47" s="2059" customFormat="1" ht="12.2" customHeight="1">
      <c r="A80" s="692"/>
      <c r="B80" s="1619" t="str">
        <f>Texte!A2236</f>
        <v>Ganzpflanzen-Sorghum, Zweitkultur</v>
      </c>
      <c r="C80" s="1618"/>
      <c r="D80" s="1618"/>
      <c r="E80" s="1618"/>
      <c r="F80" s="1618"/>
      <c r="G80" s="1618"/>
      <c r="H80" s="1617"/>
      <c r="I80" s="1632">
        <v>60</v>
      </c>
      <c r="J80" s="1692">
        <f>Fläche!N45</f>
        <v>0</v>
      </c>
      <c r="K80" s="1586" t="str">
        <f>N80</f>
        <v/>
      </c>
      <c r="L80" s="1616">
        <f t="shared" si="12"/>
        <v>0</v>
      </c>
      <c r="M80" s="692"/>
      <c r="N80" s="1475" t="str">
        <f>IF(J80&gt;0,IF(Fläche!O45&gt;0,Fläche!O45,I80),"")</f>
        <v/>
      </c>
      <c r="O80" s="1977"/>
      <c r="P80" s="692"/>
      <c r="Q80" s="692"/>
      <c r="R80" s="692"/>
      <c r="S80" s="692"/>
      <c r="T80" s="692"/>
      <c r="U80" s="2887"/>
      <c r="V80" s="2058"/>
      <c r="W80" s="2887"/>
      <c r="X80" s="2887"/>
      <c r="Y80" s="2887"/>
      <c r="Z80" s="2887"/>
      <c r="AA80" s="2887"/>
      <c r="AB80" s="2887"/>
      <c r="AC80" s="2887"/>
      <c r="AD80" s="2887"/>
      <c r="AE80" s="2887"/>
      <c r="AF80" s="2058"/>
      <c r="AG80" s="1641"/>
      <c r="AH80" s="1641"/>
      <c r="AI80" s="1641"/>
      <c r="AJ80" s="1641"/>
      <c r="AK80" s="1641"/>
      <c r="AL80" s="1641"/>
      <c r="AM80" s="1641"/>
      <c r="AN80" s="1641"/>
      <c r="AO80" s="2058"/>
      <c r="AP80" s="2058"/>
      <c r="AQ80" s="2058"/>
      <c r="AR80" s="2058"/>
      <c r="AS80" s="2058"/>
      <c r="AT80" s="2058"/>
      <c r="AU80" s="2058"/>
    </row>
    <row r="81" spans="1:47" s="2059" customFormat="1" ht="12.2" customHeight="1">
      <c r="A81" s="692"/>
      <c r="B81" s="1619" t="str">
        <f>Texte!A2237</f>
        <v>Verfüttertes Stroh, nur betriebseigenes</v>
      </c>
      <c r="C81" s="1618"/>
      <c r="D81" s="1618"/>
      <c r="E81" s="1618"/>
      <c r="F81" s="1618"/>
      <c r="G81" s="1618"/>
      <c r="H81" s="1617"/>
      <c r="I81" s="1632">
        <v>40</v>
      </c>
      <c r="J81" s="1631"/>
      <c r="K81" s="1630"/>
      <c r="L81" s="1629"/>
      <c r="M81" s="692" t="b">
        <f>IF(L81&lt;&gt;'SB2'!K17,Texte!A2089)</f>
        <v>0</v>
      </c>
      <c r="N81" s="1475"/>
      <c r="O81" s="692"/>
      <c r="P81" s="692"/>
      <c r="Q81" s="692"/>
      <c r="R81" s="692"/>
      <c r="S81" s="692"/>
      <c r="T81" s="692"/>
      <c r="U81" s="2887"/>
      <c r="V81" s="2058"/>
      <c r="W81" s="2887"/>
      <c r="X81" s="2887"/>
      <c r="Y81" s="2887"/>
      <c r="Z81" s="2887"/>
      <c r="AA81" s="2887"/>
      <c r="AB81" s="2887"/>
      <c r="AC81" s="2887"/>
      <c r="AD81" s="2887"/>
      <c r="AE81" s="2887"/>
      <c r="AF81" s="2058"/>
      <c r="AG81" s="1641"/>
      <c r="AH81" s="1641"/>
      <c r="AI81" s="1641"/>
      <c r="AJ81" s="1641"/>
      <c r="AK81" s="1641"/>
      <c r="AL81" s="1641"/>
      <c r="AM81" s="1641"/>
      <c r="AN81" s="1641"/>
      <c r="AO81" s="2058"/>
      <c r="AP81" s="2058"/>
      <c r="AQ81" s="2058"/>
      <c r="AR81" s="2058"/>
      <c r="AS81" s="2058"/>
      <c r="AT81" s="2058"/>
      <c r="AU81" s="2058"/>
    </row>
    <row r="82" spans="1:47" s="2059" customFormat="1" ht="12.2" customHeight="1">
      <c r="A82" s="692"/>
      <c r="B82" s="1628" t="str">
        <f>Texte!A2238</f>
        <v>Verfütterte Rübenblätter, nur betriebseigene</v>
      </c>
      <c r="C82" s="1627"/>
      <c r="D82" s="1627"/>
      <c r="E82" s="1627"/>
      <c r="F82" s="1627"/>
      <c r="G82" s="1627"/>
      <c r="H82" s="1626"/>
      <c r="I82" s="1625">
        <v>50</v>
      </c>
      <c r="J82" s="1624"/>
      <c r="K82" s="1623"/>
      <c r="L82" s="1622"/>
      <c r="M82" s="1886" t="b">
        <f>IF(L82&lt;&gt;'SB2'!K18,Texte!A2089)</f>
        <v>0</v>
      </c>
      <c r="N82" s="1475"/>
      <c r="O82" s="1886"/>
      <c r="P82" s="692"/>
      <c r="Q82" s="692"/>
      <c r="R82" s="692"/>
      <c r="S82" s="692"/>
      <c r="T82" s="692"/>
      <c r="U82" s="2887"/>
      <c r="V82" s="2058"/>
      <c r="W82" s="2887"/>
      <c r="X82" s="2887" t="s">
        <v>182</v>
      </c>
      <c r="Y82" s="2887" t="s">
        <v>181</v>
      </c>
      <c r="Z82" s="2887"/>
      <c r="AA82" s="2887" t="s">
        <v>3517</v>
      </c>
      <c r="AB82" s="2887"/>
      <c r="AC82" s="2887"/>
      <c r="AD82" s="2887"/>
      <c r="AE82" s="2887" t="s">
        <v>6930</v>
      </c>
      <c r="AF82" s="2058"/>
      <c r="AG82" s="1641"/>
      <c r="AH82" s="1641"/>
      <c r="AI82" s="1641"/>
      <c r="AJ82" s="1641"/>
      <c r="AK82" s="1641"/>
      <c r="AL82" s="1641"/>
      <c r="AM82" s="1641"/>
      <c r="AN82" s="1641"/>
      <c r="AO82" s="2058"/>
      <c r="AP82" s="2058"/>
      <c r="AQ82" s="2058"/>
      <c r="AR82" s="2058"/>
      <c r="AS82" s="2058"/>
      <c r="AT82" s="2058"/>
      <c r="AU82" s="2058"/>
    </row>
    <row r="83" spans="1:47" s="2059" customFormat="1" ht="12.2" customHeight="1">
      <c r="A83" s="692"/>
      <c r="B83" s="1521" t="str">
        <f>Texte!A2239</f>
        <v>Zwischenfutter, Aeugstlen, Frühjahrsschnitt vor Umbruch</v>
      </c>
      <c r="C83" s="1520"/>
      <c r="D83" s="1520"/>
      <c r="E83" s="1520"/>
      <c r="F83" s="1520"/>
      <c r="G83" s="1520"/>
      <c r="H83" s="1621"/>
      <c r="I83" s="2374" t="s">
        <v>5668</v>
      </c>
      <c r="J83" s="1693">
        <f>SUM(Fläche!N46:N49)</f>
        <v>0</v>
      </c>
      <c r="K83" s="1586">
        <f>N83</f>
        <v>0</v>
      </c>
      <c r="L83" s="1616">
        <f>IF(AND(K83&lt;&gt;AE84,K83&gt; 0),J83*K83,J83*N83)</f>
        <v>0</v>
      </c>
      <c r="M83" s="1886"/>
      <c r="N83" s="2384">
        <f>AE84</f>
        <v>0</v>
      </c>
      <c r="O83" s="1977"/>
      <c r="P83" s="692"/>
      <c r="Q83" s="692"/>
      <c r="R83" s="692"/>
      <c r="S83" s="692"/>
      <c r="T83" s="692"/>
      <c r="U83" s="2887"/>
      <c r="V83" s="2058"/>
      <c r="W83" s="2887"/>
      <c r="X83" s="2887">
        <f>D_Fläche!V107</f>
        <v>25</v>
      </c>
      <c r="Y83" s="2893" t="str">
        <f t="shared" ref="Y83:Y91" si="13">IF($K83&gt;$X83,1,"")</f>
        <v/>
      </c>
      <c r="Z83" s="2887"/>
      <c r="AA83" s="2887">
        <f>Fläche!O46</f>
        <v>0</v>
      </c>
      <c r="AB83" s="2887"/>
      <c r="AC83" s="2887"/>
      <c r="AD83" s="2887"/>
      <c r="AE83" s="2887"/>
      <c r="AF83" s="2058"/>
      <c r="AG83" s="1641"/>
      <c r="AH83" s="1641"/>
      <c r="AI83" s="1641"/>
      <c r="AJ83" s="1641"/>
      <c r="AK83" s="1641"/>
      <c r="AL83" s="1641"/>
      <c r="AM83" s="1641"/>
      <c r="AN83" s="1641"/>
      <c r="AO83" s="2058"/>
      <c r="AP83" s="2058"/>
      <c r="AQ83" s="2058"/>
      <c r="AR83" s="2058"/>
      <c r="AS83" s="2058"/>
      <c r="AT83" s="2058"/>
      <c r="AU83" s="2058"/>
    </row>
    <row r="84" spans="1:47" s="2059" customFormat="1" ht="12.2" customHeight="1">
      <c r="A84" s="692"/>
      <c r="B84" s="1619" t="str">
        <f>Texte!A2240</f>
        <v>Samenproduktion: Leguminosen Reinbestand</v>
      </c>
      <c r="C84" s="1618"/>
      <c r="D84" s="1618"/>
      <c r="E84" s="1618"/>
      <c r="F84" s="1618"/>
      <c r="G84" s="1618"/>
      <c r="H84" s="1617"/>
      <c r="I84" s="1632">
        <v>120</v>
      </c>
      <c r="J84" s="1692">
        <f>Fläche!N23</f>
        <v>0</v>
      </c>
      <c r="K84" s="1686" t="str">
        <f t="shared" ref="K84:K89" si="14">N84</f>
        <v/>
      </c>
      <c r="L84" s="1616">
        <f>IF(K84&gt;0,J84*K84,J84*N84)</f>
        <v>0</v>
      </c>
      <c r="M84" s="1886"/>
      <c r="N84" s="1475" t="str">
        <f>IF(J84&gt;0,IF(Fläche!O23&gt;0,Fläche!O23,I84),"")</f>
        <v/>
      </c>
      <c r="O84" s="1977"/>
      <c r="P84" s="692"/>
      <c r="Q84" s="692"/>
      <c r="R84" s="692"/>
      <c r="S84" s="692"/>
      <c r="T84" s="692"/>
      <c r="U84" s="2887"/>
      <c r="V84" s="2058"/>
      <c r="W84" s="2887"/>
      <c r="X84" s="2887">
        <f>D_Fläche!V100</f>
        <v>120</v>
      </c>
      <c r="Y84" s="2893" t="str">
        <f t="shared" si="13"/>
        <v/>
      </c>
      <c r="Z84" s="2887" t="str">
        <f>Z89</f>
        <v>Erträge</v>
      </c>
      <c r="AA84" s="2887">
        <f>IF(ISBLANK(Fläche!O46)=FALSE,MIN(Fläche!O46,25),25)</f>
        <v>25</v>
      </c>
      <c r="AB84" s="2887">
        <f>IF(ISBLANK(Fläche!O47)=FALSE,MIN(Fläche!O47,25),25)</f>
        <v>25</v>
      </c>
      <c r="AC84" s="2887">
        <f>IF(ISBLANK(Fläche!O48)=FALSE,MIN(Fläche!O48,25),25)</f>
        <v>25</v>
      </c>
      <c r="AD84" s="2887">
        <f>IF(ISBLANK(Fläche!O49)=FALSE,MIN(Fläche!O49,50),25)</f>
        <v>25</v>
      </c>
      <c r="AE84" s="2887">
        <f>IF(J83=0,0,SUM(AA86:AD86)/J83)</f>
        <v>0</v>
      </c>
      <c r="AF84" s="2058"/>
      <c r="AG84" s="1641"/>
      <c r="AH84" s="1641"/>
      <c r="AI84" s="1641"/>
      <c r="AJ84" s="1641"/>
      <c r="AK84" s="1641"/>
      <c r="AL84" s="1641"/>
      <c r="AM84" s="1641"/>
      <c r="AN84" s="1641"/>
      <c r="AO84" s="2058"/>
      <c r="AP84" s="2058"/>
      <c r="AQ84" s="2058"/>
      <c r="AR84" s="2058"/>
      <c r="AS84" s="2058"/>
      <c r="AT84" s="2058"/>
      <c r="AU84" s="2058"/>
    </row>
    <row r="85" spans="1:47" s="2059" customFormat="1" ht="12.2" customHeight="1">
      <c r="A85" s="692"/>
      <c r="B85" s="1619" t="str">
        <f>Texte!A2241</f>
        <v>Samenproduktion: Gras Reinbestand</v>
      </c>
      <c r="C85" s="1618"/>
      <c r="D85" s="1618"/>
      <c r="E85" s="1618"/>
      <c r="F85" s="1618"/>
      <c r="G85" s="1618"/>
      <c r="H85" s="1617"/>
      <c r="I85" s="1612">
        <v>120</v>
      </c>
      <c r="J85" s="1692">
        <f>Fläche!N24</f>
        <v>0</v>
      </c>
      <c r="K85" s="1686" t="str">
        <f t="shared" si="14"/>
        <v/>
      </c>
      <c r="L85" s="1616">
        <f>IF(K85&gt;0,J85*K85,J85*N85)</f>
        <v>0</v>
      </c>
      <c r="M85" s="1886"/>
      <c r="N85" s="2377" t="str">
        <f>IF(J85&gt;0,IF(Fläche!O24&gt;0,Fläche!O24,I85),"")</f>
        <v/>
      </c>
      <c r="O85" s="1977"/>
      <c r="P85" s="692"/>
      <c r="Q85" s="692"/>
      <c r="R85" s="692"/>
      <c r="S85" s="692"/>
      <c r="T85" s="692"/>
      <c r="U85" s="2887"/>
      <c r="V85" s="2058"/>
      <c r="W85" s="2887"/>
      <c r="X85" s="2887">
        <f>D_Fläche!V101</f>
        <v>180</v>
      </c>
      <c r="Y85" s="2893" t="str">
        <f t="shared" si="13"/>
        <v/>
      </c>
      <c r="Z85" s="2887" t="str">
        <f>Z90</f>
        <v>Fläche</v>
      </c>
      <c r="AA85" s="2887">
        <f>Fläche!N46</f>
        <v>0</v>
      </c>
      <c r="AB85" s="2887">
        <f>Fläche!N47</f>
        <v>0</v>
      </c>
      <c r="AC85" s="2887">
        <f>Fläche!N48</f>
        <v>0</v>
      </c>
      <c r="AD85" s="2887">
        <f>Fläche!N49</f>
        <v>0</v>
      </c>
      <c r="AE85" s="2887"/>
      <c r="AF85" s="2058"/>
      <c r="AG85" s="1641"/>
      <c r="AH85" s="1641"/>
      <c r="AI85" s="1641"/>
      <c r="AJ85" s="1641"/>
      <c r="AK85" s="1641"/>
      <c r="AL85" s="1641"/>
      <c r="AM85" s="1641"/>
      <c r="AN85" s="1641"/>
      <c r="AO85" s="2058"/>
      <c r="AP85" s="2058"/>
      <c r="AQ85" s="2058"/>
      <c r="AR85" s="2058"/>
      <c r="AS85" s="2058"/>
      <c r="AT85" s="2058"/>
      <c r="AU85" s="2058"/>
    </row>
    <row r="86" spans="1:47" s="2059" customFormat="1" ht="12.2" customHeight="1">
      <c r="A86" s="692"/>
      <c r="B86" s="1619" t="str">
        <f>Texte!A2242</f>
        <v>Extensive Wiesen</v>
      </c>
      <c r="C86" s="1618"/>
      <c r="D86" s="1618"/>
      <c r="E86" s="1618"/>
      <c r="F86" s="1618"/>
      <c r="G86" s="1618"/>
      <c r="H86" s="1617"/>
      <c r="I86" s="1612" t="s">
        <v>180</v>
      </c>
      <c r="J86" s="1692">
        <f>SUM(Fläche!N10,Fläche!N37)</f>
        <v>14.1776</v>
      </c>
      <c r="K86" s="1686">
        <f t="shared" si="14"/>
        <v>24.999999999999996</v>
      </c>
      <c r="L86" s="1616">
        <f>IF(K86&gt;0,J86*K86,J86*N86)</f>
        <v>354.43999999999994</v>
      </c>
      <c r="M86" s="1886"/>
      <c r="N86" s="2377">
        <f>IF(J86&gt;0,SUM(Fläche!N10*IF(Fläche!O10&gt;0,Fläche!O10,25),Fläche!N37*IF(Fläche!O37&gt;0,Fläche!O37,25))/J86,0)</f>
        <v>24.999999999999996</v>
      </c>
      <c r="O86" s="1977"/>
      <c r="P86" s="692"/>
      <c r="Q86" s="692"/>
      <c r="R86" s="692"/>
      <c r="S86" s="692"/>
      <c r="T86" s="692"/>
      <c r="U86" s="2887"/>
      <c r="V86" s="2058"/>
      <c r="W86" s="2887"/>
      <c r="X86" s="2887">
        <f>D_Fläche!V87</f>
        <v>30</v>
      </c>
      <c r="Y86" s="2893" t="str">
        <f t="shared" si="13"/>
        <v/>
      </c>
      <c r="Z86" s="2887" t="str">
        <f>Z91</f>
        <v>Produkt</v>
      </c>
      <c r="AA86" s="2887">
        <f>AA84*AA85</f>
        <v>0</v>
      </c>
      <c r="AB86" s="2887">
        <f>AB84*AB85</f>
        <v>0</v>
      </c>
      <c r="AC86" s="2887">
        <f>AC84*AC85</f>
        <v>0</v>
      </c>
      <c r="AD86" s="2887">
        <f>AD84*AD85</f>
        <v>0</v>
      </c>
      <c r="AE86" s="2887"/>
      <c r="AF86" s="2058"/>
      <c r="AG86" s="1641"/>
      <c r="AH86" s="1641"/>
      <c r="AI86" s="1641"/>
      <c r="AJ86" s="1641"/>
      <c r="AK86" s="1641"/>
      <c r="AL86" s="1641"/>
      <c r="AM86" s="1641"/>
      <c r="AN86" s="1641"/>
      <c r="AO86" s="2058"/>
      <c r="AP86" s="2058"/>
      <c r="AQ86" s="2058"/>
      <c r="AR86" s="2058"/>
      <c r="AS86" s="2058"/>
      <c r="AT86" s="2058"/>
      <c r="AU86" s="2058"/>
    </row>
    <row r="87" spans="1:47" s="2059" customFormat="1" ht="12.2" customHeight="1">
      <c r="A87" s="692"/>
      <c r="B87" s="1619" t="str">
        <f>Texte!A2243</f>
        <v>Übrige Wiesen mit Düngeverbot</v>
      </c>
      <c r="C87" s="1618"/>
      <c r="D87" s="1618"/>
      <c r="E87" s="1618"/>
      <c r="F87" s="1618"/>
      <c r="G87" s="1618"/>
      <c r="H87" s="1617"/>
      <c r="I87" s="1612" t="s">
        <v>180</v>
      </c>
      <c r="J87" s="1692">
        <f>Fläche!N12</f>
        <v>0</v>
      </c>
      <c r="K87" s="1686" t="str">
        <f t="shared" si="14"/>
        <v/>
      </c>
      <c r="L87" s="1616">
        <f>IF(K87&gt;0,J87*K87,J87*N87)</f>
        <v>0</v>
      </c>
      <c r="M87" s="1886"/>
      <c r="N87" s="2377" t="str">
        <f>IF(J87&gt;0,IF(Fläche!O12&gt;0,Fläche!O12,30),"")</f>
        <v/>
      </c>
      <c r="O87" s="1977"/>
      <c r="P87" s="692"/>
      <c r="Q87" s="692"/>
      <c r="R87" s="692"/>
      <c r="S87" s="692"/>
      <c r="T87" s="692"/>
      <c r="U87" s="2887" t="s">
        <v>8119</v>
      </c>
      <c r="V87" s="2058"/>
      <c r="W87" s="2887"/>
      <c r="X87" s="2887">
        <f>D_Fläche!V89</f>
        <v>30</v>
      </c>
      <c r="Y87" s="2893" t="str">
        <f t="shared" si="13"/>
        <v/>
      </c>
      <c r="Z87" s="2887"/>
      <c r="AA87" s="2887"/>
      <c r="AB87" s="2887"/>
      <c r="AC87" s="2887"/>
      <c r="AD87" s="2887"/>
      <c r="AE87" s="2887"/>
      <c r="AF87" s="2058"/>
      <c r="AG87" s="1641"/>
      <c r="AH87" s="1641"/>
      <c r="AI87" s="1641"/>
      <c r="AJ87" s="1641"/>
      <c r="AK87" s="1641"/>
      <c r="AL87" s="1641"/>
      <c r="AM87" s="1641"/>
      <c r="AN87" s="1641"/>
      <c r="AO87" s="2058"/>
      <c r="AP87" s="2058"/>
      <c r="AQ87" s="2058"/>
      <c r="AR87" s="2058"/>
      <c r="AS87" s="2058"/>
      <c r="AT87" s="2058"/>
      <c r="AU87" s="2058"/>
    </row>
    <row r="88" spans="1:47" s="2059" customFormat="1" ht="12.2" customHeight="1">
      <c r="A88" s="692"/>
      <c r="B88" s="1619" t="str">
        <f>Texte!A2244</f>
        <v>Extensive Weiden, Waldweiden</v>
      </c>
      <c r="C88" s="1618"/>
      <c r="D88" s="1618"/>
      <c r="E88" s="1618"/>
      <c r="F88" s="1618"/>
      <c r="G88" s="1618"/>
      <c r="H88" s="1617"/>
      <c r="I88" s="1612" t="s">
        <v>179</v>
      </c>
      <c r="J88" s="1692">
        <f>SUM(Fläche!N14:N15)</f>
        <v>2.2204000000000002</v>
      </c>
      <c r="K88" s="1686">
        <f t="shared" si="14"/>
        <v>20</v>
      </c>
      <c r="L88" s="1616">
        <f>IF(K88&gt;0,J88*K88,J88*N88)</f>
        <v>44.408000000000001</v>
      </c>
      <c r="M88" s="1886"/>
      <c r="N88" s="2377">
        <f>IF(J88&gt;0,SUM(Fläche!N14*IF(Fläche!O14&gt;0,Fläche!O14,20),Fläche!N15*IF(Fläche!O15&gt;0,Fläche!O15,20))/J88,0)</f>
        <v>20</v>
      </c>
      <c r="O88" s="1977"/>
      <c r="P88" s="692"/>
      <c r="Q88" s="692"/>
      <c r="R88" s="692"/>
      <c r="S88" s="692"/>
      <c r="T88" s="692"/>
      <c r="U88" s="2887"/>
      <c r="V88" s="2058"/>
      <c r="W88" s="2887"/>
      <c r="X88" s="2887">
        <f>D_Fläche!V92</f>
        <v>25</v>
      </c>
      <c r="Y88" s="2893" t="str">
        <f t="shared" si="13"/>
        <v/>
      </c>
      <c r="Z88" s="2887"/>
      <c r="AA88" s="2887" t="s">
        <v>8120</v>
      </c>
      <c r="AB88" s="2887"/>
      <c r="AC88" s="2887"/>
      <c r="AD88" s="2887"/>
      <c r="AE88" s="2887"/>
      <c r="AF88" s="2058"/>
      <c r="AG88" s="1641"/>
      <c r="AH88" s="1641"/>
      <c r="AI88" s="1641"/>
      <c r="AJ88" s="1641"/>
      <c r="AK88" s="1641"/>
      <c r="AL88" s="1641"/>
      <c r="AM88" s="1641"/>
      <c r="AN88" s="1641"/>
      <c r="AO88" s="2058"/>
      <c r="AP88" s="2058"/>
      <c r="AQ88" s="2058"/>
      <c r="AR88" s="2058"/>
      <c r="AS88" s="2058"/>
      <c r="AT88" s="2058"/>
      <c r="AU88" s="2058"/>
    </row>
    <row r="89" spans="1:47" s="2059" customFormat="1" ht="12.2" customHeight="1">
      <c r="A89" s="692"/>
      <c r="B89" s="1619" t="str">
        <f>Texte!A2245</f>
        <v>Wiesen und Weiden</v>
      </c>
      <c r="C89" s="1618"/>
      <c r="D89" s="1618"/>
      <c r="E89" s="1618" t="str">
        <f>Texte!A2246</f>
        <v>wenig intensiv, 1-3 Nutzungen</v>
      </c>
      <c r="F89" s="1618"/>
      <c r="G89" s="1618"/>
      <c r="H89" s="1617"/>
      <c r="I89" s="1612" t="s">
        <v>6047</v>
      </c>
      <c r="J89" s="1692">
        <f>SUM(Fläche!N11,Fläche!N16)</f>
        <v>19.5747</v>
      </c>
      <c r="K89" s="1686">
        <f t="shared" si="14"/>
        <v>49.969348189244272</v>
      </c>
      <c r="L89" s="1616">
        <f>IF(AND(J91=0,J90=0,J89=0),0,IF(AND(J91=0,J90=0,J89&gt;0),L142-SUM(L74:L88),IF(J89=0,0,IF(N89=0,0,IF(K89&gt;0,J89*K89,J89*N89)))))</f>
        <v>978.13499999999988</v>
      </c>
      <c r="M89" s="1886"/>
      <c r="N89" s="2378">
        <f>IF(AND(J89=0,AE89=0),0,IF(AND(J89&gt;0,J90=0,J91=0),L89/J89,IF(AE89=0,45,AE89)))</f>
        <v>49.969348189244272</v>
      </c>
      <c r="O89" s="1977"/>
      <c r="P89" s="692"/>
      <c r="Q89" s="692"/>
      <c r="R89" s="692"/>
      <c r="S89" s="692"/>
      <c r="T89" s="692"/>
      <c r="U89" s="2887">
        <f>IF(AND(J91=0,J90=0),IF(J89=0,0,L142-SUM(L74:L88)),IF(J89=0,0,IF(N89=0,0,IF(K89&gt;0,J89*K89,J89*N89))))</f>
        <v>978.13499999999988</v>
      </c>
      <c r="V89" s="2058"/>
      <c r="W89" s="2887"/>
      <c r="X89" s="2887">
        <f>D_Fläche!V88</f>
        <v>65</v>
      </c>
      <c r="Y89" s="2893" t="str">
        <f t="shared" si="13"/>
        <v/>
      </c>
      <c r="Z89" s="2887" t="s">
        <v>6931</v>
      </c>
      <c r="AA89" s="2887">
        <f>IF(ISBLANK(Fläche!O11)=FALSE,Fläche!O11,45)</f>
        <v>50</v>
      </c>
      <c r="AB89" s="2887">
        <f>IF(ISBLANK(Fläche!O16)=FALSE,Fläche!O16,45)</f>
        <v>45</v>
      </c>
      <c r="AC89" s="2887"/>
      <c r="AD89" s="2887"/>
      <c r="AE89" s="2887">
        <f>IF(J89=0,0,SUM(AA91:AB91)/J89)</f>
        <v>49.969348189244272</v>
      </c>
      <c r="AF89" s="2058"/>
      <c r="AG89" s="1641"/>
      <c r="AH89" s="1641"/>
      <c r="AI89" s="1641"/>
      <c r="AJ89" s="1641"/>
      <c r="AK89" s="1641"/>
      <c r="AL89" s="1641"/>
      <c r="AM89" s="1641"/>
      <c r="AN89" s="1641"/>
      <c r="AO89" s="2058"/>
      <c r="AP89" s="2058"/>
      <c r="AQ89" s="2058"/>
      <c r="AR89" s="2058"/>
      <c r="AS89" s="2058"/>
      <c r="AT89" s="2058"/>
      <c r="AU89" s="2058"/>
    </row>
    <row r="90" spans="1:47" s="2059" customFormat="1" ht="12.2" customHeight="1">
      <c r="A90" s="692"/>
      <c r="B90" s="1619"/>
      <c r="C90" s="1618"/>
      <c r="D90" s="1618"/>
      <c r="E90" s="1618" t="str">
        <f>Texte!A2247</f>
        <v>mittelintensiv, 1-5 Nutzungen</v>
      </c>
      <c r="F90" s="1618"/>
      <c r="G90" s="1618"/>
      <c r="H90" s="1617"/>
      <c r="I90" s="1612" t="s">
        <v>6048</v>
      </c>
      <c r="J90" s="1692">
        <f>SUM(Fläche!N17,Fläche!N18,Fläche!N21)</f>
        <v>0</v>
      </c>
      <c r="K90" s="1686">
        <f>N90</f>
        <v>0</v>
      </c>
      <c r="L90" s="1616">
        <f>IF(J90=0,0,IF(J91=0,L142-SUM(L74:L89),IF(J90=0,0,IF(N90=0,0,IF(K90&gt;0,J90*K90,J90*N90)))))</f>
        <v>0</v>
      </c>
      <c r="M90" s="1886"/>
      <c r="N90" s="2378">
        <f>IF(AND(J90=0,AE94=0),0,IF(AND(J90&gt;0,J91=0),L90/J90,IF(AE94=0,68,AE94)))</f>
        <v>0</v>
      </c>
      <c r="O90" s="1977"/>
      <c r="P90" s="692"/>
      <c r="Q90" s="692"/>
      <c r="R90" s="692"/>
      <c r="S90" s="692"/>
      <c r="T90" s="692"/>
      <c r="U90" s="2887">
        <f>IF(J91=0,IF(J90=0,0,L142-SUM(L74:L89)),IF(J90=0,0,IF(N90=0,0,IF(K90&gt;0,J90*K90,J90*N90))))</f>
        <v>0</v>
      </c>
      <c r="V90" s="2058"/>
      <c r="W90" s="2887"/>
      <c r="X90" s="2887">
        <f>D_Fläche!V94</f>
        <v>100</v>
      </c>
      <c r="Y90" s="2893" t="str">
        <f t="shared" si="13"/>
        <v/>
      </c>
      <c r="Z90" s="2887" t="s">
        <v>5348</v>
      </c>
      <c r="AA90" s="2887">
        <f>Fläche!N11</f>
        <v>19.454699999999999</v>
      </c>
      <c r="AB90" s="2887">
        <f>Fläche!N16</f>
        <v>0.12</v>
      </c>
      <c r="AC90" s="2887"/>
      <c r="AD90" s="2887"/>
      <c r="AE90" s="2887"/>
      <c r="AF90" s="2058"/>
      <c r="AG90" s="1641"/>
      <c r="AH90" s="1641"/>
      <c r="AI90" s="1641"/>
      <c r="AJ90" s="1641"/>
      <c r="AK90" s="1641"/>
      <c r="AL90" s="1641"/>
      <c r="AM90" s="1641"/>
      <c r="AN90" s="1641"/>
      <c r="AO90" s="2058"/>
      <c r="AP90" s="2058"/>
      <c r="AQ90" s="2058"/>
      <c r="AR90" s="2058"/>
      <c r="AS90" s="2058"/>
      <c r="AT90" s="2058"/>
      <c r="AU90" s="2058"/>
    </row>
    <row r="91" spans="1:47" s="2059" customFormat="1" ht="12.2" customHeight="1">
      <c r="A91" s="692"/>
      <c r="B91" s="1615"/>
      <c r="C91" s="1614"/>
      <c r="D91" s="1614"/>
      <c r="E91" s="1614" t="str">
        <f>Texte!A2248</f>
        <v>intensive, 2-6 Nutzungen</v>
      </c>
      <c r="F91" s="1614"/>
      <c r="G91" s="1614"/>
      <c r="H91" s="1613"/>
      <c r="I91" s="1612" t="s">
        <v>6049</v>
      </c>
      <c r="J91" s="1692">
        <f>SUM(Fläche!N19:N20,Fläche!N22,Fläche!N25, Fläche!N13)</f>
        <v>19</v>
      </c>
      <c r="K91" s="1611">
        <f>IF($J$91="","",(L142-SUM(L74:L90))/J91)</f>
        <v>60.388073684210546</v>
      </c>
      <c r="L91" s="1610">
        <f>IF(AND(J91="",J90&lt;&gt;""),0,L142-SUM(L74:L90))</f>
        <v>1147.3734000000004</v>
      </c>
      <c r="M91" s="1886"/>
      <c r="N91" s="2377"/>
      <c r="O91" s="1886"/>
      <c r="P91" s="692"/>
      <c r="Q91" s="692"/>
      <c r="R91" s="692"/>
      <c r="S91" s="692"/>
      <c r="T91" s="692"/>
      <c r="U91" s="2887"/>
      <c r="V91" s="2058"/>
      <c r="W91" s="2887"/>
      <c r="X91" s="2887">
        <f>D_Fläche!V96</f>
        <v>135</v>
      </c>
      <c r="Y91" s="2893" t="str">
        <f t="shared" si="13"/>
        <v/>
      </c>
      <c r="Z91" s="2887" t="s">
        <v>6932</v>
      </c>
      <c r="AA91" s="2887">
        <f>AA89*AA90</f>
        <v>972.7349999999999</v>
      </c>
      <c r="AB91" s="2887">
        <f>AB89*AB90</f>
        <v>5.3999999999999995</v>
      </c>
      <c r="AC91" s="2887"/>
      <c r="AD91" s="2887"/>
      <c r="AE91" s="2887"/>
      <c r="AF91" s="2058"/>
      <c r="AG91" s="1641"/>
      <c r="AH91" s="1641"/>
      <c r="AI91" s="1641"/>
      <c r="AJ91" s="1641"/>
      <c r="AK91" s="1641"/>
      <c r="AL91" s="1641"/>
      <c r="AM91" s="1641"/>
      <c r="AN91" s="1641"/>
      <c r="AO91" s="2058"/>
      <c r="AP91" s="2058"/>
      <c r="AQ91" s="2058"/>
      <c r="AR91" s="2058"/>
      <c r="AS91" s="2058"/>
      <c r="AT91" s="2058"/>
      <c r="AU91" s="2058"/>
    </row>
    <row r="92" spans="1:47" s="2059" customFormat="1" ht="5.0999999999999996" customHeight="1">
      <c r="A92" s="692"/>
      <c r="B92" s="1546"/>
      <c r="C92" s="1546"/>
      <c r="D92" s="1546"/>
      <c r="E92" s="1546"/>
      <c r="F92" s="692"/>
      <c r="G92" s="692"/>
      <c r="H92" s="692"/>
      <c r="I92" s="1322"/>
      <c r="J92" s="1608"/>
      <c r="K92" s="692"/>
      <c r="L92" s="692"/>
      <c r="M92" s="692"/>
      <c r="N92" s="692"/>
      <c r="O92" s="1607"/>
      <c r="P92" s="1605"/>
      <c r="Q92" s="692"/>
      <c r="R92" s="692"/>
      <c r="S92" s="692"/>
      <c r="T92" s="692"/>
      <c r="U92" s="2887"/>
      <c r="V92" s="2058"/>
      <c r="W92" s="2887"/>
      <c r="X92" s="2887"/>
      <c r="Y92" s="2887"/>
      <c r="Z92" s="2887"/>
      <c r="AA92" s="2887"/>
      <c r="AB92" s="2887"/>
      <c r="AC92" s="2887"/>
      <c r="AD92" s="2887"/>
      <c r="AE92" s="2887"/>
      <c r="AF92" s="2058"/>
      <c r="AG92" s="1641"/>
      <c r="AH92" s="1641"/>
      <c r="AI92" s="1641"/>
      <c r="AJ92" s="1641"/>
      <c r="AK92" s="1641"/>
      <c r="AL92" s="1641"/>
      <c r="AM92" s="1641"/>
      <c r="AN92" s="1641"/>
      <c r="AO92" s="2058"/>
      <c r="AP92" s="2058"/>
      <c r="AQ92" s="2058"/>
      <c r="AR92" s="2058"/>
      <c r="AS92" s="2058"/>
      <c r="AT92" s="2058"/>
      <c r="AU92" s="2058"/>
    </row>
    <row r="93" spans="1:47" s="2059" customFormat="1" ht="12.2" customHeight="1">
      <c r="A93" s="692"/>
      <c r="B93" s="1546" t="str">
        <f>Texte!A2250</f>
        <v>Grünfläche</v>
      </c>
      <c r="C93" s="1546"/>
      <c r="D93" s="1546"/>
      <c r="E93" s="1546"/>
      <c r="F93" s="692"/>
      <c r="G93" s="692"/>
      <c r="H93" s="554" t="str">
        <f>IF(OR(AND(ROUND($L$91,0)&lt;&gt;0,$J$91=""),$L$91&lt;0),Texte!A2249,"")</f>
        <v/>
      </c>
      <c r="I93" s="675"/>
      <c r="J93" s="1606">
        <f>SUM(J84:J91)</f>
        <v>54.972700000000003</v>
      </c>
      <c r="K93" s="1604" t="s">
        <v>5675</v>
      </c>
      <c r="L93" s="692"/>
      <c r="M93" s="692"/>
      <c r="N93" s="1495"/>
      <c r="O93" s="1796"/>
      <c r="P93" s="1796"/>
      <c r="Q93" s="692"/>
      <c r="R93" s="692"/>
      <c r="S93" s="692"/>
      <c r="T93" s="692"/>
      <c r="U93" s="2887"/>
      <c r="V93" s="2058"/>
      <c r="W93" s="2887"/>
      <c r="X93" s="2887"/>
      <c r="Y93" s="2887" t="s">
        <v>7493</v>
      </c>
      <c r="Z93" s="2887"/>
      <c r="AA93" s="2887" t="s">
        <v>6929</v>
      </c>
      <c r="AB93" s="2887"/>
      <c r="AC93" s="2887"/>
      <c r="AD93" s="2887"/>
      <c r="AE93" s="2887"/>
      <c r="AF93" s="2058"/>
      <c r="AG93" s="1641"/>
      <c r="AH93" s="1641"/>
      <c r="AI93" s="1641"/>
      <c r="AJ93" s="1641"/>
      <c r="AK93" s="1641"/>
      <c r="AL93" s="1641"/>
      <c r="AM93" s="1641"/>
      <c r="AN93" s="1641"/>
      <c r="AO93" s="2058"/>
      <c r="AP93" s="2058"/>
      <c r="AQ93" s="2058"/>
      <c r="AR93" s="2058"/>
      <c r="AS93" s="2058"/>
      <c r="AT93" s="2058"/>
      <c r="AU93" s="2058"/>
    </row>
    <row r="94" spans="1:47" s="2059" customFormat="1" ht="12.2" customHeight="1">
      <c r="A94" s="692"/>
      <c r="B94" s="1546" t="str">
        <f>Texte!A2251</f>
        <v>Zwischenfutterfläche</v>
      </c>
      <c r="C94" s="1546"/>
      <c r="D94" s="1546"/>
      <c r="E94" s="1546"/>
      <c r="F94" s="692"/>
      <c r="G94" s="692"/>
      <c r="H94" s="692"/>
      <c r="I94" s="675"/>
      <c r="J94" s="1606">
        <f>SUM(J79:J80,J83)</f>
        <v>0</v>
      </c>
      <c r="K94" s="1604" t="s">
        <v>5675</v>
      </c>
      <c r="L94" s="692"/>
      <c r="M94" s="692"/>
      <c r="N94"/>
      <c r="O94" s="692"/>
      <c r="P94" s="692"/>
      <c r="Q94" s="692"/>
      <c r="R94" s="692"/>
      <c r="S94" s="692"/>
      <c r="T94" s="692"/>
      <c r="U94" s="2887"/>
      <c r="V94" s="2058"/>
      <c r="W94" s="2887"/>
      <c r="X94" s="2887" t="s">
        <v>7494</v>
      </c>
      <c r="Y94" s="2887">
        <f>SUM(J86,J88,J89)</f>
        <v>35.972700000000003</v>
      </c>
      <c r="Z94" s="2887" t="s">
        <v>6931</v>
      </c>
      <c r="AA94" s="2887">
        <f>IF(ISBLANK(Fläche!O17)=FALSE,Fläche!O17,68)</f>
        <v>68</v>
      </c>
      <c r="AB94" s="2887">
        <f>IF(ISBLANK(Fläche!O18)=FALSE,Fläche!O18,68)</f>
        <v>68</v>
      </c>
      <c r="AC94" s="2887">
        <f>IF(ISBLANK(Fläche!O21)=FALSE,Fläche!O21,68)</f>
        <v>68</v>
      </c>
      <c r="AD94" s="2887"/>
      <c r="AE94" s="2887">
        <f>IF(J90=0,0,SUM(AA96:AC96)/J90)</f>
        <v>0</v>
      </c>
      <c r="AF94" s="2058"/>
      <c r="AG94" s="1641"/>
      <c r="AH94" s="1641"/>
      <c r="AI94" s="1641"/>
      <c r="AJ94" s="1641"/>
      <c r="AK94" s="1641"/>
      <c r="AL94" s="1641"/>
      <c r="AM94" s="1641"/>
      <c r="AN94" s="1641"/>
      <c r="AO94" s="2058"/>
      <c r="AP94" s="2058"/>
      <c r="AQ94" s="2058"/>
      <c r="AR94" s="2058"/>
      <c r="AS94" s="2058"/>
      <c r="AT94" s="2058"/>
      <c r="AU94" s="2058"/>
    </row>
    <row r="95" spans="1:47" s="2059" customFormat="1" ht="12.2" customHeight="1">
      <c r="A95" s="692"/>
      <c r="B95" s="1546" t="str">
        <f>Texte!A2252</f>
        <v>B1: Grundfutterproduktion total</v>
      </c>
      <c r="C95" s="1546"/>
      <c r="D95" s="1546"/>
      <c r="E95" s="1546"/>
      <c r="F95" s="692"/>
      <c r="G95" s="692"/>
      <c r="H95" s="692"/>
      <c r="I95" s="675"/>
      <c r="J95" s="1603"/>
      <c r="K95" s="1604"/>
      <c r="L95" s="1552">
        <f>SUM(L74:L91)</f>
        <v>3066.1930000000002</v>
      </c>
      <c r="M95" s="692" t="str">
        <f>Texte!A2117</f>
        <v>dt TS</v>
      </c>
      <c r="N95" s="692"/>
      <c r="O95" s="1602"/>
      <c r="P95" s="1602"/>
      <c r="Q95" s="692"/>
      <c r="R95" s="692"/>
      <c r="S95" s="692"/>
      <c r="T95" s="692"/>
      <c r="U95" s="2887"/>
      <c r="V95" s="2058"/>
      <c r="W95" s="2887"/>
      <c r="X95" s="2887" t="s">
        <v>7495</v>
      </c>
      <c r="Y95" s="2887">
        <f>SUM(G190:G196)</f>
        <v>19.12</v>
      </c>
      <c r="Z95" s="2887" t="s">
        <v>5348</v>
      </c>
      <c r="AA95" s="2887">
        <f>Fläche!N17</f>
        <v>0</v>
      </c>
      <c r="AB95" s="2887">
        <f>Fläche!N18</f>
        <v>0</v>
      </c>
      <c r="AC95" s="2887">
        <f>Fläche!N21</f>
        <v>0</v>
      </c>
      <c r="AD95" s="2887"/>
      <c r="AE95" s="2887"/>
      <c r="AF95" s="2058"/>
      <c r="AG95" s="1641"/>
      <c r="AH95" s="1641"/>
      <c r="AI95" s="1641"/>
      <c r="AJ95" s="1641"/>
      <c r="AK95" s="1641"/>
      <c r="AL95" s="1641"/>
      <c r="AM95" s="1641"/>
      <c r="AN95" s="1641"/>
      <c r="AO95" s="2058"/>
      <c r="AP95" s="2058"/>
      <c r="AQ95" s="2058"/>
      <c r="AR95" s="2058"/>
      <c r="AS95" s="2058"/>
      <c r="AT95" s="2058"/>
      <c r="AU95" s="2058"/>
    </row>
    <row r="96" spans="1:47" s="2059" customFormat="1" ht="12.2" customHeight="1">
      <c r="A96" s="692"/>
      <c r="B96" s="1546" t="str">
        <f>Texte!A2253</f>
        <v>B2: Grundfutterproduktion Wiesen und Weiden</v>
      </c>
      <c r="C96" s="1546"/>
      <c r="D96" s="1546"/>
      <c r="E96" s="1546"/>
      <c r="F96" s="692"/>
      <c r="G96" s="692"/>
      <c r="H96" s="692"/>
      <c r="I96" s="675"/>
      <c r="J96" s="1603"/>
      <c r="K96" s="1604"/>
      <c r="L96" s="1552">
        <f>SUM(L83:L91)</f>
        <v>2524.3564000000001</v>
      </c>
      <c r="M96" s="692" t="str">
        <f>Texte!A2117</f>
        <v>dt TS</v>
      </c>
      <c r="N96"/>
      <c r="O96" s="1602"/>
      <c r="P96" s="1602"/>
      <c r="Q96" s="692"/>
      <c r="R96" s="692"/>
      <c r="S96" s="692"/>
      <c r="T96" s="692"/>
      <c r="U96" s="2887"/>
      <c r="V96" s="2058"/>
      <c r="W96" s="2887"/>
      <c r="X96" s="2887" t="s">
        <v>7496</v>
      </c>
      <c r="Y96" s="2887">
        <f>SUM(H190:H196)</f>
        <v>35.852699999999992</v>
      </c>
      <c r="Z96" s="2887" t="s">
        <v>6932</v>
      </c>
      <c r="AA96" s="2887">
        <f>AA94*AA95</f>
        <v>0</v>
      </c>
      <c r="AB96" s="2887">
        <f>AB94*AB95</f>
        <v>0</v>
      </c>
      <c r="AC96" s="2887">
        <f>AC94*AC95</f>
        <v>0</v>
      </c>
      <c r="AD96" s="2887"/>
      <c r="AE96" s="2887"/>
      <c r="AF96" s="2058"/>
      <c r="AG96" s="1641"/>
      <c r="AH96" s="1641"/>
      <c r="AI96" s="1641"/>
      <c r="AJ96" s="1641"/>
      <c r="AK96" s="1641"/>
      <c r="AL96" s="1641"/>
      <c r="AM96" s="1641"/>
      <c r="AN96" s="1641"/>
      <c r="AO96" s="2058"/>
      <c r="AP96" s="2058"/>
      <c r="AQ96" s="2058"/>
      <c r="AR96" s="2058"/>
      <c r="AS96" s="2058"/>
      <c r="AT96" s="2058"/>
      <c r="AU96" s="2058"/>
    </row>
    <row r="97" spans="1:47" s="2059" customFormat="1" ht="12.2" customHeight="1">
      <c r="A97" s="692"/>
      <c r="B97" s="1546" t="str">
        <f>Texte!A2254</f>
        <v>B3: Grundfutterproduktion übrige</v>
      </c>
      <c r="C97" s="1546"/>
      <c r="D97" s="1546"/>
      <c r="E97" s="1546"/>
      <c r="F97" s="692"/>
      <c r="G97" s="692"/>
      <c r="H97" s="692"/>
      <c r="I97" s="675"/>
      <c r="J97" s="1603"/>
      <c r="K97" s="1604"/>
      <c r="L97" s="1552">
        <f>SUM(L74:L82)</f>
        <v>541.83659999999998</v>
      </c>
      <c r="M97" s="692" t="str">
        <f>Texte!A2117</f>
        <v>dt TS</v>
      </c>
      <c r="N97" s="1602"/>
      <c r="O97" s="1602"/>
      <c r="P97" s="1602"/>
      <c r="Q97" s="692"/>
      <c r="R97" s="692"/>
      <c r="S97" s="692"/>
      <c r="T97" s="692"/>
      <c r="U97" s="2887"/>
      <c r="V97" s="2058"/>
      <c r="W97" s="2887"/>
      <c r="X97" s="2887" t="s">
        <v>6435</v>
      </c>
      <c r="Y97" s="2887" t="str">
        <f>IF(Y96&gt;Y94,"ja","")</f>
        <v/>
      </c>
      <c r="Z97" s="2887"/>
      <c r="AA97" s="2887"/>
      <c r="AB97" s="2887"/>
      <c r="AC97" s="2887"/>
      <c r="AD97" s="2887"/>
      <c r="AE97" s="2887"/>
      <c r="AF97" s="2058"/>
      <c r="AG97" s="1641"/>
      <c r="AH97" s="1641"/>
      <c r="AI97" s="1641"/>
      <c r="AJ97" s="1641"/>
      <c r="AK97" s="1641"/>
      <c r="AL97" s="1641"/>
      <c r="AM97" s="1641"/>
      <c r="AN97" s="1641"/>
      <c r="AO97" s="2058"/>
      <c r="AP97" s="2058"/>
      <c r="AQ97" s="2058"/>
      <c r="AR97" s="2058"/>
      <c r="AS97" s="2058"/>
      <c r="AT97" s="2058"/>
      <c r="AU97" s="2058"/>
    </row>
    <row r="98" spans="1:47" s="2059" customFormat="1" ht="5.0999999999999996" customHeight="1">
      <c r="A98" s="692"/>
      <c r="B98" s="1546"/>
      <c r="C98" s="1546"/>
      <c r="D98" s="1546"/>
      <c r="E98" s="1546"/>
      <c r="F98" s="692"/>
      <c r="G98" s="692"/>
      <c r="H98" s="692"/>
      <c r="I98" s="675"/>
      <c r="J98" s="1603"/>
      <c r="K98" s="692"/>
      <c r="L98" s="692"/>
      <c r="M98" s="692"/>
      <c r="N98" s="1602"/>
      <c r="O98" s="1548"/>
      <c r="P98" s="1548"/>
      <c r="Q98" s="1548"/>
      <c r="R98" s="1548"/>
      <c r="S98" s="692"/>
      <c r="T98" s="692"/>
      <c r="U98" s="2887"/>
      <c r="V98" s="2058"/>
      <c r="W98" s="2887"/>
      <c r="X98" s="2887" t="s">
        <v>5856</v>
      </c>
      <c r="Y98" s="2887" t="str">
        <f>IF(G197&lt;&gt;J93,"ja","")</f>
        <v/>
      </c>
      <c r="Z98" s="2887"/>
      <c r="AA98" s="2887"/>
      <c r="AB98" s="2887"/>
      <c r="AC98" s="2887"/>
      <c r="AD98" s="2887"/>
      <c r="AE98" s="2887"/>
      <c r="AF98" s="2058"/>
      <c r="AG98" s="1641"/>
      <c r="AH98" s="1641"/>
      <c r="AI98" s="1641"/>
      <c r="AJ98" s="1641"/>
      <c r="AK98" s="1641"/>
      <c r="AL98" s="1641"/>
      <c r="AM98" s="1641"/>
      <c r="AN98" s="1641"/>
      <c r="AO98" s="2058"/>
      <c r="AP98" s="2058"/>
      <c r="AQ98" s="2058"/>
      <c r="AR98" s="2058"/>
      <c r="AS98" s="2058"/>
      <c r="AT98" s="2058"/>
      <c r="AU98" s="2058"/>
    </row>
    <row r="99" spans="1:47" s="2059" customFormat="1" ht="12.2" customHeight="1">
      <c r="A99" s="692"/>
      <c r="B99" s="1601" t="str">
        <f>Texte!A2263</f>
        <v>Teil C: Zu- und Wegfuhr Grundfutter</v>
      </c>
      <c r="C99" s="1591"/>
      <c r="D99" s="1591"/>
      <c r="E99" s="1591"/>
      <c r="F99" s="675"/>
      <c r="G99" s="675"/>
      <c r="H99" s="1548"/>
      <c r="I99" s="1600"/>
      <c r="J99" s="1600"/>
      <c r="K99" s="1599"/>
      <c r="L99" s="1599"/>
      <c r="M99" s="1548"/>
      <c r="N99" s="1548"/>
      <c r="O99" s="1548"/>
      <c r="P99" s="1548"/>
      <c r="Q99" s="1548"/>
      <c r="R99" s="1554"/>
      <c r="S99" s="1548"/>
      <c r="T99" s="1548"/>
      <c r="U99" s="2887"/>
      <c r="V99" s="2058"/>
      <c r="W99" s="2887"/>
      <c r="X99" s="2887" t="s">
        <v>6434</v>
      </c>
      <c r="Y99" s="2887" t="str">
        <f>IF(AND(Y96=0,Y94&lt;&gt;0),"ja","")</f>
        <v/>
      </c>
      <c r="Z99" s="2887"/>
      <c r="AA99" s="2887"/>
      <c r="AB99" s="2887"/>
      <c r="AC99" s="2887"/>
      <c r="AD99" s="2887"/>
      <c r="AE99" s="2887"/>
      <c r="AF99" s="2058"/>
      <c r="AG99" s="1641"/>
      <c r="AH99" s="1641"/>
      <c r="AI99" s="1641"/>
      <c r="AJ99" s="1641"/>
      <c r="AK99" s="1641"/>
      <c r="AL99" s="1641"/>
      <c r="AM99" s="1641"/>
      <c r="AN99" s="1641"/>
      <c r="AO99" s="2058"/>
      <c r="AP99" s="2058"/>
      <c r="AQ99" s="2058"/>
      <c r="AR99" s="2058"/>
      <c r="AS99" s="2058"/>
      <c r="AT99" s="2058"/>
      <c r="AU99" s="2058"/>
    </row>
    <row r="100" spans="1:47" s="2059" customFormat="1" ht="5.0999999999999996" customHeight="1">
      <c r="A100" s="692"/>
      <c r="B100" s="1601"/>
      <c r="C100" s="1591"/>
      <c r="D100" s="1591"/>
      <c r="E100" s="1591"/>
      <c r="F100" s="675"/>
      <c r="G100" s="675"/>
      <c r="H100" s="1548"/>
      <c r="I100" s="1600"/>
      <c r="J100" s="1600"/>
      <c r="K100" s="1599"/>
      <c r="L100" s="1599"/>
      <c r="M100" s="1548"/>
      <c r="N100" s="1548"/>
      <c r="O100" s="1548"/>
      <c r="P100" s="1548"/>
      <c r="Q100" s="1548"/>
      <c r="R100" s="1554"/>
      <c r="S100" s="1554"/>
      <c r="T100" s="1554"/>
      <c r="U100" s="2887"/>
      <c r="V100" s="2058"/>
      <c r="W100" s="2887"/>
      <c r="X100" s="2887"/>
      <c r="Y100" s="2887"/>
      <c r="Z100" s="2887"/>
      <c r="AA100" s="2887"/>
      <c r="AB100" s="2887"/>
      <c r="AC100" s="2887"/>
      <c r="AD100" s="2887"/>
      <c r="AE100" s="2887"/>
      <c r="AF100" s="2058"/>
      <c r="AG100" s="1641"/>
      <c r="AH100" s="1641"/>
      <c r="AI100" s="1641"/>
      <c r="AJ100" s="1641"/>
      <c r="AK100" s="1641"/>
      <c r="AL100" s="1641"/>
      <c r="AM100" s="1641"/>
      <c r="AN100" s="1641"/>
      <c r="AO100" s="2058"/>
      <c r="AP100" s="2058"/>
      <c r="AQ100" s="2058"/>
      <c r="AR100" s="2058"/>
      <c r="AS100" s="2058"/>
      <c r="AT100" s="2058"/>
      <c r="AU100" s="2058"/>
    </row>
    <row r="101" spans="1:47" s="2059" customFormat="1" ht="12.2" customHeight="1">
      <c r="A101" s="692"/>
      <c r="B101" s="1598" t="str">
        <f>Texte!A2264</f>
        <v>Grundfutterverzehr auf dem Betrieb</v>
      </c>
      <c r="C101" s="1517"/>
      <c r="D101" s="1517"/>
      <c r="E101" s="1517"/>
      <c r="F101" s="1322"/>
      <c r="G101" s="1322"/>
      <c r="H101" s="1597"/>
      <c r="I101" s="1596"/>
      <c r="J101" s="1596"/>
      <c r="K101" s="1595"/>
      <c r="L101" s="1552">
        <f>H63</f>
        <v>3066.1930000000002</v>
      </c>
      <c r="M101" s="1548" t="str">
        <f>Texte!A2117</f>
        <v>dt TS</v>
      </c>
      <c r="N101" s="1548"/>
      <c r="O101" s="1548"/>
      <c r="P101" s="1548"/>
      <c r="Q101" s="1548"/>
      <c r="R101" s="1554"/>
      <c r="S101" s="1554"/>
      <c r="T101" s="1554"/>
      <c r="U101" s="2887"/>
      <c r="V101" s="2058"/>
      <c r="W101" s="2887"/>
      <c r="X101" s="2887"/>
      <c r="Y101" s="2887"/>
      <c r="Z101" s="2887"/>
      <c r="AA101" s="2887"/>
      <c r="AB101" s="2887"/>
      <c r="AC101" s="2887"/>
      <c r="AD101" s="2887"/>
      <c r="AE101" s="2887"/>
      <c r="AF101" s="2058"/>
      <c r="AG101" s="1641"/>
      <c r="AH101" s="1641"/>
      <c r="AI101" s="1641"/>
      <c r="AJ101" s="1641"/>
      <c r="AK101" s="1641"/>
      <c r="AL101" s="1641"/>
      <c r="AM101" s="1641"/>
      <c r="AN101" s="1641"/>
      <c r="AO101" s="2058"/>
      <c r="AP101" s="2058"/>
      <c r="AQ101" s="2058"/>
      <c r="AR101" s="2058"/>
      <c r="AS101" s="2058"/>
      <c r="AT101" s="2058"/>
      <c r="AU101" s="2058"/>
    </row>
    <row r="102" spans="1:47" s="2059" customFormat="1" ht="12.2" customHeight="1">
      <c r="A102" s="692"/>
      <c r="B102" s="1518" t="str">
        <f>Texte!A2265</f>
        <v>Zu- und Wegfuhr von Grundfutter und Grundfutterproduktion ausserhalb der Futterfläche (FF)</v>
      </c>
      <c r="C102" s="1517"/>
      <c r="D102" s="1517"/>
      <c r="E102" s="1517"/>
      <c r="F102" s="1322"/>
      <c r="G102" s="1322"/>
      <c r="H102" s="1597"/>
      <c r="I102" s="1596"/>
      <c r="J102" s="1596"/>
      <c r="K102" s="1595"/>
      <c r="L102" s="1567"/>
      <c r="M102" s="1548"/>
      <c r="N102" s="1548"/>
      <c r="O102" s="1548"/>
      <c r="P102" s="1548"/>
      <c r="Q102" s="1548"/>
      <c r="R102" s="1554"/>
      <c r="S102" s="692" t="s">
        <v>4899</v>
      </c>
      <c r="T102" s="692"/>
      <c r="U102" s="2887"/>
      <c r="V102" s="2058"/>
      <c r="W102" s="2887"/>
      <c r="X102" s="2887"/>
      <c r="Y102" s="2887"/>
      <c r="Z102" s="2887"/>
      <c r="AA102" s="2887"/>
      <c r="AB102" s="2887"/>
      <c r="AC102" s="2887"/>
      <c r="AD102" s="2887"/>
      <c r="AE102" s="2887"/>
      <c r="AF102" s="2058"/>
      <c r="AG102" s="1641"/>
      <c r="AH102" s="1641"/>
      <c r="AI102" s="1641"/>
      <c r="AJ102" s="1641"/>
      <c r="AK102" s="1641"/>
      <c r="AL102" s="1641"/>
      <c r="AM102" s="1641"/>
      <c r="AN102" s="1641"/>
      <c r="AO102" s="2058"/>
      <c r="AP102" s="2058"/>
      <c r="AQ102" s="2058"/>
      <c r="AR102" s="2058"/>
      <c r="AS102" s="2058"/>
      <c r="AT102" s="2058"/>
      <c r="AU102" s="2058"/>
    </row>
    <row r="103" spans="1:47" s="2059" customFormat="1" ht="12.2" customHeight="1">
      <c r="A103" s="692"/>
      <c r="B103" s="1598" t="str">
        <f>Texte!A2266</f>
        <v>Grundfuttertyp</v>
      </c>
      <c r="C103" s="1517"/>
      <c r="D103" s="1517"/>
      <c r="E103" s="1517"/>
      <c r="F103" s="1594" t="str">
        <f>Texte!A2267</f>
        <v>Menge</v>
      </c>
      <c r="G103" s="1594" t="str">
        <f>Texte!A2269</f>
        <v>%</v>
      </c>
      <c r="H103" s="1593" t="str">
        <f>Texte!A2271</f>
        <v>Code</v>
      </c>
      <c r="I103" s="1592" t="str">
        <f>Texte!A2272</f>
        <v>Wegfuhr</v>
      </c>
      <c r="J103" s="1592" t="str">
        <f>Texte!A2276</f>
        <v>Zufuhr</v>
      </c>
      <c r="K103" s="1592" t="str">
        <f>Texte!A2277</f>
        <v>ausser FF</v>
      </c>
      <c r="L103" s="1567"/>
      <c r="M103" s="1548" t="str">
        <f>Texte!A2271</f>
        <v>Code</v>
      </c>
      <c r="N103" s="1548"/>
      <c r="O103" s="1548"/>
      <c r="P103" s="1548"/>
      <c r="Q103" s="692"/>
      <c r="R103" s="692"/>
      <c r="S103" s="692"/>
      <c r="T103" s="692"/>
      <c r="U103" s="2887"/>
      <c r="V103" s="2058"/>
      <c r="W103" s="2887"/>
      <c r="X103" s="2887"/>
      <c r="Y103" s="2887"/>
      <c r="Z103" s="2887"/>
      <c r="AA103" s="2887"/>
      <c r="AB103" s="2887"/>
      <c r="AC103" s="2887"/>
      <c r="AD103" s="2887"/>
      <c r="AE103" s="2887"/>
      <c r="AF103" s="2058"/>
      <c r="AG103" s="1641"/>
      <c r="AH103" s="1641"/>
      <c r="AI103" s="1641"/>
      <c r="AJ103" s="1641"/>
      <c r="AK103" s="1641"/>
      <c r="AL103" s="1641"/>
      <c r="AM103" s="1641"/>
      <c r="AN103" s="1641"/>
      <c r="AO103" s="2058"/>
      <c r="AP103" s="2058"/>
      <c r="AQ103" s="2058"/>
      <c r="AR103" s="2058"/>
      <c r="AS103" s="2058"/>
      <c r="AT103" s="2058"/>
      <c r="AU103" s="2058"/>
    </row>
    <row r="104" spans="1:47" s="2059" customFormat="1" ht="12.2" customHeight="1">
      <c r="A104" s="692"/>
      <c r="B104" s="1551"/>
      <c r="C104" s="1591"/>
      <c r="D104" s="1591"/>
      <c r="E104" s="1591"/>
      <c r="F104" s="1590" t="str">
        <f>Texte!A2268</f>
        <v>dt</v>
      </c>
      <c r="G104" s="1590" t="str">
        <f>Texte!A2270</f>
        <v>TS</v>
      </c>
      <c r="H104" s="1589" t="s">
        <v>5859</v>
      </c>
      <c r="I104" s="1588" t="str">
        <f>Texte!A2273</f>
        <v>dt TS</v>
      </c>
      <c r="J104" s="1588" t="str">
        <f>Texte!A2273</f>
        <v>dt TS</v>
      </c>
      <c r="K104" s="1588" t="str">
        <f>Texte!A2273</f>
        <v>dt TS</v>
      </c>
      <c r="L104" s="1567"/>
      <c r="M104" s="1548" t="str">
        <f>Texte!A2227</f>
        <v>1 = Verkauf</v>
      </c>
      <c r="N104" s="1548"/>
      <c r="O104" s="1548"/>
      <c r="P104" s="1548"/>
      <c r="Q104" s="692"/>
      <c r="R104" s="692"/>
      <c r="S104" s="692"/>
      <c r="T104" s="1478"/>
      <c r="U104" s="2888">
        <v>1</v>
      </c>
      <c r="V104" s="2058"/>
      <c r="W104" s="2887"/>
      <c r="X104" s="2887"/>
      <c r="Y104" s="2887"/>
      <c r="Z104" s="2887"/>
      <c r="AA104" s="2887"/>
      <c r="AB104" s="2887"/>
      <c r="AC104" s="2887"/>
      <c r="AD104" s="2887"/>
      <c r="AE104" s="2887"/>
      <c r="AF104" s="2058"/>
      <c r="AG104" s="1641"/>
      <c r="AH104" s="1641"/>
      <c r="AI104" s="1641"/>
      <c r="AJ104" s="1641"/>
      <c r="AK104" s="1641"/>
      <c r="AL104" s="1641"/>
      <c r="AM104" s="1641"/>
      <c r="AN104" s="1641"/>
      <c r="AO104" s="2058"/>
      <c r="AP104" s="2058"/>
      <c r="AQ104" s="2058"/>
      <c r="AR104" s="2058"/>
      <c r="AS104" s="2058"/>
      <c r="AT104" s="2058"/>
      <c r="AU104" s="2058"/>
    </row>
    <row r="105" spans="1:47" s="2059" customFormat="1" ht="12.2" customHeight="1">
      <c r="A105" s="692"/>
      <c r="B105" s="1521" t="str">
        <f>Texte!A2279</f>
        <v>Gras</v>
      </c>
      <c r="C105" s="1520"/>
      <c r="D105" s="1520"/>
      <c r="E105" s="1520"/>
      <c r="F105" s="1586"/>
      <c r="G105" s="1585"/>
      <c r="H105" s="1021"/>
      <c r="I105" s="1579" t="str">
        <f t="shared" ref="I105:I114" si="15">IF(H105=1,F105*G105/100,"")</f>
        <v/>
      </c>
      <c r="J105" s="1579" t="str">
        <f t="shared" ref="J105:J127" si="16">IF(H105=2,F105*G105/100,"")</f>
        <v/>
      </c>
      <c r="K105" s="1587"/>
      <c r="L105" s="1567"/>
      <c r="M105" s="1548" t="str">
        <f>Texte!A2228</f>
        <v>2 = Zukauf</v>
      </c>
      <c r="N105" s="1548"/>
      <c r="O105" s="692"/>
      <c r="P105" s="692"/>
      <c r="Q105" s="692"/>
      <c r="R105" s="692"/>
      <c r="S105" s="692"/>
      <c r="T105" s="1478"/>
      <c r="U105" s="2888">
        <v>2</v>
      </c>
      <c r="V105" s="2058"/>
      <c r="W105" s="2887"/>
      <c r="X105" s="2887"/>
      <c r="Y105" s="2887"/>
      <c r="Z105" s="2887"/>
      <c r="AA105" s="2887"/>
      <c r="AB105" s="2887"/>
      <c r="AC105" s="2887"/>
      <c r="AD105" s="2887"/>
      <c r="AE105" s="2887"/>
      <c r="AF105" s="2058"/>
      <c r="AG105" s="1641"/>
      <c r="AH105" s="1641"/>
      <c r="AI105" s="1641"/>
      <c r="AJ105" s="1641"/>
      <c r="AK105" s="1641"/>
      <c r="AL105" s="1641"/>
      <c r="AM105" s="1641"/>
      <c r="AN105" s="1641"/>
      <c r="AO105" s="2058"/>
      <c r="AP105" s="2058"/>
      <c r="AQ105" s="2058"/>
      <c r="AR105" s="2058"/>
      <c r="AS105" s="2058"/>
      <c r="AT105" s="2058"/>
      <c r="AU105" s="2058"/>
    </row>
    <row r="106" spans="1:47" s="2059" customFormat="1" ht="12.2" customHeight="1">
      <c r="A106" s="692"/>
      <c r="B106" s="1524" t="str">
        <f>Texte!A2280</f>
        <v>Grassilage</v>
      </c>
      <c r="C106" s="1523"/>
      <c r="D106" s="1523"/>
      <c r="E106" s="1523"/>
      <c r="F106" s="1586"/>
      <c r="G106" s="1585"/>
      <c r="H106" s="1021"/>
      <c r="I106" s="1519" t="str">
        <f t="shared" si="15"/>
        <v/>
      </c>
      <c r="J106" s="1519" t="str">
        <f t="shared" si="16"/>
        <v/>
      </c>
      <c r="K106" s="1576"/>
      <c r="L106" s="1567"/>
      <c r="M106" s="1548" t="str">
        <f>Texte!A2229</f>
        <v>3 = ausserhalb FF</v>
      </c>
      <c r="N106" s="692"/>
      <c r="O106" s="1548"/>
      <c r="P106" s="1548"/>
      <c r="Q106" s="1492"/>
      <c r="R106" s="1548"/>
      <c r="S106" s="692"/>
      <c r="T106" s="1478"/>
      <c r="U106" s="2889">
        <v>3</v>
      </c>
      <c r="V106" s="2058"/>
      <c r="W106" s="2887"/>
      <c r="X106" s="2887"/>
      <c r="Y106" s="2887"/>
      <c r="Z106" s="2887"/>
      <c r="AA106" s="2887"/>
      <c r="AB106" s="2887"/>
      <c r="AC106" s="2887"/>
      <c r="AD106" s="2887"/>
      <c r="AE106" s="2887"/>
      <c r="AF106" s="2058"/>
      <c r="AG106" s="1641"/>
      <c r="AH106" s="1641"/>
      <c r="AI106" s="1641"/>
      <c r="AJ106" s="1641"/>
      <c r="AK106" s="1641"/>
      <c r="AL106" s="1641"/>
      <c r="AM106" s="1641"/>
      <c r="AN106" s="1641"/>
      <c r="AO106" s="2058"/>
      <c r="AP106" s="2058"/>
      <c r="AQ106" s="2058"/>
      <c r="AR106" s="2058"/>
      <c r="AS106" s="2058"/>
      <c r="AT106" s="2058"/>
      <c r="AU106" s="2058"/>
    </row>
    <row r="107" spans="1:47" s="2059" customFormat="1" ht="12.2" customHeight="1">
      <c r="A107" s="692"/>
      <c r="B107" s="1524" t="str">
        <f>Texte!A2281</f>
        <v>Graswürfel</v>
      </c>
      <c r="C107" s="1523"/>
      <c r="D107" s="1523"/>
      <c r="E107" s="1523"/>
      <c r="F107" s="1586"/>
      <c r="G107" s="1585"/>
      <c r="H107" s="1021"/>
      <c r="I107" s="1519" t="str">
        <f t="shared" si="15"/>
        <v/>
      </c>
      <c r="J107" s="1519" t="str">
        <f t="shared" si="16"/>
        <v/>
      </c>
      <c r="K107" s="1576"/>
      <c r="L107" s="1567"/>
      <c r="M107" s="1548"/>
      <c r="N107" s="1548"/>
      <c r="O107" s="692"/>
      <c r="P107" s="692"/>
      <c r="Q107" s="692"/>
      <c r="R107" s="1548"/>
      <c r="S107" s="692"/>
      <c r="T107" s="692"/>
      <c r="U107" s="2887"/>
      <c r="V107" s="2058"/>
      <c r="W107" s="2887"/>
      <c r="X107" s="2887"/>
      <c r="Y107" s="2887"/>
      <c r="Z107" s="2887"/>
      <c r="AA107" s="2887"/>
      <c r="AB107" s="2887"/>
      <c r="AC107" s="2887"/>
      <c r="AD107" s="2887"/>
      <c r="AE107" s="2887"/>
      <c r="AF107" s="2058"/>
      <c r="AG107" s="1641"/>
      <c r="AH107" s="1641"/>
      <c r="AI107" s="1641"/>
      <c r="AJ107" s="1641"/>
      <c r="AK107" s="1641"/>
      <c r="AL107" s="1641"/>
      <c r="AM107" s="1641"/>
      <c r="AN107" s="1641"/>
      <c r="AO107" s="2058"/>
      <c r="AP107" s="2058"/>
      <c r="AQ107" s="2058"/>
      <c r="AR107" s="2058"/>
      <c r="AS107" s="2058"/>
      <c r="AT107" s="2058"/>
      <c r="AU107" s="2058"/>
    </row>
    <row r="108" spans="1:47" s="2059" customFormat="1" ht="12.2" customHeight="1">
      <c r="A108" s="692"/>
      <c r="B108" s="1511" t="str">
        <f>Texte!A2282</f>
        <v>Dürrfutter</v>
      </c>
      <c r="C108" s="1523"/>
      <c r="D108" s="1523"/>
      <c r="E108" s="1523"/>
      <c r="F108" s="1571"/>
      <c r="G108" s="1570"/>
      <c r="H108" s="1021"/>
      <c r="I108" s="1519" t="str">
        <f t="shared" si="15"/>
        <v/>
      </c>
      <c r="J108" s="1519" t="str">
        <f t="shared" si="16"/>
        <v/>
      </c>
      <c r="K108" s="1576"/>
      <c r="L108" s="1567"/>
      <c r="M108" s="692"/>
      <c r="N108" s="692"/>
      <c r="O108" s="1548"/>
      <c r="P108" s="1548"/>
      <c r="Q108" s="1548"/>
      <c r="R108" s="1548"/>
      <c r="S108" s="692"/>
      <c r="T108" s="692"/>
      <c r="U108" s="2887"/>
      <c r="V108" s="2058"/>
      <c r="W108" s="2887"/>
      <c r="X108" s="2887"/>
      <c r="Y108" s="2887"/>
      <c r="Z108" s="2887"/>
      <c r="AA108" s="2887"/>
      <c r="AB108" s="2887"/>
      <c r="AC108" s="2887"/>
      <c r="AD108" s="2887"/>
      <c r="AE108" s="2887"/>
      <c r="AF108" s="2058"/>
      <c r="AG108" s="1641"/>
      <c r="AH108" s="1641"/>
      <c r="AI108" s="1641"/>
      <c r="AJ108" s="1641"/>
      <c r="AK108" s="1641"/>
      <c r="AL108" s="1641"/>
      <c r="AM108" s="1641"/>
      <c r="AN108" s="1641"/>
      <c r="AO108" s="2058"/>
      <c r="AP108" s="2058"/>
      <c r="AQ108" s="2058"/>
      <c r="AR108" s="2058"/>
      <c r="AS108" s="2058"/>
      <c r="AT108" s="2058"/>
      <c r="AU108" s="2058"/>
    </row>
    <row r="109" spans="1:47" s="2059" customFormat="1" ht="12.2" customHeight="1">
      <c r="A109" s="692"/>
      <c r="B109" s="1337" t="str">
        <f>Texte!A2283</f>
        <v>Dürrfutter, "nährstoffarm"</v>
      </c>
      <c r="C109" s="1584"/>
      <c r="D109" s="1584"/>
      <c r="E109" s="1584"/>
      <c r="F109" s="1583"/>
      <c r="G109" s="1582"/>
      <c r="H109" s="1695"/>
      <c r="I109" s="1515" t="str">
        <f t="shared" si="15"/>
        <v/>
      </c>
      <c r="J109" s="1515" t="str">
        <f t="shared" si="16"/>
        <v/>
      </c>
      <c r="K109" s="1576"/>
      <c r="L109" s="1567"/>
      <c r="M109" s="1548"/>
      <c r="N109" s="1548"/>
      <c r="O109" s="1548"/>
      <c r="P109" s="1548"/>
      <c r="Q109" s="1548"/>
      <c r="R109" s="1548"/>
      <c r="S109" s="692"/>
      <c r="T109" s="692"/>
      <c r="U109" s="2887"/>
      <c r="V109" s="2058"/>
      <c r="W109" s="2887"/>
      <c r="X109" s="2887"/>
      <c r="Y109" s="2887"/>
      <c r="Z109" s="2887"/>
      <c r="AA109" s="2887"/>
      <c r="AB109" s="2887"/>
      <c r="AC109" s="2887"/>
      <c r="AD109" s="2887"/>
      <c r="AE109" s="2887"/>
      <c r="AF109" s="2058"/>
      <c r="AG109" s="1641"/>
      <c r="AH109" s="1641"/>
      <c r="AI109" s="1641"/>
      <c r="AJ109" s="1641"/>
      <c r="AK109" s="1641"/>
      <c r="AL109" s="1641"/>
      <c r="AM109" s="1641"/>
      <c r="AN109" s="1641"/>
      <c r="AO109" s="2058"/>
      <c r="AP109" s="2058"/>
      <c r="AQ109" s="2058"/>
      <c r="AR109" s="2058"/>
      <c r="AS109" s="2058"/>
      <c r="AT109" s="2058"/>
      <c r="AU109" s="2058"/>
    </row>
    <row r="110" spans="1:47" s="2059" customFormat="1" ht="12.2" customHeight="1">
      <c r="A110" s="692"/>
      <c r="B110" s="1521" t="str">
        <f>Texte!A2284</f>
        <v>Getreide-Silage</v>
      </c>
      <c r="C110" s="1520"/>
      <c r="D110" s="1520"/>
      <c r="E110" s="1520"/>
      <c r="F110" s="1581"/>
      <c r="G110" s="1580"/>
      <c r="H110" s="1696"/>
      <c r="I110" s="1579" t="str">
        <f t="shared" si="15"/>
        <v/>
      </c>
      <c r="J110" s="1579" t="str">
        <f t="shared" si="16"/>
        <v/>
      </c>
      <c r="K110" s="1576"/>
      <c r="L110" s="1567"/>
      <c r="M110" s="1548"/>
      <c r="N110" s="1548"/>
      <c r="O110" s="692"/>
      <c r="P110" s="692"/>
      <c r="Q110" s="692"/>
      <c r="R110" s="692"/>
      <c r="S110" s="692"/>
      <c r="T110" s="692"/>
      <c r="U110" s="2887"/>
      <c r="V110" s="2058"/>
      <c r="W110" s="2887"/>
      <c r="X110" s="2887"/>
      <c r="Y110" s="2887"/>
      <c r="Z110" s="2887"/>
      <c r="AA110" s="2887"/>
      <c r="AB110" s="2887"/>
      <c r="AC110" s="2887"/>
      <c r="AD110" s="2887"/>
      <c r="AE110" s="2887"/>
      <c r="AF110" s="2058"/>
      <c r="AG110" s="1641"/>
      <c r="AH110" s="1641"/>
      <c r="AI110" s="1641"/>
      <c r="AJ110" s="1641"/>
      <c r="AK110" s="1641"/>
      <c r="AL110" s="1641"/>
      <c r="AM110" s="1641"/>
      <c r="AN110" s="1641"/>
      <c r="AO110" s="2058"/>
      <c r="AP110" s="2058"/>
      <c r="AQ110" s="2058"/>
      <c r="AR110" s="2058"/>
      <c r="AS110" s="2058"/>
      <c r="AT110" s="2058"/>
      <c r="AU110" s="2058"/>
    </row>
    <row r="111" spans="1:47" s="2059" customFormat="1" ht="12.2" customHeight="1">
      <c r="A111" s="692"/>
      <c r="B111" s="1524" t="str">
        <f>Texte!A2285</f>
        <v>Getreide-Silage mit Leguminosen</v>
      </c>
      <c r="C111" s="1523"/>
      <c r="D111" s="1523"/>
      <c r="E111" s="1523"/>
      <c r="F111" s="1571"/>
      <c r="G111" s="1570"/>
      <c r="H111" s="1021"/>
      <c r="I111" s="1519" t="str">
        <f t="shared" si="15"/>
        <v/>
      </c>
      <c r="J111" s="1519" t="str">
        <f t="shared" si="16"/>
        <v/>
      </c>
      <c r="K111" s="1576"/>
      <c r="L111" s="1567"/>
      <c r="M111" s="1548"/>
      <c r="N111" s="1548"/>
      <c r="O111" s="692"/>
      <c r="P111" s="692"/>
      <c r="Q111" s="692"/>
      <c r="R111" s="692"/>
      <c r="S111" s="692"/>
      <c r="T111" s="692"/>
      <c r="U111" s="2887"/>
      <c r="V111" s="2058"/>
      <c r="W111" s="2887"/>
      <c r="X111" s="2887"/>
      <c r="Y111" s="2887"/>
      <c r="Z111" s="2887"/>
      <c r="AA111" s="2887"/>
      <c r="AB111" s="2887"/>
      <c r="AC111" s="2887"/>
      <c r="AD111" s="2887"/>
      <c r="AE111" s="2887"/>
      <c r="AF111" s="2058"/>
      <c r="AG111" s="1641"/>
      <c r="AH111" s="1641"/>
      <c r="AI111" s="1641"/>
      <c r="AJ111" s="1641"/>
      <c r="AK111" s="1641"/>
      <c r="AL111" s="1641"/>
      <c r="AM111" s="1641"/>
      <c r="AN111" s="1641"/>
      <c r="AO111" s="2058"/>
      <c r="AP111" s="2058"/>
      <c r="AQ111" s="2058"/>
      <c r="AR111" s="2058"/>
      <c r="AS111" s="2058"/>
      <c r="AT111" s="2058"/>
      <c r="AU111" s="2058"/>
    </row>
    <row r="112" spans="1:47" s="2059" customFormat="1" ht="12.2" customHeight="1">
      <c r="A112" s="692"/>
      <c r="B112" s="1578" t="str">
        <f>Texte!A2286</f>
        <v>Silomais</v>
      </c>
      <c r="C112" s="1577"/>
      <c r="D112" s="1577"/>
      <c r="E112" s="1577"/>
      <c r="F112" s="1571"/>
      <c r="G112" s="1570"/>
      <c r="H112" s="1021"/>
      <c r="I112" s="1519" t="str">
        <f t="shared" si="15"/>
        <v/>
      </c>
      <c r="J112" s="1519" t="str">
        <f t="shared" si="16"/>
        <v/>
      </c>
      <c r="K112" s="1576"/>
      <c r="L112" s="1567"/>
      <c r="M112" s="692"/>
      <c r="N112" s="692"/>
      <c r="O112" s="692"/>
      <c r="P112" s="692"/>
      <c r="Q112" s="692"/>
      <c r="R112" s="692"/>
      <c r="S112" s="692"/>
      <c r="T112" s="692"/>
      <c r="U112" s="2887"/>
      <c r="V112" s="2058"/>
      <c r="W112" s="2887"/>
      <c r="X112" s="2887"/>
      <c r="Y112" s="2887"/>
      <c r="Z112" s="2887"/>
      <c r="AA112" s="2887"/>
      <c r="AB112" s="2887"/>
      <c r="AC112" s="2887"/>
      <c r="AD112" s="2887"/>
      <c r="AE112" s="2887"/>
      <c r="AF112" s="2058"/>
      <c r="AG112" s="1641"/>
      <c r="AH112" s="1641"/>
      <c r="AI112" s="1641"/>
      <c r="AJ112" s="1641"/>
      <c r="AK112" s="1641"/>
      <c r="AL112" s="1641"/>
      <c r="AM112" s="1641"/>
      <c r="AN112" s="1641"/>
      <c r="AO112" s="2058"/>
      <c r="AP112" s="2058"/>
      <c r="AQ112" s="2058"/>
      <c r="AR112" s="2058"/>
      <c r="AS112" s="2058"/>
      <c r="AT112" s="2058"/>
      <c r="AU112" s="2058"/>
    </row>
    <row r="113" spans="1:47" s="2059" customFormat="1" ht="12.2" customHeight="1">
      <c r="A113" s="692"/>
      <c r="B113" s="1511" t="str">
        <f>Texte!A2287</f>
        <v>Grünmais</v>
      </c>
      <c r="C113" s="1572"/>
      <c r="D113" s="1572"/>
      <c r="E113" s="1572"/>
      <c r="F113" s="1571"/>
      <c r="G113" s="1570"/>
      <c r="H113" s="1021"/>
      <c r="I113" s="1519" t="str">
        <f t="shared" si="15"/>
        <v/>
      </c>
      <c r="J113" s="1519" t="str">
        <f t="shared" si="16"/>
        <v/>
      </c>
      <c r="K113" s="1576"/>
      <c r="L113" s="1567"/>
      <c r="M113" s="692"/>
      <c r="N113" s="692"/>
      <c r="O113" s="692"/>
      <c r="P113" s="692"/>
      <c r="Q113" s="692"/>
      <c r="R113" s="692"/>
      <c r="S113" s="692"/>
      <c r="T113" s="692"/>
      <c r="U113" s="2887"/>
      <c r="V113" s="2058"/>
      <c r="W113" s="2887"/>
      <c r="X113" s="2887"/>
      <c r="Y113" s="2887"/>
      <c r="Z113" s="2887"/>
      <c r="AA113" s="2887"/>
      <c r="AB113" s="2887"/>
      <c r="AC113" s="2887"/>
      <c r="AD113" s="2887"/>
      <c r="AE113" s="2887"/>
      <c r="AF113" s="2058"/>
      <c r="AG113" s="1641"/>
      <c r="AH113" s="1641"/>
      <c r="AI113" s="1641"/>
      <c r="AJ113" s="1641"/>
      <c r="AK113" s="1641"/>
      <c r="AL113" s="1641"/>
      <c r="AM113" s="1641"/>
      <c r="AN113" s="1641"/>
      <c r="AO113" s="2058"/>
      <c r="AP113" s="2058"/>
      <c r="AQ113" s="2058"/>
      <c r="AR113" s="2058"/>
      <c r="AS113" s="2058"/>
      <c r="AT113" s="2058"/>
      <c r="AU113" s="2058"/>
    </row>
    <row r="114" spans="1:47" s="2059" customFormat="1" ht="12.2" customHeight="1">
      <c r="A114" s="692"/>
      <c r="B114" s="1511" t="str">
        <f>Texte!A2288</f>
        <v>Mais Ganzpflanzenwürfel</v>
      </c>
      <c r="C114" s="1572"/>
      <c r="D114" s="1572"/>
      <c r="E114" s="1572"/>
      <c r="F114" s="1571"/>
      <c r="G114" s="1570"/>
      <c r="H114" s="1021"/>
      <c r="I114" s="1519" t="str">
        <f t="shared" si="15"/>
        <v/>
      </c>
      <c r="J114" s="1519" t="str">
        <f t="shared" si="16"/>
        <v/>
      </c>
      <c r="K114" s="1576"/>
      <c r="L114" s="1567"/>
      <c r="M114" s="692"/>
      <c r="N114" s="692"/>
      <c r="O114" s="692"/>
      <c r="P114" s="692"/>
      <c r="Q114" s="692"/>
      <c r="R114" s="692"/>
      <c r="S114" s="692"/>
      <c r="T114" s="692"/>
      <c r="U114" s="2887"/>
      <c r="V114" s="2058"/>
      <c r="W114" s="2887"/>
      <c r="X114" s="2887"/>
      <c r="Y114" s="2887"/>
      <c r="Z114" s="2887"/>
      <c r="AA114" s="2887"/>
      <c r="AB114" s="2887"/>
      <c r="AC114" s="2887"/>
      <c r="AD114" s="2887"/>
      <c r="AE114" s="2887"/>
      <c r="AF114" s="2058"/>
      <c r="AG114" s="1641"/>
      <c r="AH114" s="1641"/>
      <c r="AI114" s="1641"/>
      <c r="AJ114" s="1641"/>
      <c r="AK114" s="1641"/>
      <c r="AL114" s="1641"/>
      <c r="AM114" s="1641"/>
      <c r="AN114" s="1641"/>
      <c r="AO114" s="2058"/>
      <c r="AP114" s="2058"/>
      <c r="AQ114" s="2058"/>
      <c r="AR114" s="2058"/>
      <c r="AS114" s="2058"/>
      <c r="AT114" s="2058"/>
      <c r="AU114" s="2058"/>
    </row>
    <row r="115" spans="1:47" s="2059" customFormat="1" ht="12.2" customHeight="1">
      <c r="A115" s="692"/>
      <c r="B115" s="1511" t="str">
        <f>Texte!A2289</f>
        <v>CCM, für Rindviehmast</v>
      </c>
      <c r="C115" s="1572"/>
      <c r="D115" s="1572"/>
      <c r="E115" s="1572"/>
      <c r="F115" s="1571"/>
      <c r="G115" s="1570"/>
      <c r="H115" s="1021"/>
      <c r="I115" s="1573"/>
      <c r="J115" s="1519" t="str">
        <f t="shared" si="16"/>
        <v/>
      </c>
      <c r="K115" s="1519" t="str">
        <f>IF(H115=3,F115*G115/100,"")</f>
        <v/>
      </c>
      <c r="L115" s="1567"/>
      <c r="M115" s="692"/>
      <c r="N115" s="692"/>
      <c r="O115" s="692"/>
      <c r="P115" s="692"/>
      <c r="Q115" s="692"/>
      <c r="R115" s="692"/>
      <c r="S115" s="692"/>
      <c r="T115" s="692"/>
      <c r="U115" s="2887"/>
      <c r="V115" s="2058"/>
      <c r="W115" s="2887"/>
      <c r="X115" s="2887"/>
      <c r="Y115" s="2887"/>
      <c r="Z115" s="2887"/>
      <c r="AA115" s="2887"/>
      <c r="AB115" s="2887"/>
      <c r="AC115" s="2887"/>
      <c r="AD115" s="2887"/>
      <c r="AE115" s="2887"/>
      <c r="AF115" s="2058"/>
      <c r="AG115" s="1641"/>
      <c r="AH115" s="1641"/>
      <c r="AI115" s="1641"/>
      <c r="AJ115" s="1641"/>
      <c r="AK115" s="1641"/>
      <c r="AL115" s="1641"/>
      <c r="AM115" s="1641"/>
      <c r="AN115" s="1641"/>
      <c r="AO115" s="2058"/>
      <c r="AP115" s="2058"/>
      <c r="AQ115" s="2058"/>
      <c r="AR115" s="2058"/>
      <c r="AS115" s="2058"/>
      <c r="AT115" s="2058"/>
      <c r="AU115" s="2058"/>
    </row>
    <row r="116" spans="1:47" s="2059" customFormat="1" ht="12.2" customHeight="1">
      <c r="A116" s="692"/>
      <c r="B116" s="1511" t="str">
        <f>Texte!A2290</f>
        <v>Ganzpflanzen-Sorghum</v>
      </c>
      <c r="C116" s="1572"/>
      <c r="D116" s="1572"/>
      <c r="E116" s="1572"/>
      <c r="F116" s="1571"/>
      <c r="G116" s="1570"/>
      <c r="H116" s="1021"/>
      <c r="I116" s="1519" t="str">
        <f>IF(H116=1,F116*G116/100,"")</f>
        <v/>
      </c>
      <c r="J116" s="1519" t="str">
        <f t="shared" si="16"/>
        <v/>
      </c>
      <c r="K116" s="1575"/>
      <c r="L116" s="1567"/>
      <c r="M116" s="692"/>
      <c r="N116" s="692"/>
      <c r="O116" s="692"/>
      <c r="P116" s="692"/>
      <c r="Q116" s="692"/>
      <c r="R116" s="692"/>
      <c r="S116" s="692"/>
      <c r="T116" s="692"/>
      <c r="U116" s="2887"/>
      <c r="V116" s="2058"/>
      <c r="W116" s="2887"/>
      <c r="X116" s="2887"/>
      <c r="Y116" s="2887"/>
      <c r="Z116" s="2887"/>
      <c r="AA116" s="2887"/>
      <c r="AB116" s="2887"/>
      <c r="AC116" s="2887"/>
      <c r="AD116" s="2887"/>
      <c r="AE116" s="2887"/>
      <c r="AF116" s="2058"/>
      <c r="AG116" s="1641"/>
      <c r="AH116" s="1641"/>
      <c r="AI116" s="1641"/>
      <c r="AJ116" s="1641"/>
      <c r="AK116" s="1641"/>
      <c r="AL116" s="1641"/>
      <c r="AM116" s="1641"/>
      <c r="AN116" s="1641"/>
      <c r="AO116" s="2058"/>
      <c r="AP116" s="2058"/>
      <c r="AQ116" s="2058"/>
      <c r="AR116" s="2058"/>
      <c r="AS116" s="2058"/>
      <c r="AT116" s="2058"/>
      <c r="AU116" s="2058"/>
    </row>
    <row r="117" spans="1:47" s="2059" customFormat="1" ht="12.2" customHeight="1">
      <c r="A117" s="692"/>
      <c r="B117" s="1511" t="str">
        <f>Texte!A2291</f>
        <v>Ganzpflanzen-Sorghum, Zweitkultur</v>
      </c>
      <c r="C117" s="1572"/>
      <c r="D117" s="1572"/>
      <c r="E117" s="1572"/>
      <c r="F117" s="1571"/>
      <c r="G117" s="1570"/>
      <c r="H117" s="1021"/>
      <c r="I117" s="1519" t="str">
        <f>IF(H117=1,F117*G117/100,"")</f>
        <v/>
      </c>
      <c r="J117" s="1519" t="str">
        <f>IF(H117=2,F117*G117/100,"")</f>
        <v/>
      </c>
      <c r="K117" s="1575"/>
      <c r="L117" s="1567"/>
      <c r="M117" s="692"/>
      <c r="N117" s="692"/>
      <c r="O117" s="692"/>
      <c r="P117" s="692"/>
      <c r="Q117" s="692"/>
      <c r="R117" s="692"/>
      <c r="S117" s="692"/>
      <c r="T117" s="692"/>
      <c r="U117" s="2887"/>
      <c r="V117" s="2058"/>
      <c r="W117" s="2887"/>
      <c r="X117" s="2887"/>
      <c r="Y117" s="2887"/>
      <c r="Z117" s="2887"/>
      <c r="AA117" s="2887"/>
      <c r="AB117" s="2887"/>
      <c r="AC117" s="2887"/>
      <c r="AD117" s="2887"/>
      <c r="AE117" s="2887"/>
      <c r="AF117" s="2058"/>
      <c r="AG117" s="1641"/>
      <c r="AH117" s="1641"/>
      <c r="AI117" s="1641"/>
      <c r="AJ117" s="1641"/>
      <c r="AK117" s="1641"/>
      <c r="AL117" s="1641"/>
      <c r="AM117" s="1641"/>
      <c r="AN117" s="1641"/>
      <c r="AO117" s="2058"/>
      <c r="AP117" s="2058"/>
      <c r="AQ117" s="2058"/>
      <c r="AR117" s="2058"/>
      <c r="AS117" s="2058"/>
      <c r="AT117" s="2058"/>
      <c r="AU117" s="2058"/>
    </row>
    <row r="118" spans="1:47" s="2059" customFormat="1" ht="12.2" customHeight="1">
      <c r="A118" s="692"/>
      <c r="B118" s="1511" t="str">
        <f>Texte!A2292</f>
        <v>Futterrüben</v>
      </c>
      <c r="C118" s="1572"/>
      <c r="D118" s="1572"/>
      <c r="E118" s="1572"/>
      <c r="F118" s="1571"/>
      <c r="G118" s="1570"/>
      <c r="H118" s="1021"/>
      <c r="I118" s="1519" t="str">
        <f>IF(H118=1,F118*G118/100,"")</f>
        <v/>
      </c>
      <c r="J118" s="1519" t="str">
        <f t="shared" si="16"/>
        <v/>
      </c>
      <c r="K118" s="1575"/>
      <c r="L118" s="1567"/>
      <c r="M118" s="692"/>
      <c r="N118" s="692"/>
      <c r="O118" s="692"/>
      <c r="P118" s="692"/>
      <c r="Q118" s="692"/>
      <c r="R118" s="692"/>
      <c r="S118" s="692"/>
      <c r="T118" s="692"/>
      <c r="U118" s="2887"/>
      <c r="V118" s="2058"/>
      <c r="W118" s="2887"/>
      <c r="X118" s="2887"/>
      <c r="Y118" s="2887"/>
      <c r="Z118" s="2887"/>
      <c r="AA118" s="2887"/>
      <c r="AB118" s="2887"/>
      <c r="AC118" s="2887"/>
      <c r="AD118" s="2887"/>
      <c r="AE118" s="2887"/>
      <c r="AF118" s="2058"/>
      <c r="AG118" s="1641"/>
      <c r="AH118" s="1641"/>
      <c r="AI118" s="1641"/>
      <c r="AJ118" s="1641"/>
      <c r="AK118" s="1641"/>
      <c r="AL118" s="1641"/>
      <c r="AM118" s="1641"/>
      <c r="AN118" s="1641"/>
      <c r="AO118" s="2058"/>
      <c r="AP118" s="2058"/>
      <c r="AQ118" s="2058"/>
      <c r="AR118" s="2058"/>
      <c r="AS118" s="2058"/>
      <c r="AT118" s="2058"/>
      <c r="AU118" s="2058"/>
    </row>
    <row r="119" spans="1:47" s="2059" customFormat="1" ht="12.2" customHeight="1">
      <c r="A119" s="692"/>
      <c r="B119" s="1511" t="str">
        <f>Texte!A2293</f>
        <v>Zuckerrüben</v>
      </c>
      <c r="C119" s="1572"/>
      <c r="D119" s="1572"/>
      <c r="E119" s="1572"/>
      <c r="F119" s="1571"/>
      <c r="G119" s="1570"/>
      <c r="H119" s="1021"/>
      <c r="I119" s="1573"/>
      <c r="J119" s="1513" t="str">
        <f t="shared" si="16"/>
        <v/>
      </c>
      <c r="K119" s="1519" t="str">
        <f>IF(H119=3,F119*G119/100,"")</f>
        <v/>
      </c>
      <c r="L119" s="1567"/>
      <c r="M119" s="692"/>
      <c r="N119" s="692"/>
      <c r="O119" s="692"/>
      <c r="P119" s="692"/>
      <c r="Q119" s="692"/>
      <c r="R119" s="692"/>
      <c r="S119" s="692"/>
      <c r="T119" s="692"/>
      <c r="U119" s="2887"/>
      <c r="V119" s="2058"/>
      <c r="W119" s="2887"/>
      <c r="X119" s="2887"/>
      <c r="Y119" s="2887"/>
      <c r="Z119" s="2887"/>
      <c r="AA119" s="2887"/>
      <c r="AB119" s="2887"/>
      <c r="AC119" s="2887"/>
      <c r="AD119" s="2887"/>
      <c r="AE119" s="2887"/>
      <c r="AF119" s="2058"/>
      <c r="AG119" s="1641"/>
      <c r="AH119" s="1641"/>
      <c r="AI119" s="1641"/>
      <c r="AJ119" s="1641"/>
      <c r="AK119" s="1641"/>
      <c r="AL119" s="1641"/>
      <c r="AM119" s="1641"/>
      <c r="AN119" s="1641"/>
      <c r="AO119" s="2058"/>
      <c r="AP119" s="2058"/>
      <c r="AQ119" s="2058"/>
      <c r="AR119" s="2058"/>
      <c r="AS119" s="2058"/>
      <c r="AT119" s="2058"/>
      <c r="AU119" s="2058"/>
    </row>
    <row r="120" spans="1:47" s="2059" customFormat="1" ht="12.2" customHeight="1">
      <c r="A120" s="692"/>
      <c r="B120" s="1511" t="str">
        <f>Texte!A2294</f>
        <v>Zuckerrübenschnitzel, frisch</v>
      </c>
      <c r="C120" s="1572"/>
      <c r="D120" s="1572"/>
      <c r="E120" s="1572"/>
      <c r="F120" s="1571"/>
      <c r="G120" s="1570"/>
      <c r="H120" s="1569">
        <v>2</v>
      </c>
      <c r="I120" s="1568"/>
      <c r="J120" s="1519">
        <f t="shared" si="16"/>
        <v>0</v>
      </c>
      <c r="K120" s="1573"/>
      <c r="L120" s="1567"/>
      <c r="M120" s="692"/>
      <c r="N120" s="692"/>
      <c r="O120" s="692"/>
      <c r="P120" s="692"/>
      <c r="Q120" s="692"/>
      <c r="R120" s="692"/>
      <c r="S120" s="692"/>
      <c r="T120" s="692"/>
      <c r="U120" s="2887"/>
      <c r="V120" s="2058"/>
      <c r="W120" s="2887"/>
      <c r="X120" s="2887"/>
      <c r="Y120" s="2887"/>
      <c r="Z120" s="2887"/>
      <c r="AA120" s="2887"/>
      <c r="AB120" s="2887"/>
      <c r="AC120" s="2887"/>
      <c r="AD120" s="2887"/>
      <c r="AE120" s="2887"/>
      <c r="AF120" s="2058"/>
      <c r="AG120" s="1641"/>
      <c r="AH120" s="1641"/>
      <c r="AI120" s="1641"/>
      <c r="AJ120" s="1641"/>
      <c r="AK120" s="1641"/>
      <c r="AL120" s="1641"/>
      <c r="AM120" s="1641"/>
      <c r="AN120" s="1641"/>
      <c r="AO120" s="2058"/>
      <c r="AP120" s="2058"/>
      <c r="AQ120" s="2058"/>
      <c r="AR120" s="2058"/>
      <c r="AS120" s="2058"/>
      <c r="AT120" s="2058"/>
      <c r="AU120" s="2058"/>
    </row>
    <row r="121" spans="1:47" s="2059" customFormat="1" ht="12.2" customHeight="1">
      <c r="A121" s="692"/>
      <c r="B121" s="1511" t="str">
        <f>Texte!A2295</f>
        <v>Zuckerrübenschnitzel, siliert</v>
      </c>
      <c r="C121" s="1572"/>
      <c r="D121" s="1572"/>
      <c r="E121" s="1572"/>
      <c r="F121" s="1571"/>
      <c r="G121" s="1570"/>
      <c r="H121" s="1569">
        <v>2</v>
      </c>
      <c r="I121" s="1568"/>
      <c r="J121" s="1519">
        <f t="shared" si="16"/>
        <v>0</v>
      </c>
      <c r="K121" s="1568"/>
      <c r="L121" s="1567"/>
      <c r="M121" s="692"/>
      <c r="N121" s="692"/>
      <c r="O121" s="692"/>
      <c r="P121" s="692"/>
      <c r="Q121" s="692"/>
      <c r="R121" s="692"/>
      <c r="S121" s="692"/>
      <c r="T121" s="692"/>
      <c r="U121" s="2887"/>
      <c r="V121" s="2058"/>
      <c r="W121" s="2887"/>
      <c r="X121" s="2887"/>
      <c r="Y121" s="2887"/>
      <c r="Z121" s="2887"/>
      <c r="AA121" s="2887"/>
      <c r="AB121" s="2887"/>
      <c r="AC121" s="2887"/>
      <c r="AD121" s="2887"/>
      <c r="AE121" s="2887"/>
      <c r="AF121" s="2058"/>
      <c r="AG121" s="1641"/>
      <c r="AH121" s="1641"/>
      <c r="AI121" s="1641"/>
      <c r="AJ121" s="1641"/>
      <c r="AK121" s="1641"/>
      <c r="AL121" s="1641"/>
      <c r="AM121" s="1641"/>
      <c r="AN121" s="1641"/>
      <c r="AO121" s="2058"/>
      <c r="AP121" s="2058"/>
      <c r="AQ121" s="2058"/>
      <c r="AR121" s="2058"/>
      <c r="AS121" s="2058"/>
      <c r="AT121" s="2058"/>
      <c r="AU121" s="2058"/>
    </row>
    <row r="122" spans="1:47" s="2059" customFormat="1" ht="12.2" customHeight="1">
      <c r="A122" s="692"/>
      <c r="B122" s="1511" t="str">
        <f>Texte!A2297</f>
        <v>Rübenblätter</v>
      </c>
      <c r="C122" s="1572"/>
      <c r="D122" s="1572"/>
      <c r="E122" s="1572"/>
      <c r="F122" s="1571"/>
      <c r="G122" s="1570"/>
      <c r="H122" s="1569">
        <v>2</v>
      </c>
      <c r="I122" s="1568"/>
      <c r="J122" s="1519">
        <f t="shared" si="16"/>
        <v>0</v>
      </c>
      <c r="K122" s="1574"/>
      <c r="L122" s="1567"/>
      <c r="M122" s="692"/>
      <c r="N122" s="692"/>
      <c r="O122" s="692"/>
      <c r="P122" s="692"/>
      <c r="Q122" s="692"/>
      <c r="R122" s="692"/>
      <c r="S122" s="692"/>
      <c r="T122" s="692"/>
      <c r="U122" s="2887"/>
      <c r="V122" s="2058"/>
      <c r="W122" s="2887"/>
      <c r="X122" s="2887"/>
      <c r="Y122" s="2887"/>
      <c r="Z122" s="2887"/>
      <c r="AA122" s="2887"/>
      <c r="AB122" s="2887"/>
      <c r="AC122" s="2887"/>
      <c r="AD122" s="2887"/>
      <c r="AE122" s="2887"/>
      <c r="AF122" s="2058"/>
      <c r="AG122" s="1641"/>
      <c r="AH122" s="1641"/>
      <c r="AI122" s="1641"/>
      <c r="AJ122" s="1641"/>
      <c r="AK122" s="1641"/>
      <c r="AL122" s="1641"/>
      <c r="AM122" s="1641"/>
      <c r="AN122" s="1641"/>
      <c r="AO122" s="2058"/>
      <c r="AP122" s="2058"/>
      <c r="AQ122" s="2058"/>
      <c r="AR122" s="2058"/>
      <c r="AS122" s="2058"/>
      <c r="AT122" s="2058"/>
      <c r="AU122" s="2058"/>
    </row>
    <row r="123" spans="1:47" s="2059" customFormat="1" ht="12.2" customHeight="1">
      <c r="A123" s="692"/>
      <c r="B123" s="1511" t="str">
        <f>Texte!A2298</f>
        <v>Kartoffeln</v>
      </c>
      <c r="C123" s="1572"/>
      <c r="D123" s="1572"/>
      <c r="E123" s="1572"/>
      <c r="F123" s="1571"/>
      <c r="G123" s="1570"/>
      <c r="H123" s="1021"/>
      <c r="I123" s="1568"/>
      <c r="J123" s="1519" t="str">
        <f t="shared" si="16"/>
        <v/>
      </c>
      <c r="K123" s="1519" t="str">
        <f>IF(H123=3,F123*G123/100,"")</f>
        <v/>
      </c>
      <c r="L123" s="1567"/>
      <c r="M123" s="692"/>
      <c r="N123" s="692"/>
      <c r="O123" s="692"/>
      <c r="P123" s="692"/>
      <c r="Q123" s="692"/>
      <c r="R123" s="692"/>
      <c r="S123" s="692"/>
      <c r="T123" s="692"/>
      <c r="U123" s="2887"/>
      <c r="V123" s="2058"/>
      <c r="W123" s="2887"/>
      <c r="X123" s="2887"/>
      <c r="Y123" s="2887"/>
      <c r="Z123" s="2887"/>
      <c r="AA123" s="2887"/>
      <c r="AB123" s="2887"/>
      <c r="AC123" s="2887"/>
      <c r="AD123" s="2887"/>
      <c r="AE123" s="2887"/>
      <c r="AF123" s="2058"/>
      <c r="AG123" s="1641"/>
      <c r="AH123" s="1641"/>
      <c r="AI123" s="1641"/>
      <c r="AJ123" s="1641"/>
      <c r="AK123" s="1641"/>
      <c r="AL123" s="1641"/>
      <c r="AM123" s="1641"/>
      <c r="AN123" s="1641"/>
      <c r="AO123" s="2058"/>
      <c r="AP123" s="2058"/>
      <c r="AQ123" s="2058"/>
      <c r="AR123" s="2058"/>
      <c r="AS123" s="2058"/>
      <c r="AT123" s="2058"/>
      <c r="AU123" s="2058"/>
    </row>
    <row r="124" spans="1:47" s="2059" customFormat="1" ht="12.2" customHeight="1">
      <c r="A124" s="692"/>
      <c r="B124" s="1511" t="str">
        <f>Texte!A2299</f>
        <v>Chicorée-Wurzeln</v>
      </c>
      <c r="C124" s="1572"/>
      <c r="D124" s="1572"/>
      <c r="E124" s="1572"/>
      <c r="F124" s="1571"/>
      <c r="G124" s="1570"/>
      <c r="H124" s="1569">
        <v>2</v>
      </c>
      <c r="I124" s="1568"/>
      <c r="J124" s="1519">
        <f>IF(H124=2,F124*G124/100,"")</f>
        <v>0</v>
      </c>
      <c r="K124" s="1573"/>
      <c r="L124" s="1567"/>
      <c r="M124" s="692"/>
      <c r="N124" s="692"/>
      <c r="O124" s="692"/>
      <c r="P124" s="692"/>
      <c r="Q124" s="692"/>
      <c r="R124" s="692"/>
      <c r="S124" s="692"/>
      <c r="T124" s="692"/>
      <c r="U124" s="2887"/>
      <c r="V124" s="2058"/>
      <c r="W124" s="2887"/>
      <c r="X124" s="2887"/>
      <c r="Y124" s="2887"/>
      <c r="Z124" s="2887"/>
      <c r="AA124" s="2887"/>
      <c r="AB124" s="2887"/>
      <c r="AC124" s="2887"/>
      <c r="AD124" s="2887"/>
      <c r="AE124" s="2887"/>
      <c r="AF124" s="2058"/>
      <c r="AG124" s="1641"/>
      <c r="AH124" s="1641"/>
      <c r="AI124" s="1641"/>
      <c r="AJ124" s="1641"/>
      <c r="AK124" s="1641"/>
      <c r="AL124" s="1641"/>
      <c r="AM124" s="1641"/>
      <c r="AN124" s="1641"/>
      <c r="AO124" s="2058"/>
      <c r="AP124" s="2058"/>
      <c r="AQ124" s="2058"/>
      <c r="AR124" s="2058"/>
      <c r="AS124" s="2058"/>
      <c r="AT124" s="2058"/>
      <c r="AU124" s="2058"/>
    </row>
    <row r="125" spans="1:47" s="2059" customFormat="1" ht="12.2" customHeight="1">
      <c r="A125" s="692"/>
      <c r="B125" s="1511" t="str">
        <f>Texte!A2300</f>
        <v>Abgang Obst-, Gemüseverwertung</v>
      </c>
      <c r="C125" s="1572"/>
      <c r="D125" s="1572"/>
      <c r="E125" s="1572"/>
      <c r="F125" s="1571"/>
      <c r="G125" s="1570"/>
      <c r="H125" s="1569">
        <v>2</v>
      </c>
      <c r="I125" s="1568"/>
      <c r="J125" s="1519">
        <f t="shared" si="16"/>
        <v>0</v>
      </c>
      <c r="K125" s="1568"/>
      <c r="L125" s="1567"/>
      <c r="M125" s="692"/>
      <c r="N125" s="692"/>
      <c r="O125" s="692"/>
      <c r="P125" s="692"/>
      <c r="Q125" s="692"/>
      <c r="R125" s="692"/>
      <c r="S125" s="692"/>
      <c r="T125" s="692"/>
      <c r="U125" s="2887"/>
      <c r="V125" s="2058"/>
      <c r="W125" s="2887"/>
      <c r="X125" s="2887"/>
      <c r="Y125" s="2887"/>
      <c r="Z125" s="2887"/>
      <c r="AA125" s="2887"/>
      <c r="AB125" s="2887"/>
      <c r="AC125" s="2887"/>
      <c r="AD125" s="2887"/>
      <c r="AE125" s="2887"/>
      <c r="AF125" s="2058"/>
      <c r="AG125" s="1641"/>
      <c r="AH125" s="1641"/>
      <c r="AI125" s="1641"/>
      <c r="AJ125" s="1641"/>
      <c r="AK125" s="1641"/>
      <c r="AL125" s="1641"/>
      <c r="AM125" s="1641"/>
      <c r="AN125" s="1641"/>
      <c r="AO125" s="2058"/>
      <c r="AP125" s="2058"/>
      <c r="AQ125" s="2058"/>
      <c r="AR125" s="2058"/>
      <c r="AS125" s="2058"/>
      <c r="AT125" s="2058"/>
      <c r="AU125" s="2058"/>
    </row>
    <row r="126" spans="1:47" s="2059" customFormat="1" ht="12.2" customHeight="1">
      <c r="A126" s="692"/>
      <c r="B126" s="1511" t="str">
        <f>Texte!A2301</f>
        <v>Biertreber, frisch oder siliert</v>
      </c>
      <c r="C126" s="1572"/>
      <c r="D126" s="1572"/>
      <c r="E126" s="1572"/>
      <c r="F126" s="1571"/>
      <c r="G126" s="1570"/>
      <c r="H126" s="1569">
        <v>2</v>
      </c>
      <c r="I126" s="1568"/>
      <c r="J126" s="1519">
        <f t="shared" si="16"/>
        <v>0</v>
      </c>
      <c r="K126" s="1568"/>
      <c r="L126" s="1567"/>
      <c r="M126" s="692"/>
      <c r="N126" s="692"/>
      <c r="O126" s="692"/>
      <c r="P126" s="692"/>
      <c r="Q126" s="692"/>
      <c r="R126" s="692"/>
      <c r="S126" s="692"/>
      <c r="T126" s="692"/>
      <c r="U126" s="2887"/>
      <c r="V126" s="2058"/>
      <c r="W126" s="2887"/>
      <c r="X126" s="2887"/>
      <c r="Y126" s="2887"/>
      <c r="Z126" s="2887"/>
      <c r="AA126" s="2887"/>
      <c r="AB126" s="2887"/>
      <c r="AC126" s="2887"/>
      <c r="AD126" s="2887"/>
      <c r="AE126" s="2887"/>
      <c r="AF126" s="2058"/>
      <c r="AG126" s="1641"/>
      <c r="AH126" s="1641"/>
      <c r="AI126" s="1641"/>
      <c r="AJ126" s="1641"/>
      <c r="AK126" s="1641"/>
      <c r="AL126" s="1641"/>
      <c r="AM126" s="1641"/>
      <c r="AN126" s="1641"/>
      <c r="AO126" s="2058"/>
      <c r="AP126" s="2058"/>
      <c r="AQ126" s="2058"/>
      <c r="AR126" s="2058"/>
      <c r="AS126" s="2058"/>
      <c r="AT126" s="2058"/>
      <c r="AU126" s="2058"/>
    </row>
    <row r="127" spans="1:47" s="2059" customFormat="1" ht="12.2" customHeight="1">
      <c r="A127" s="692"/>
      <c r="B127" s="1511" t="str">
        <f>Texte!A2302</f>
        <v>Zukauf von Stroh zur Verfütterung</v>
      </c>
      <c r="C127" s="1572"/>
      <c r="D127" s="1572"/>
      <c r="E127" s="1572"/>
      <c r="F127" s="1571"/>
      <c r="G127" s="1570"/>
      <c r="H127" s="1569">
        <v>2</v>
      </c>
      <c r="I127" s="1568"/>
      <c r="J127" s="1519">
        <f t="shared" si="16"/>
        <v>0</v>
      </c>
      <c r="K127" s="1568"/>
      <c r="L127" s="1567"/>
      <c r="M127" s="692"/>
      <c r="N127" s="692"/>
      <c r="O127" s="692"/>
      <c r="P127" s="692"/>
      <c r="Q127" s="692"/>
      <c r="R127" s="692"/>
      <c r="S127" s="692"/>
      <c r="T127" s="692"/>
      <c r="U127" s="2887"/>
      <c r="V127" s="2058"/>
      <c r="W127" s="2887"/>
      <c r="X127" s="2887"/>
      <c r="Y127" s="2887"/>
      <c r="Z127" s="2887"/>
      <c r="AA127" s="2887"/>
      <c r="AB127" s="2887"/>
      <c r="AC127" s="2887"/>
      <c r="AD127" s="2887"/>
      <c r="AE127" s="2887"/>
      <c r="AF127" s="2058"/>
      <c r="AG127" s="1641"/>
      <c r="AH127" s="1641"/>
      <c r="AI127" s="1641"/>
      <c r="AJ127" s="1641"/>
      <c r="AK127" s="1641"/>
      <c r="AL127" s="1641"/>
      <c r="AM127" s="1641"/>
      <c r="AN127" s="1641"/>
      <c r="AO127" s="2058"/>
      <c r="AP127" s="2058"/>
      <c r="AQ127" s="2058"/>
      <c r="AR127" s="2058"/>
      <c r="AS127" s="2058"/>
      <c r="AT127" s="2058"/>
      <c r="AU127" s="2058"/>
    </row>
    <row r="128" spans="1:47" s="2059" customFormat="1" ht="12.2" customHeight="1">
      <c r="A128" s="692"/>
      <c r="B128" s="1511" t="str">
        <f>Texte!A2296</f>
        <v>Zuckerrübenschnitzel, getrocknet</v>
      </c>
      <c r="C128" s="1572"/>
      <c r="D128" s="1572"/>
      <c r="E128" s="1572"/>
      <c r="F128" s="1571"/>
      <c r="G128" s="1570"/>
      <c r="H128" s="1569">
        <v>2</v>
      </c>
      <c r="I128" s="1568"/>
      <c r="J128" s="1519">
        <f>IF(H128=2,F128*G128/100,"")</f>
        <v>0</v>
      </c>
      <c r="K128" s="1568"/>
      <c r="L128" s="1567"/>
      <c r="M128" s="692"/>
      <c r="N128" s="692"/>
      <c r="O128" s="692"/>
      <c r="P128" s="692"/>
      <c r="Q128" s="692"/>
      <c r="R128" s="692"/>
      <c r="S128" s="692"/>
      <c r="T128" s="692"/>
      <c r="U128" s="2887"/>
      <c r="V128" s="2058"/>
      <c r="W128" s="2887"/>
      <c r="X128" s="2887"/>
      <c r="Y128" s="2887"/>
      <c r="Z128" s="2887"/>
      <c r="AA128" s="2887"/>
      <c r="AB128" s="2887"/>
      <c r="AC128" s="2887"/>
      <c r="AD128" s="2887"/>
      <c r="AE128" s="2887"/>
      <c r="AF128" s="2058"/>
      <c r="AG128" s="1641"/>
      <c r="AH128" s="1641"/>
      <c r="AI128" s="1641"/>
      <c r="AJ128" s="1641"/>
      <c r="AK128" s="1641"/>
      <c r="AL128" s="1641"/>
      <c r="AM128" s="1641"/>
      <c r="AN128" s="1641"/>
      <c r="AO128" s="2058"/>
      <c r="AP128" s="2058"/>
      <c r="AQ128" s="2058"/>
      <c r="AR128" s="2058"/>
      <c r="AS128" s="2058"/>
      <c r="AT128" s="2058"/>
      <c r="AU128" s="2058"/>
    </row>
    <row r="129" spans="1:47" s="2059" customFormat="1" ht="12.2" customHeight="1">
      <c r="A129" s="692"/>
      <c r="B129" s="1511" t="str">
        <f>Texte!A2303</f>
        <v>Biertreber, getrocknet</v>
      </c>
      <c r="C129" s="1572"/>
      <c r="D129" s="1572"/>
      <c r="E129" s="1572"/>
      <c r="F129" s="1571"/>
      <c r="G129" s="1570"/>
      <c r="H129" s="1569">
        <v>2</v>
      </c>
      <c r="I129" s="1568"/>
      <c r="J129" s="1519">
        <f>IF(H129=2,F129*G129/100,"")</f>
        <v>0</v>
      </c>
      <c r="K129" s="1568"/>
      <c r="L129" s="1567"/>
      <c r="M129" s="692"/>
      <c r="N129" s="692"/>
      <c r="O129" s="692"/>
      <c r="P129" s="692"/>
      <c r="Q129" s="692"/>
      <c r="R129" s="692"/>
      <c r="S129" s="692"/>
      <c r="T129" s="692"/>
      <c r="U129" s="2887"/>
      <c r="V129" s="2058"/>
      <c r="W129" s="2887"/>
      <c r="X129" s="2887"/>
      <c r="Y129" s="2887"/>
      <c r="Z129" s="2887"/>
      <c r="AA129" s="2887"/>
      <c r="AB129" s="2887"/>
      <c r="AC129" s="2887"/>
      <c r="AD129" s="2887"/>
      <c r="AE129" s="2887"/>
      <c r="AF129" s="2058"/>
      <c r="AG129" s="1641"/>
      <c r="AH129" s="1641"/>
      <c r="AI129" s="1641"/>
      <c r="AJ129" s="1641"/>
      <c r="AK129" s="1641"/>
      <c r="AL129" s="1641"/>
      <c r="AM129" s="1641"/>
      <c r="AN129" s="1641"/>
      <c r="AO129" s="2058"/>
      <c r="AP129" s="2058"/>
      <c r="AQ129" s="2058"/>
      <c r="AR129" s="2058"/>
      <c r="AS129" s="2058"/>
      <c r="AT129" s="2058"/>
      <c r="AU129" s="2058"/>
    </row>
    <row r="130" spans="1:47" s="2059" customFormat="1" ht="12.2" customHeight="1">
      <c r="A130" s="692"/>
      <c r="B130" s="1501" t="str">
        <f>Texte!A2304</f>
        <v>Nebenprodukte Trocken- und Schälmüllerei</v>
      </c>
      <c r="C130" s="1566"/>
      <c r="D130" s="1566"/>
      <c r="E130" s="1566"/>
      <c r="F130" s="1565"/>
      <c r="G130" s="1564"/>
      <c r="H130" s="1563">
        <v>2</v>
      </c>
      <c r="I130" s="1561"/>
      <c r="J130" s="1562">
        <f>IF(H130=2,F130*G130/100,"")</f>
        <v>0</v>
      </c>
      <c r="K130" s="1561"/>
      <c r="L130" s="1560"/>
      <c r="M130" s="692"/>
      <c r="N130" s="692"/>
      <c r="O130" s="692"/>
      <c r="P130" s="692"/>
      <c r="Q130" s="692"/>
      <c r="R130" s="692"/>
      <c r="S130" s="692"/>
      <c r="T130" s="692"/>
      <c r="U130" s="2887"/>
      <c r="V130" s="2058"/>
      <c r="W130" s="2887"/>
      <c r="X130" s="2887"/>
      <c r="Y130" s="2887"/>
      <c r="Z130" s="2887"/>
      <c r="AA130" s="2887"/>
      <c r="AB130" s="2887"/>
      <c r="AC130" s="2887"/>
      <c r="AD130" s="2887"/>
      <c r="AE130" s="2887"/>
      <c r="AF130" s="2058"/>
      <c r="AG130" s="1641"/>
      <c r="AH130" s="1641"/>
      <c r="AI130" s="1641"/>
      <c r="AJ130" s="1641"/>
      <c r="AK130" s="1641"/>
      <c r="AL130" s="1641"/>
      <c r="AM130" s="1641"/>
      <c r="AN130" s="1641"/>
      <c r="AO130" s="2058"/>
      <c r="AP130" s="2058"/>
      <c r="AQ130" s="2058"/>
      <c r="AR130" s="2058"/>
      <c r="AS130" s="2058"/>
      <c r="AT130" s="2058"/>
      <c r="AU130" s="2058"/>
    </row>
    <row r="131" spans="1:47" s="2059" customFormat="1" ht="5.0999999999999996" customHeight="1">
      <c r="A131" s="692"/>
      <c r="B131" s="1546"/>
      <c r="C131" s="675"/>
      <c r="D131" s="675"/>
      <c r="E131" s="675"/>
      <c r="F131" s="1548"/>
      <c r="G131" s="1548"/>
      <c r="H131" s="1548"/>
      <c r="I131" s="1548"/>
      <c r="J131" s="1548"/>
      <c r="K131" s="1548"/>
      <c r="L131" s="1548"/>
      <c r="M131" s="692"/>
      <c r="N131" s="692"/>
      <c r="O131" s="1548"/>
      <c r="P131" s="1548"/>
      <c r="Q131" s="1548"/>
      <c r="R131" s="692"/>
      <c r="S131" s="692"/>
      <c r="T131" s="692"/>
      <c r="U131" s="2887"/>
      <c r="V131" s="2058"/>
      <c r="W131" s="2887"/>
      <c r="X131" s="2887"/>
      <c r="Y131" s="2887"/>
      <c r="Z131" s="2887"/>
      <c r="AA131" s="2887"/>
      <c r="AB131" s="2887"/>
      <c r="AC131" s="2887"/>
      <c r="AD131" s="2887"/>
      <c r="AE131" s="2887"/>
      <c r="AF131" s="2058"/>
      <c r="AG131" s="1641"/>
      <c r="AH131" s="1641"/>
      <c r="AI131" s="1641"/>
      <c r="AJ131" s="1641"/>
      <c r="AK131" s="1641"/>
      <c r="AL131" s="1641"/>
      <c r="AM131" s="1641"/>
      <c r="AN131" s="1641"/>
      <c r="AO131" s="2058"/>
      <c r="AP131" s="2058"/>
      <c r="AQ131" s="2058"/>
      <c r="AR131" s="2058"/>
      <c r="AS131" s="2058"/>
      <c r="AT131" s="2058"/>
      <c r="AU131" s="2058"/>
    </row>
    <row r="132" spans="1:47" s="2059" customFormat="1" ht="12.2" customHeight="1">
      <c r="A132" s="692"/>
      <c r="B132" s="1546" t="str">
        <f>Texte!A2305</f>
        <v>C1: Total Wegfuhr Wiesen und Weidefutter</v>
      </c>
      <c r="C132" s="675"/>
      <c r="D132" s="675"/>
      <c r="E132" s="1548"/>
      <c r="F132" s="1548"/>
      <c r="G132" s="692"/>
      <c r="H132" s="1554"/>
      <c r="I132" s="1559">
        <f>SUM(I105:I109)</f>
        <v>0</v>
      </c>
      <c r="J132" s="1554"/>
      <c r="K132" s="1554"/>
      <c r="L132" s="1552">
        <f>I132</f>
        <v>0</v>
      </c>
      <c r="M132" s="1548" t="str">
        <f>Texte!A$2273</f>
        <v>dt TS</v>
      </c>
      <c r="N132" s="1548"/>
      <c r="O132" s="1548"/>
      <c r="P132" s="1548"/>
      <c r="Q132" s="1557"/>
      <c r="R132" s="692"/>
      <c r="S132" s="692"/>
      <c r="T132" s="692"/>
      <c r="U132" s="2887"/>
      <c r="V132" s="2058"/>
      <c r="W132" s="2887"/>
      <c r="X132" s="2887"/>
      <c r="Y132" s="2887"/>
      <c r="Z132" s="2887"/>
      <c r="AA132" s="2887"/>
      <c r="AB132" s="2887"/>
      <c r="AC132" s="2887"/>
      <c r="AD132" s="2887"/>
      <c r="AE132" s="2887"/>
      <c r="AF132" s="2058"/>
      <c r="AG132" s="1641"/>
      <c r="AH132" s="1641"/>
      <c r="AI132" s="1641"/>
      <c r="AJ132" s="1641"/>
      <c r="AK132" s="1641"/>
      <c r="AL132" s="1641"/>
      <c r="AM132" s="1641"/>
      <c r="AN132" s="1641"/>
      <c r="AO132" s="2058"/>
      <c r="AP132" s="2058"/>
      <c r="AQ132" s="2058"/>
      <c r="AR132" s="2058"/>
      <c r="AS132" s="2058"/>
      <c r="AT132" s="2058"/>
      <c r="AU132" s="2058"/>
    </row>
    <row r="133" spans="1:47" s="2059" customFormat="1" ht="12.2" customHeight="1">
      <c r="A133" s="692"/>
      <c r="B133" s="1546" t="str">
        <f>Texte!A2306</f>
        <v>C2: Total Wegfuhr übrige Grundfutter</v>
      </c>
      <c r="C133" s="675"/>
      <c r="D133" s="675"/>
      <c r="E133" s="1548"/>
      <c r="F133" s="1548"/>
      <c r="G133" s="1554" t="s">
        <v>5858</v>
      </c>
      <c r="H133" s="1548"/>
      <c r="I133" s="1559">
        <f>SUM(I110:I127)</f>
        <v>0</v>
      </c>
      <c r="J133" s="1558"/>
      <c r="K133" s="1558"/>
      <c r="L133" s="1552">
        <f>I133</f>
        <v>0</v>
      </c>
      <c r="M133" s="1548" t="str">
        <f>Texte!A$2273</f>
        <v>dt TS</v>
      </c>
      <c r="N133" s="1642" t="str">
        <f>IF(ROUND(SUM(I132:I133),0)&lt;&gt;ROUND('SB1'!I91,0),Texte!A2315)</f>
        <v>C1 und C2 entsprechen nicht den Mengen in der Suisse-Bilanz!</v>
      </c>
      <c r="O133" s="1548"/>
      <c r="P133" s="1548"/>
      <c r="Q133" s="1557"/>
      <c r="R133" s="692"/>
      <c r="S133" s="692"/>
      <c r="T133" s="692"/>
      <c r="U133" s="2887"/>
      <c r="V133" s="2058"/>
      <c r="W133" s="2887"/>
      <c r="X133" s="2887"/>
      <c r="Y133" s="2887"/>
      <c r="Z133" s="2887"/>
      <c r="AA133" s="2887"/>
      <c r="AB133" s="2887"/>
      <c r="AC133" s="2887"/>
      <c r="AD133" s="2887"/>
      <c r="AE133" s="2887"/>
      <c r="AF133" s="2058"/>
      <c r="AG133" s="1641"/>
      <c r="AH133" s="1641"/>
      <c r="AI133" s="1641"/>
      <c r="AJ133" s="1641"/>
      <c r="AK133" s="1641"/>
      <c r="AL133" s="1641"/>
      <c r="AM133" s="1641"/>
      <c r="AN133" s="1641"/>
      <c r="AO133" s="2058"/>
      <c r="AP133" s="2058"/>
      <c r="AQ133" s="2058"/>
      <c r="AR133" s="2058"/>
      <c r="AS133" s="2058"/>
      <c r="AT133" s="2058"/>
      <c r="AU133" s="2058"/>
    </row>
    <row r="134" spans="1:47" s="2059" customFormat="1" ht="12.2" customHeight="1">
      <c r="A134" s="692"/>
      <c r="B134" s="1546" t="str">
        <f>Texte!A2307</f>
        <v>C3: Total Zufuhr Wiesen- und Weidefutter</v>
      </c>
      <c r="C134" s="675"/>
      <c r="D134" s="675"/>
      <c r="E134" s="1548"/>
      <c r="F134" s="1548"/>
      <c r="G134" s="1554"/>
      <c r="H134" s="1548"/>
      <c r="I134" s="1548"/>
      <c r="J134" s="1552">
        <f>SUM(J105:J109)</f>
        <v>0</v>
      </c>
      <c r="K134" s="1558"/>
      <c r="L134" s="1552">
        <f>J134*-1</f>
        <v>0</v>
      </c>
      <c r="M134" s="1548"/>
      <c r="N134" s="1548"/>
      <c r="O134" s="1548"/>
      <c r="P134" s="1548"/>
      <c r="Q134" s="1557"/>
      <c r="R134" s="692"/>
      <c r="S134" s="692"/>
      <c r="T134" s="692"/>
      <c r="U134" s="2887"/>
      <c r="V134" s="2058"/>
      <c r="W134" s="2887"/>
      <c r="X134" s="2887"/>
      <c r="Y134" s="2887"/>
      <c r="Z134" s="2887"/>
      <c r="AA134" s="2887"/>
      <c r="AB134" s="2887"/>
      <c r="AC134" s="2887"/>
      <c r="AD134" s="2887"/>
      <c r="AE134" s="2887"/>
      <c r="AF134" s="2058"/>
      <c r="AG134" s="1641"/>
      <c r="AH134" s="1641"/>
      <c r="AI134" s="1641"/>
      <c r="AJ134" s="1641"/>
      <c r="AK134" s="1641"/>
      <c r="AL134" s="1641"/>
      <c r="AM134" s="1641"/>
      <c r="AN134" s="1641"/>
      <c r="AO134" s="2058"/>
      <c r="AP134" s="2058"/>
      <c r="AQ134" s="2058"/>
      <c r="AR134" s="2058"/>
      <c r="AS134" s="2058"/>
      <c r="AT134" s="2058"/>
      <c r="AU134" s="2058"/>
    </row>
    <row r="135" spans="1:47" s="2059" customFormat="1" ht="12.2" customHeight="1">
      <c r="A135" s="692"/>
      <c r="B135" s="1546" t="str">
        <f>Texte!A2308</f>
        <v>C4: Total Zufuhr übrige Grundfutter</v>
      </c>
      <c r="C135" s="675"/>
      <c r="D135" s="675"/>
      <c r="E135" s="675"/>
      <c r="F135" s="1548"/>
      <c r="G135" s="1548"/>
      <c r="H135" s="1554" t="s">
        <v>5857</v>
      </c>
      <c r="I135" s="1548"/>
      <c r="J135" s="1552">
        <f>SUM(J110:J127)</f>
        <v>0</v>
      </c>
      <c r="K135" s="692"/>
      <c r="L135" s="1549">
        <f>J135*-1</f>
        <v>0</v>
      </c>
      <c r="M135" s="1548" t="str">
        <f>Texte!A$2273</f>
        <v>dt TS</v>
      </c>
      <c r="N135" s="1642" t="str">
        <f>IF(ROUND(SUM(J134:J135,J137),0)&lt;&gt;ROUND('SB1'!K92,0),Texte!A2316)</f>
        <v>C3 und C4 entsprechen nicht den Mengen in der Suisse-Bilanz!</v>
      </c>
      <c r="O135" s="1548"/>
      <c r="P135" s="1548"/>
      <c r="Q135" s="1557"/>
      <c r="R135" s="692"/>
      <c r="S135" s="692"/>
      <c r="T135" s="692"/>
      <c r="U135" s="2887"/>
      <c r="V135" s="2058"/>
      <c r="W135" s="2887"/>
      <c r="X135" s="2887"/>
      <c r="Y135" s="2887"/>
      <c r="Z135" s="2887"/>
      <c r="AA135" s="2887"/>
      <c r="AB135" s="2887"/>
      <c r="AC135" s="2887"/>
      <c r="AD135" s="2887"/>
      <c r="AE135" s="2887"/>
      <c r="AF135" s="2058"/>
      <c r="AG135" s="1641"/>
      <c r="AH135" s="1641"/>
      <c r="AI135" s="1641"/>
      <c r="AJ135" s="1641"/>
      <c r="AK135" s="1641"/>
      <c r="AL135" s="1641"/>
      <c r="AM135" s="1641"/>
      <c r="AN135" s="1641"/>
      <c r="AO135" s="2058"/>
      <c r="AP135" s="2058"/>
      <c r="AQ135" s="2058"/>
      <c r="AR135" s="2058"/>
      <c r="AS135" s="2058"/>
      <c r="AT135" s="2058"/>
      <c r="AU135" s="2058"/>
    </row>
    <row r="136" spans="1:47" s="2059" customFormat="1" ht="12.2" customHeight="1">
      <c r="A136" s="692"/>
      <c r="B136" s="1546" t="str">
        <f>Texte!A2309</f>
        <v>C5: Grundfutterproduktion ausserhalb der Futterfläche</v>
      </c>
      <c r="C136" s="675"/>
      <c r="D136" s="675"/>
      <c r="E136" s="675"/>
      <c r="F136" s="1548"/>
      <c r="G136" s="1548"/>
      <c r="H136" s="1554"/>
      <c r="I136" s="1548"/>
      <c r="J136" s="1548"/>
      <c r="K136" s="1552">
        <f>SUM(K105:K127)</f>
        <v>0</v>
      </c>
      <c r="L136" s="1549">
        <f>K136*-1</f>
        <v>0</v>
      </c>
      <c r="M136" s="1548"/>
      <c r="N136" s="1642" t="b">
        <f>IF(ROUND(K136,0)&lt;&gt;ROUND('SB1'!M93,0),Texte!A2317)</f>
        <v>0</v>
      </c>
      <c r="O136" s="1548"/>
      <c r="P136" s="1548"/>
      <c r="Q136" s="1548"/>
      <c r="R136" s="692"/>
      <c r="S136" s="692"/>
      <c r="T136" s="692"/>
      <c r="U136" s="2887"/>
      <c r="V136" s="2058"/>
      <c r="W136" s="2887"/>
      <c r="X136" s="2887"/>
      <c r="Y136" s="2887"/>
      <c r="Z136" s="2887"/>
      <c r="AA136" s="2887"/>
      <c r="AB136" s="2887"/>
      <c r="AC136" s="2887"/>
      <c r="AD136" s="2887"/>
      <c r="AE136" s="2887"/>
      <c r="AF136" s="2058"/>
      <c r="AG136" s="1641"/>
      <c r="AH136" s="1641"/>
      <c r="AI136" s="1641"/>
      <c r="AJ136" s="1641"/>
      <c r="AK136" s="1641"/>
      <c r="AL136" s="1641"/>
      <c r="AM136" s="1641"/>
      <c r="AN136" s="1641"/>
      <c r="AO136" s="2058"/>
      <c r="AP136" s="2058"/>
      <c r="AQ136" s="2058"/>
      <c r="AR136" s="2058"/>
      <c r="AS136" s="2058"/>
      <c r="AT136" s="2058"/>
      <c r="AU136" s="2058"/>
    </row>
    <row r="137" spans="1:47" s="2059" customFormat="1" ht="12.2" customHeight="1">
      <c r="A137" s="692"/>
      <c r="B137" s="1546" t="str">
        <f>Texte!A2310</f>
        <v>C6: Total Zufuhr Nebenprodukte aus Lebensmittelverarbeitung</v>
      </c>
      <c r="C137" s="675"/>
      <c r="D137" s="675"/>
      <c r="E137" s="675"/>
      <c r="F137" s="1548"/>
      <c r="G137" s="1548"/>
      <c r="H137" s="1554"/>
      <c r="I137" s="1548"/>
      <c r="J137" s="1552">
        <f>SUM(J128:J130)</f>
        <v>0</v>
      </c>
      <c r="K137" s="692"/>
      <c r="L137" s="1549">
        <f>J137*-1</f>
        <v>0</v>
      </c>
      <c r="M137" s="1548"/>
      <c r="N137" s="1642"/>
      <c r="O137" s="1548"/>
      <c r="P137" s="1548"/>
      <c r="Q137" s="1557"/>
      <c r="R137" s="692"/>
      <c r="S137" s="692"/>
      <c r="T137" s="692"/>
      <c r="U137" s="2887"/>
      <c r="V137" s="2058"/>
      <c r="W137" s="2887"/>
      <c r="X137" s="2887"/>
      <c r="Y137" s="2887"/>
      <c r="Z137" s="2887"/>
      <c r="AA137" s="2887"/>
      <c r="AB137" s="2887"/>
      <c r="AC137" s="2887"/>
      <c r="AD137" s="2887"/>
      <c r="AE137" s="2887"/>
      <c r="AF137" s="2058"/>
      <c r="AG137" s="1641"/>
      <c r="AH137" s="1641"/>
      <c r="AI137" s="1641"/>
      <c r="AJ137" s="1641"/>
      <c r="AK137" s="1641"/>
      <c r="AL137" s="1641"/>
      <c r="AM137" s="1641"/>
      <c r="AN137" s="1641"/>
      <c r="AO137" s="2058"/>
      <c r="AP137" s="2058"/>
      <c r="AQ137" s="2058"/>
      <c r="AR137" s="2058"/>
      <c r="AS137" s="2058"/>
      <c r="AT137" s="2058"/>
      <c r="AU137" s="2058"/>
    </row>
    <row r="138" spans="1:47" s="2059" customFormat="1" ht="5.0999999999999996" customHeight="1">
      <c r="A138" s="692"/>
      <c r="B138" s="1546"/>
      <c r="C138" s="675"/>
      <c r="D138" s="675"/>
      <c r="E138" s="675"/>
      <c r="F138" s="1556"/>
      <c r="G138" s="1556"/>
      <c r="H138" s="1556"/>
      <c r="I138" s="1556"/>
      <c r="J138" s="1556"/>
      <c r="K138" s="1556"/>
      <c r="L138" s="1548"/>
      <c r="M138" s="1548"/>
      <c r="N138" s="1548"/>
      <c r="O138" s="1548"/>
      <c r="P138" s="1548"/>
      <c r="Q138" s="1548"/>
      <c r="R138" s="692"/>
      <c r="S138" s="692"/>
      <c r="T138" s="692"/>
      <c r="U138" s="2887"/>
      <c r="V138" s="2058"/>
      <c r="W138" s="2887"/>
      <c r="X138" s="2887"/>
      <c r="Y138" s="2887"/>
      <c r="Z138" s="2887"/>
      <c r="AA138" s="2887"/>
      <c r="AB138" s="2887"/>
      <c r="AC138" s="2887"/>
      <c r="AD138" s="2887"/>
      <c r="AE138" s="2887"/>
      <c r="AF138" s="2058"/>
      <c r="AG138" s="1641"/>
      <c r="AH138" s="1641"/>
      <c r="AI138" s="1641"/>
      <c r="AJ138" s="1641"/>
      <c r="AK138" s="1641"/>
      <c r="AL138" s="1641"/>
      <c r="AM138" s="1641"/>
      <c r="AN138" s="1641"/>
      <c r="AO138" s="2058"/>
      <c r="AP138" s="2058"/>
      <c r="AQ138" s="2058"/>
      <c r="AR138" s="2058"/>
      <c r="AS138" s="2058"/>
      <c r="AT138" s="2058"/>
      <c r="AU138" s="2058"/>
    </row>
    <row r="139" spans="1:47" s="2059" customFormat="1" ht="12.2" customHeight="1">
      <c r="A139" s="692"/>
      <c r="B139" s="1546" t="str">
        <f>Texte!A2311</f>
        <v>Total Netto-Grundfutterbedarf</v>
      </c>
      <c r="C139" s="680"/>
      <c r="D139" s="680"/>
      <c r="E139" s="680"/>
      <c r="F139" s="1548"/>
      <c r="G139" s="1548"/>
      <c r="H139" s="1548"/>
      <c r="I139" s="1548"/>
      <c r="J139" s="1548"/>
      <c r="K139" s="1554" t="s">
        <v>3590</v>
      </c>
      <c r="L139" s="1552">
        <f>SUM(L101:L137)</f>
        <v>3066.1930000000002</v>
      </c>
      <c r="M139" s="1548" t="str">
        <f>Texte!A$2273</f>
        <v>dt TS</v>
      </c>
      <c r="N139" s="1548"/>
      <c r="O139" s="1548"/>
      <c r="P139" s="1548"/>
      <c r="Q139" s="692"/>
      <c r="R139" s="692"/>
      <c r="S139" s="675"/>
      <c r="T139" s="675"/>
      <c r="U139" s="2887"/>
      <c r="V139" s="2058"/>
      <c r="W139" s="2887"/>
      <c r="X139" s="2887"/>
      <c r="Y139" s="2887"/>
      <c r="Z139" s="2887"/>
      <c r="AA139" s="2887"/>
      <c r="AB139" s="2887"/>
      <c r="AC139" s="2887"/>
      <c r="AD139" s="2887"/>
      <c r="AE139" s="2887"/>
      <c r="AF139" s="2058"/>
      <c r="AG139" s="1641"/>
      <c r="AH139" s="1641"/>
      <c r="AI139" s="1641"/>
      <c r="AJ139" s="1641"/>
      <c r="AK139" s="1641"/>
      <c r="AL139" s="1641"/>
      <c r="AM139" s="1641"/>
      <c r="AN139" s="1641"/>
      <c r="AO139" s="2058"/>
      <c r="AP139" s="2058"/>
      <c r="AQ139" s="2058"/>
      <c r="AR139" s="2058"/>
      <c r="AS139" s="2058"/>
      <c r="AT139" s="2058"/>
      <c r="AU139" s="2058"/>
    </row>
    <row r="140" spans="1:47" s="2059" customFormat="1" ht="12.2" customHeight="1">
      <c r="A140" s="692"/>
      <c r="B140" s="675" t="str">
        <f>Texte!A2312</f>
        <v>C7: Zuzüglich Lagerungs- und Krippenverluste, 0-5 % vom Netto-Grundfutterbedarf</v>
      </c>
      <c r="C140" s="680"/>
      <c r="D140" s="680"/>
      <c r="E140" s="680"/>
      <c r="F140" s="1548"/>
      <c r="G140" s="1548"/>
      <c r="H140" s="1548"/>
      <c r="I140" s="1548"/>
      <c r="J140" s="1548"/>
      <c r="K140" s="1555"/>
      <c r="L140" s="1552">
        <f>L139*K140/100</f>
        <v>0</v>
      </c>
      <c r="M140" s="1548" t="str">
        <f>Texte!A$2273</f>
        <v>dt TS</v>
      </c>
      <c r="N140" s="1642" t="str">
        <f>IF(SUM(K140:K141)&lt;&gt;'SB1'!M96,Texte!A2318)</f>
        <v>Verluste und Fehlerbereich stimmen nicht</v>
      </c>
      <c r="O140" s="1548"/>
      <c r="P140" s="1548"/>
      <c r="Q140" s="1548"/>
      <c r="R140" s="692"/>
      <c r="S140" s="692"/>
      <c r="T140" s="1478"/>
      <c r="U140" s="2890" t="b">
        <f>OR(AND(H63=0,K140&lt;=2.5),AND(H63&gt;0,K140&lt;=5))</f>
        <v>1</v>
      </c>
      <c r="V140" s="2058"/>
      <c r="W140" s="2887"/>
      <c r="X140" s="2887"/>
      <c r="Y140" s="2887"/>
      <c r="Z140" s="2887"/>
      <c r="AA140" s="2887"/>
      <c r="AB140" s="2887"/>
      <c r="AC140" s="2887"/>
      <c r="AD140" s="2887"/>
      <c r="AE140" s="2887"/>
      <c r="AF140" s="2058"/>
      <c r="AG140" s="1641"/>
      <c r="AH140" s="1641"/>
      <c r="AI140" s="1641"/>
      <c r="AJ140" s="1641"/>
      <c r="AK140" s="1641"/>
      <c r="AL140" s="1641"/>
      <c r="AM140" s="1641"/>
      <c r="AN140" s="1641"/>
      <c r="AO140" s="2058"/>
      <c r="AP140" s="2058"/>
      <c r="AQ140" s="2058"/>
      <c r="AR140" s="2058"/>
      <c r="AS140" s="2058"/>
      <c r="AT140" s="2058"/>
      <c r="AU140" s="2058"/>
    </row>
    <row r="141" spans="1:47" s="2059" customFormat="1" ht="12.2" customHeight="1">
      <c r="A141" s="692"/>
      <c r="B141" s="675" t="str">
        <f>Texte!A2313</f>
        <v>C8: Fehlerbereich der Grundfutterbilanz: 0 - 5 % vom Netto-Grundfutterbedarf</v>
      </c>
      <c r="C141" s="680"/>
      <c r="D141" s="680"/>
      <c r="E141" s="680"/>
      <c r="F141" s="1548"/>
      <c r="G141" s="1548"/>
      <c r="H141" s="1548"/>
      <c r="I141" s="1554"/>
      <c r="J141" s="1548"/>
      <c r="K141" s="1553"/>
      <c r="L141" s="1552">
        <f>L139*K141/100</f>
        <v>0</v>
      </c>
      <c r="M141" s="1548" t="str">
        <f>Texte!A$2273</f>
        <v>dt TS</v>
      </c>
      <c r="N141" s="1642" t="str">
        <f>IF(SUM(K140:K141)&lt;&gt;'SB1'!M96,Texte!A2319)</f>
        <v>mit den Angaben in der Suisse-Bilanz überein!</v>
      </c>
      <c r="O141" s="1548"/>
      <c r="P141" s="1548"/>
      <c r="Q141" s="1548"/>
      <c r="R141" s="692"/>
      <c r="S141" s="675"/>
      <c r="T141" s="675"/>
      <c r="U141" s="2887"/>
      <c r="V141" s="2058"/>
      <c r="W141" s="2887"/>
      <c r="X141" s="2887"/>
      <c r="Y141" s="2887"/>
      <c r="Z141" s="2887"/>
      <c r="AA141" s="2887"/>
      <c r="AB141" s="2887"/>
      <c r="AC141" s="2887"/>
      <c r="AD141" s="2887"/>
      <c r="AE141" s="2887"/>
      <c r="AF141" s="2058"/>
      <c r="AG141" s="1641"/>
      <c r="AH141" s="1641"/>
      <c r="AI141" s="1641"/>
      <c r="AJ141" s="1641"/>
      <c r="AK141" s="1641"/>
      <c r="AL141" s="1641"/>
      <c r="AM141" s="1641"/>
      <c r="AN141" s="1641"/>
      <c r="AO141" s="2058"/>
      <c r="AP141" s="2058"/>
      <c r="AQ141" s="2058"/>
      <c r="AR141" s="2058"/>
      <c r="AS141" s="2058"/>
      <c r="AT141" s="2058"/>
      <c r="AU141" s="2058"/>
    </row>
    <row r="142" spans="1:47" s="2059" customFormat="1" ht="12.2" customHeight="1">
      <c r="A142" s="692"/>
      <c r="B142" s="1546" t="str">
        <f>Texte!A2314</f>
        <v>Total auf der Futterfläche zu produzierendes Grundfutter (GFprod)</v>
      </c>
      <c r="C142" s="1546"/>
      <c r="D142" s="1546"/>
      <c r="E142" s="1546"/>
      <c r="F142" s="692"/>
      <c r="G142" s="692"/>
      <c r="H142" s="692"/>
      <c r="I142" s="675"/>
      <c r="J142" s="1603"/>
      <c r="K142" s="1604"/>
      <c r="L142" s="1549">
        <f>SUM(L139:L141)</f>
        <v>3066.1930000000002</v>
      </c>
      <c r="M142" s="1548" t="str">
        <f>Texte!A$2273</f>
        <v>dt TS</v>
      </c>
      <c r="N142" s="1548"/>
      <c r="O142" s="692"/>
      <c r="P142" s="692"/>
      <c r="Q142" s="692"/>
      <c r="R142" s="692"/>
      <c r="S142" s="692"/>
      <c r="T142" s="692"/>
      <c r="U142" s="2887"/>
      <c r="V142" s="2058"/>
      <c r="W142" s="2887"/>
      <c r="X142" s="2887"/>
      <c r="Y142" s="2887"/>
      <c r="Z142" s="2887"/>
      <c r="AA142" s="2887"/>
      <c r="AB142" s="2887"/>
      <c r="AC142" s="2887"/>
      <c r="AD142" s="2887"/>
      <c r="AE142" s="2887"/>
      <c r="AF142" s="2058"/>
      <c r="AG142" s="1641"/>
      <c r="AH142" s="1641"/>
      <c r="AI142" s="1641"/>
      <c r="AJ142" s="1641"/>
      <c r="AK142" s="1641"/>
      <c r="AL142" s="1641"/>
      <c r="AM142" s="1641"/>
      <c r="AN142" s="1641"/>
      <c r="AO142" s="2058"/>
      <c r="AP142" s="2058"/>
      <c r="AQ142" s="2058"/>
      <c r="AR142" s="2058"/>
      <c r="AS142" s="2058"/>
      <c r="AT142" s="2058"/>
      <c r="AU142" s="2058"/>
    </row>
    <row r="143" spans="1:47" s="2059" customFormat="1" ht="12.2" customHeight="1">
      <c r="A143" s="692"/>
      <c r="B143" s="1546"/>
      <c r="C143" s="1546"/>
      <c r="D143" s="1546"/>
      <c r="E143" s="692"/>
      <c r="F143" s="692"/>
      <c r="G143" s="692"/>
      <c r="H143" s="692"/>
      <c r="I143" s="675"/>
      <c r="J143" s="675"/>
      <c r="K143" s="692"/>
      <c r="L143" s="692"/>
      <c r="M143" s="692"/>
      <c r="N143" s="692"/>
      <c r="O143" s="1184"/>
      <c r="P143" s="1184"/>
      <c r="Q143" s="1184"/>
      <c r="R143" s="1184"/>
      <c r="S143" s="692"/>
      <c r="T143" s="692"/>
      <c r="U143" s="2887"/>
      <c r="V143" s="2058"/>
      <c r="W143" s="2887"/>
      <c r="X143" s="2887"/>
      <c r="Y143" s="2887"/>
      <c r="Z143" s="2887"/>
      <c r="AA143" s="2887"/>
      <c r="AB143" s="2887"/>
      <c r="AC143" s="2887" t="s">
        <v>4765</v>
      </c>
      <c r="AD143" s="2887">
        <v>0.3</v>
      </c>
      <c r="AE143" s="2887"/>
      <c r="AF143" s="2058"/>
      <c r="AG143" s="1641"/>
      <c r="AH143" s="1641"/>
      <c r="AI143" s="1641"/>
      <c r="AJ143" s="1641"/>
      <c r="AK143" s="1641"/>
      <c r="AL143" s="1641"/>
      <c r="AM143" s="1641"/>
      <c r="AN143" s="1641"/>
      <c r="AO143" s="2058"/>
      <c r="AP143" s="2058"/>
      <c r="AQ143" s="2058"/>
      <c r="AR143" s="2058"/>
      <c r="AS143" s="2058"/>
      <c r="AT143" s="2058"/>
      <c r="AU143" s="2058"/>
    </row>
    <row r="144" spans="1:47" s="2059" customFormat="1" ht="12.2" customHeight="1">
      <c r="A144" s="692"/>
      <c r="B144" s="1547" t="str">
        <f>Texte!A2320</f>
        <v>Teil D: Bilanz</v>
      </c>
      <c r="C144" s="1546"/>
      <c r="D144" s="1546"/>
      <c r="E144" s="692"/>
      <c r="F144" s="692"/>
      <c r="G144" s="692"/>
      <c r="H144" s="692"/>
      <c r="I144" s="1184"/>
      <c r="J144" s="1184"/>
      <c r="K144" s="1184"/>
      <c r="L144" s="1184"/>
      <c r="M144" s="1184"/>
      <c r="N144" s="1184"/>
      <c r="O144" s="692"/>
      <c r="P144" s="692"/>
      <c r="Q144" s="692"/>
      <c r="R144" s="692"/>
      <c r="S144" s="1184"/>
      <c r="T144" s="1184"/>
      <c r="U144" s="2887"/>
      <c r="V144" s="2058"/>
      <c r="W144" s="2887"/>
      <c r="X144" s="2887"/>
      <c r="Y144" s="2887"/>
      <c r="Z144" s="2887"/>
      <c r="AA144" s="2887" t="s">
        <v>3587</v>
      </c>
      <c r="AB144" s="2887"/>
      <c r="AC144" s="2887"/>
      <c r="AD144" s="2887" t="s">
        <v>770</v>
      </c>
      <c r="AE144" s="2887"/>
      <c r="AF144" s="2058"/>
      <c r="AG144" s="1641"/>
      <c r="AH144" s="1641"/>
      <c r="AI144" s="1641"/>
      <c r="AJ144" s="1641"/>
      <c r="AK144" s="1641"/>
      <c r="AL144" s="1641"/>
      <c r="AM144" s="1641"/>
      <c r="AN144" s="1641"/>
      <c r="AO144" s="2058"/>
      <c r="AP144" s="2058"/>
      <c r="AQ144" s="2058"/>
      <c r="AR144" s="2058"/>
      <c r="AS144" s="2058"/>
      <c r="AT144" s="2058"/>
      <c r="AU144" s="2058"/>
    </row>
    <row r="145" spans="1:47" s="2059" customFormat="1" ht="5.0999999999999996" customHeight="1">
      <c r="A145" s="692"/>
      <c r="B145" s="692"/>
      <c r="C145" s="692"/>
      <c r="D145" s="692"/>
      <c r="E145" s="692"/>
      <c r="F145" s="692"/>
      <c r="G145" s="692"/>
      <c r="H145" s="692"/>
      <c r="I145" s="692"/>
      <c r="J145" s="692"/>
      <c r="K145" s="692"/>
      <c r="L145" s="692"/>
      <c r="M145" s="692"/>
      <c r="N145" s="692"/>
      <c r="O145" s="692"/>
      <c r="P145" s="692"/>
      <c r="Q145" s="692"/>
      <c r="R145" s="692"/>
      <c r="S145" s="692"/>
      <c r="T145" s="692"/>
      <c r="U145" s="2887"/>
      <c r="V145" s="2058"/>
      <c r="W145" s="2887"/>
      <c r="X145" s="2887"/>
      <c r="Y145" s="2887"/>
      <c r="Z145" s="2887"/>
      <c r="AA145" s="2887"/>
      <c r="AB145" s="2887"/>
      <c r="AC145" s="2887"/>
      <c r="AD145" s="2887"/>
      <c r="AE145" s="2887"/>
      <c r="AF145" s="2058"/>
      <c r="AG145" s="1641"/>
      <c r="AH145" s="1641"/>
      <c r="AI145" s="1641"/>
      <c r="AJ145" s="1641"/>
      <c r="AK145" s="1641"/>
      <c r="AL145" s="1641"/>
      <c r="AM145" s="1641"/>
      <c r="AN145" s="1641"/>
      <c r="AO145" s="2058"/>
      <c r="AP145" s="2058"/>
      <c r="AQ145" s="2058"/>
      <c r="AR145" s="2058"/>
      <c r="AS145" s="2058"/>
      <c r="AT145" s="2058"/>
      <c r="AU145" s="2058"/>
    </row>
    <row r="146" spans="1:47" s="2059" customFormat="1" ht="12.2" customHeight="1">
      <c r="A146" s="692"/>
      <c r="B146" s="1598"/>
      <c r="C146" s="1322"/>
      <c r="D146" s="1322"/>
      <c r="E146" s="1364"/>
      <c r="F146" s="1543" t="str">
        <f>Texte!A2333</f>
        <v>Total</v>
      </c>
      <c r="G146" s="1542"/>
      <c r="H146" s="1545" t="str">
        <f>Texte!A2335</f>
        <v>Wiesen- und</v>
      </c>
      <c r="I146" s="1544"/>
      <c r="J146" s="1545" t="str">
        <f>Texte!A2337</f>
        <v>Übriges Grundfutter</v>
      </c>
      <c r="K146" s="1544"/>
      <c r="L146" s="1545" t="str">
        <f>Texte!A2337</f>
        <v>Übriges Grundfutter</v>
      </c>
      <c r="M146" s="1544"/>
      <c r="N146" s="1543" t="str">
        <f>Texte!A2340</f>
        <v>Kraftfutter</v>
      </c>
      <c r="O146" s="1542"/>
      <c r="P146" s="692"/>
      <c r="Q146" s="692"/>
      <c r="R146" s="692"/>
      <c r="S146" s="692"/>
      <c r="T146" s="692"/>
      <c r="U146" s="2887"/>
      <c r="V146" s="2058"/>
      <c r="W146" s="2887"/>
      <c r="X146" s="2887"/>
      <c r="Y146" s="2887"/>
      <c r="Z146" s="2887"/>
      <c r="AA146" s="2887" t="str">
        <f>Texte!A2062</f>
        <v>Talzone</v>
      </c>
      <c r="AB146" s="2887">
        <v>1</v>
      </c>
      <c r="AC146" s="2887"/>
      <c r="AD146" s="2887">
        <f t="shared" ref="AD146:AD151" si="17">($AB146*$G190)+($H190*$AD$143*$AB146)</f>
        <v>29.875809999999998</v>
      </c>
      <c r="AE146" s="2887"/>
      <c r="AF146" s="2058"/>
      <c r="AG146" s="1641"/>
      <c r="AH146" s="1641"/>
      <c r="AI146" s="1641"/>
      <c r="AJ146" s="1641"/>
      <c r="AK146" s="1641"/>
      <c r="AL146" s="1641"/>
      <c r="AM146" s="1641"/>
      <c r="AN146" s="1641"/>
      <c r="AO146" s="2058"/>
      <c r="AP146" s="2058"/>
      <c r="AQ146" s="2058"/>
      <c r="AR146" s="2058"/>
      <c r="AS146" s="2058"/>
      <c r="AT146" s="2058"/>
      <c r="AU146" s="2058"/>
    </row>
    <row r="147" spans="1:47" s="2059" customFormat="1" ht="11.45" customHeight="1">
      <c r="A147" s="692"/>
      <c r="B147" s="1324"/>
      <c r="C147" s="675"/>
      <c r="D147" s="675"/>
      <c r="E147" s="1347"/>
      <c r="F147" s="1541" t="str">
        <f>Texte!A2334</f>
        <v>Bedarf</v>
      </c>
      <c r="G147" s="1537"/>
      <c r="H147" s="1540" t="str">
        <f>Texte!A2336</f>
        <v>Weidefutter</v>
      </c>
      <c r="I147" s="1536"/>
      <c r="J147" s="1540" t="str">
        <f>Texte!A2338</f>
        <v>Rau- und Saftfutter</v>
      </c>
      <c r="K147" s="1536"/>
      <c r="L147" s="1540" t="str">
        <f>Texte!A2339</f>
        <v>Nebenprodukte</v>
      </c>
      <c r="M147" s="1536"/>
      <c r="N147" s="1539"/>
      <c r="O147" s="1538"/>
      <c r="P147" s="692"/>
      <c r="Q147" s="692"/>
      <c r="R147" s="692"/>
      <c r="S147" s="692"/>
      <c r="T147" s="692"/>
      <c r="U147" s="2887"/>
      <c r="V147" s="2058"/>
      <c r="W147" s="2887"/>
      <c r="X147" s="2887"/>
      <c r="Y147" s="2887"/>
      <c r="Z147" s="2887"/>
      <c r="AA147" s="2887" t="str">
        <f>Texte!A2063</f>
        <v>Hügelzone</v>
      </c>
      <c r="AB147" s="2887">
        <v>0.8</v>
      </c>
      <c r="AC147" s="2887"/>
      <c r="AD147" s="2887">
        <f t="shared" si="17"/>
        <v>0</v>
      </c>
      <c r="AE147" s="2887"/>
      <c r="AF147" s="2058"/>
      <c r="AG147" s="1641"/>
      <c r="AH147" s="1641"/>
      <c r="AI147" s="1641"/>
      <c r="AJ147" s="1641"/>
      <c r="AK147" s="1641"/>
      <c r="AL147" s="1641"/>
      <c r="AM147" s="1641"/>
      <c r="AN147" s="1641"/>
      <c r="AO147" s="2058"/>
      <c r="AP147" s="2058"/>
      <c r="AQ147" s="2058"/>
      <c r="AR147" s="2058"/>
      <c r="AS147" s="2058"/>
      <c r="AT147" s="2058"/>
      <c r="AU147" s="2058"/>
    </row>
    <row r="148" spans="1:47" s="2059" customFormat="1" ht="11.45" customHeight="1">
      <c r="A148" s="692"/>
      <c r="B148" s="1324"/>
      <c r="C148" s="675"/>
      <c r="D148" s="675"/>
      <c r="E148" s="1347"/>
      <c r="F148" s="2065" t="s">
        <v>4727</v>
      </c>
      <c r="G148" s="2066"/>
      <c r="H148" s="2065" t="s">
        <v>4728</v>
      </c>
      <c r="I148" s="2066"/>
      <c r="J148" s="2065" t="s">
        <v>2725</v>
      </c>
      <c r="K148" s="2066"/>
      <c r="L148" s="2065" t="s">
        <v>1201</v>
      </c>
      <c r="M148" s="2066"/>
      <c r="N148" s="2065" t="str">
        <f>Texte!A2342</f>
        <v>(A4+A7 in TS)</v>
      </c>
      <c r="O148" s="2066"/>
      <c r="P148" s="692"/>
      <c r="Q148" s="692"/>
      <c r="R148" s="692"/>
      <c r="S148" s="692"/>
      <c r="T148" s="692"/>
      <c r="U148" s="2887"/>
      <c r="V148" s="2058"/>
      <c r="W148" s="2887"/>
      <c r="X148" s="2887"/>
      <c r="Y148" s="2887"/>
      <c r="Z148" s="2887"/>
      <c r="AA148" s="2887" t="str">
        <f>Texte!A2064</f>
        <v>Bergzone I</v>
      </c>
      <c r="AB148" s="2887">
        <v>0.7</v>
      </c>
      <c r="AC148" s="2887"/>
      <c r="AD148" s="2887">
        <f t="shared" si="17"/>
        <v>0</v>
      </c>
      <c r="AE148" s="2887"/>
      <c r="AF148" s="2058"/>
      <c r="AG148" s="1641"/>
      <c r="AH148" s="1641"/>
      <c r="AI148" s="1641"/>
      <c r="AJ148" s="1641"/>
      <c r="AK148" s="1641"/>
      <c r="AL148" s="1641"/>
      <c r="AM148" s="1641"/>
      <c r="AN148" s="1641"/>
      <c r="AO148" s="2058"/>
      <c r="AP148" s="2058"/>
      <c r="AQ148" s="2058"/>
      <c r="AR148" s="2058"/>
      <c r="AS148" s="2058"/>
      <c r="AT148" s="2058"/>
      <c r="AU148" s="2058"/>
    </row>
    <row r="149" spans="1:47" s="2059" customFormat="1" ht="11.45" customHeight="1">
      <c r="A149" s="692"/>
      <c r="B149" s="1551"/>
      <c r="C149" s="1351"/>
      <c r="D149" s="1351"/>
      <c r="E149" s="1395"/>
      <c r="F149" s="1534" t="str">
        <f>$F$104</f>
        <v>dt</v>
      </c>
      <c r="G149" s="1535" t="s">
        <v>769</v>
      </c>
      <c r="H149" s="1534" t="str">
        <f>$F$104</f>
        <v>dt</v>
      </c>
      <c r="I149" s="1534" t="s">
        <v>1512</v>
      </c>
      <c r="J149" s="1534" t="str">
        <f>$F$104</f>
        <v>dt</v>
      </c>
      <c r="K149" s="1533" t="s">
        <v>769</v>
      </c>
      <c r="L149" s="1534" t="str">
        <f>$F$104</f>
        <v>dt</v>
      </c>
      <c r="M149" s="1533" t="s">
        <v>769</v>
      </c>
      <c r="N149" s="1532" t="str">
        <f>$F$104</f>
        <v>dt</v>
      </c>
      <c r="O149" s="1531" t="s">
        <v>1512</v>
      </c>
      <c r="P149" s="692"/>
      <c r="Q149" s="692"/>
      <c r="R149" s="692"/>
      <c r="S149" s="692"/>
      <c r="T149" s="692"/>
      <c r="U149" s="2887"/>
      <c r="V149" s="2058"/>
      <c r="W149" s="2887"/>
      <c r="X149" s="2887"/>
      <c r="Y149" s="2887"/>
      <c r="Z149" s="2887"/>
      <c r="AA149" s="2887" t="str">
        <f>Texte!A2065</f>
        <v>Bergzone II</v>
      </c>
      <c r="AB149" s="2887">
        <v>0.6</v>
      </c>
      <c r="AC149" s="2887"/>
      <c r="AD149" s="2887">
        <f t="shared" si="17"/>
        <v>0</v>
      </c>
      <c r="AE149" s="2887"/>
      <c r="AF149" s="2058"/>
      <c r="AG149" s="1641"/>
      <c r="AH149" s="1641"/>
      <c r="AI149" s="1641"/>
      <c r="AJ149" s="1641"/>
      <c r="AK149" s="1641"/>
      <c r="AL149" s="1641"/>
      <c r="AM149" s="1641"/>
      <c r="AN149" s="1641"/>
      <c r="AO149" s="2058"/>
      <c r="AP149" s="2058"/>
      <c r="AQ149" s="2058"/>
      <c r="AR149" s="2058"/>
      <c r="AS149" s="2058"/>
      <c r="AT149" s="2058"/>
      <c r="AU149" s="2058"/>
    </row>
    <row r="150" spans="1:47" s="2059" customFormat="1" ht="11.45" customHeight="1">
      <c r="A150" s="692"/>
      <c r="B150" s="1528" t="str">
        <f>Texte!A2321</f>
        <v>Gesamtverzehr</v>
      </c>
      <c r="C150" s="1527"/>
      <c r="D150" s="1527"/>
      <c r="E150" s="1527"/>
      <c r="F150" s="1530">
        <f>$H$67</f>
        <v>3065.1930000000002</v>
      </c>
      <c r="G150" s="1529"/>
      <c r="H150" s="1522"/>
      <c r="I150" s="1529">
        <f>IF(H156 &lt;=-0.5,(H150/H156)*-100,0)</f>
        <v>0</v>
      </c>
      <c r="J150" s="1522"/>
      <c r="K150" s="1529">
        <f>IF(J156&lt;=-0.5,(J150/J156)*-100,0)</f>
        <v>0</v>
      </c>
      <c r="L150" s="1522"/>
      <c r="M150" s="1529"/>
      <c r="N150" s="1530"/>
      <c r="O150" s="1529">
        <f>IF(N156 &lt;=-0.5,(N150/N156)*-100,0)</f>
        <v>0</v>
      </c>
      <c r="P150" s="692"/>
      <c r="Q150" s="692"/>
      <c r="R150" s="692"/>
      <c r="S150" s="692"/>
      <c r="T150" s="692"/>
      <c r="U150" s="2887"/>
      <c r="V150" s="2058"/>
      <c r="W150" s="2887"/>
      <c r="X150" s="2887"/>
      <c r="Y150" s="2887"/>
      <c r="Z150" s="2887"/>
      <c r="AA150" s="2887" t="str">
        <f>Texte!A2066</f>
        <v>Bergzone III</v>
      </c>
      <c r="AB150" s="2887">
        <v>0.5</v>
      </c>
      <c r="AC150" s="2887"/>
      <c r="AD150" s="2887">
        <f t="shared" si="17"/>
        <v>0</v>
      </c>
      <c r="AE150" s="2887"/>
      <c r="AF150" s="2058"/>
      <c r="AG150" s="1641"/>
      <c r="AH150" s="1641"/>
      <c r="AI150" s="1641"/>
      <c r="AJ150" s="1641"/>
      <c r="AK150" s="1641"/>
      <c r="AL150" s="1641"/>
      <c r="AM150" s="1641"/>
      <c r="AN150" s="1641"/>
      <c r="AO150" s="2058"/>
      <c r="AP150" s="2058"/>
      <c r="AQ150" s="2058"/>
      <c r="AR150" s="2058"/>
      <c r="AS150" s="2058"/>
      <c r="AT150" s="2058"/>
      <c r="AU150" s="2058"/>
    </row>
    <row r="151" spans="1:47" s="2059" customFormat="1" ht="11.45" customHeight="1">
      <c r="A151" s="692"/>
      <c r="B151" s="1528" t="str">
        <f>Texte!A2322</f>
        <v>[+] Verluste und Fehlerbereich</v>
      </c>
      <c r="C151" s="1527"/>
      <c r="D151" s="1527"/>
      <c r="E151" s="1527"/>
      <c r="F151" s="1522">
        <f>SUM($L$140:$L$141)</f>
        <v>0</v>
      </c>
      <c r="G151" s="1514"/>
      <c r="H151" s="1522"/>
      <c r="I151" s="1514"/>
      <c r="J151" s="1522"/>
      <c r="K151" s="1514"/>
      <c r="L151" s="1522"/>
      <c r="M151" s="1514"/>
      <c r="N151" s="1522"/>
      <c r="O151" s="1514"/>
      <c r="P151" s="692"/>
      <c r="Q151" s="692"/>
      <c r="R151" s="692"/>
      <c r="S151" s="692"/>
      <c r="T151" s="692"/>
      <c r="U151" s="2887"/>
      <c r="V151" s="2058"/>
      <c r="W151" s="2887"/>
      <c r="X151" s="2887"/>
      <c r="Y151" s="2887"/>
      <c r="Z151" s="2887"/>
      <c r="AA151" s="2887" t="str">
        <f>Texte!A2067</f>
        <v>Bergzone IV</v>
      </c>
      <c r="AB151" s="2887">
        <v>0.4</v>
      </c>
      <c r="AC151" s="2887"/>
      <c r="AD151" s="2887">
        <f t="shared" si="17"/>
        <v>0</v>
      </c>
      <c r="AE151" s="2887"/>
      <c r="AF151" s="2058"/>
      <c r="AG151" s="1641"/>
      <c r="AH151" s="1641"/>
      <c r="AI151" s="1641"/>
      <c r="AJ151" s="1641"/>
      <c r="AK151" s="1641"/>
      <c r="AL151" s="1641"/>
      <c r="AM151" s="1641"/>
      <c r="AN151" s="1641"/>
      <c r="AO151" s="2058"/>
      <c r="AP151" s="2058"/>
      <c r="AQ151" s="2058"/>
      <c r="AR151" s="2058"/>
      <c r="AS151" s="2058"/>
      <c r="AT151" s="2058"/>
      <c r="AU151" s="2058"/>
    </row>
    <row r="152" spans="1:47" s="2059" customFormat="1" ht="11.45" customHeight="1">
      <c r="A152" s="692"/>
      <c r="B152" s="1528" t="str">
        <f>Texte!A2323</f>
        <v>[+] Verzehr während Sömmerung</v>
      </c>
      <c r="C152" s="1527"/>
      <c r="D152" s="1527"/>
      <c r="E152" s="1527"/>
      <c r="F152" s="1522">
        <f>SUM($Q$65,$Q$66)</f>
        <v>0</v>
      </c>
      <c r="G152" s="1514"/>
      <c r="H152" s="1522"/>
      <c r="I152" s="1514"/>
      <c r="J152" s="1522"/>
      <c r="K152" s="1514"/>
      <c r="L152" s="1522"/>
      <c r="M152" s="1514"/>
      <c r="N152" s="1522"/>
      <c r="O152" s="1514"/>
      <c r="P152" s="692"/>
      <c r="Q152" s="692"/>
      <c r="R152" s="692"/>
      <c r="S152" s="692"/>
      <c r="T152" s="692"/>
      <c r="U152" s="2887"/>
      <c r="V152" s="2058"/>
      <c r="W152" s="2887"/>
      <c r="X152" s="2887"/>
      <c r="Y152" s="2887"/>
      <c r="Z152" s="2887"/>
      <c r="AA152" s="2887"/>
      <c r="AB152" s="2887"/>
      <c r="AC152" s="2887"/>
      <c r="AD152" s="2887"/>
      <c r="AE152" s="2887"/>
      <c r="AF152" s="2058"/>
      <c r="AG152" s="1641"/>
      <c r="AH152" s="1641"/>
      <c r="AI152" s="1641"/>
      <c r="AJ152" s="1641"/>
      <c r="AK152" s="1641"/>
      <c r="AL152" s="1641"/>
      <c r="AM152" s="1641"/>
      <c r="AN152" s="1641"/>
      <c r="AO152" s="2058"/>
      <c r="AP152" s="2058"/>
      <c r="AQ152" s="2058"/>
      <c r="AR152" s="2058"/>
      <c r="AS152" s="2058"/>
      <c r="AT152" s="2058"/>
      <c r="AU152" s="2058"/>
    </row>
    <row r="153" spans="1:47" s="2059" customFormat="1" ht="12.95" customHeight="1">
      <c r="A153" s="692"/>
      <c r="B153" s="1528" t="str">
        <f>Texte!A2324</f>
        <v>Produktion</v>
      </c>
      <c r="C153" s="1527"/>
      <c r="D153" s="1527"/>
      <c r="E153" s="1526"/>
      <c r="F153" s="1522"/>
      <c r="G153" s="1514"/>
      <c r="H153" s="1522">
        <f>$L$96</f>
        <v>2524.3564000000001</v>
      </c>
      <c r="I153" s="1514"/>
      <c r="J153" s="1522">
        <f>$L$97</f>
        <v>541.83659999999998</v>
      </c>
      <c r="K153" s="1514"/>
      <c r="L153" s="1522"/>
      <c r="M153" s="1514"/>
      <c r="N153" s="1522"/>
      <c r="O153" s="1514"/>
      <c r="P153" s="692"/>
      <c r="Q153" s="692"/>
      <c r="R153" s="692"/>
      <c r="S153" s="692"/>
      <c r="T153" s="692"/>
      <c r="U153" s="2887"/>
      <c r="V153" s="2058"/>
      <c r="W153" s="2887"/>
      <c r="X153" s="2887"/>
      <c r="Y153" s="2887"/>
      <c r="Z153" s="2887"/>
      <c r="AA153" s="2887"/>
      <c r="AB153" s="2887"/>
      <c r="AC153" s="2887"/>
      <c r="AD153" s="2887"/>
      <c r="AE153" s="2887"/>
      <c r="AF153" s="2058"/>
      <c r="AG153" s="1641"/>
      <c r="AH153" s="1641"/>
      <c r="AI153" s="1641"/>
      <c r="AJ153" s="1641"/>
      <c r="AK153" s="1641"/>
      <c r="AL153" s="1641"/>
      <c r="AM153" s="1641"/>
      <c r="AN153" s="1641"/>
      <c r="AO153" s="2058"/>
      <c r="AP153" s="2058"/>
      <c r="AQ153" s="2058"/>
      <c r="AR153" s="2058"/>
      <c r="AS153" s="2058"/>
      <c r="AT153" s="2058"/>
      <c r="AU153" s="2058"/>
    </row>
    <row r="154" spans="1:47" s="2059" customFormat="1" ht="12.95" customHeight="1">
      <c r="A154" s="692"/>
      <c r="B154" s="1524" t="str">
        <f>Texte!A2325</f>
        <v>[+] Zufuhr</v>
      </c>
      <c r="C154" s="1523"/>
      <c r="D154" s="1523"/>
      <c r="E154" s="1523"/>
      <c r="F154" s="1522"/>
      <c r="G154" s="1514"/>
      <c r="H154" s="1522">
        <f>$J$134</f>
        <v>0</v>
      </c>
      <c r="I154" s="1514"/>
      <c r="J154" s="1522">
        <f>SUM($J$135,$K$136)</f>
        <v>0</v>
      </c>
      <c r="K154" s="1514"/>
      <c r="L154" s="1522">
        <f>J137</f>
        <v>0</v>
      </c>
      <c r="M154" s="1514"/>
      <c r="N154" s="1522">
        <f>$H$66*0.88</f>
        <v>0</v>
      </c>
      <c r="O154" s="1514"/>
      <c r="P154" s="692"/>
      <c r="Q154" s="692"/>
      <c r="R154" s="692"/>
      <c r="S154" s="692"/>
      <c r="T154" s="692"/>
      <c r="U154" s="2887"/>
      <c r="V154" s="2058"/>
      <c r="W154" s="2887"/>
      <c r="X154" s="2887"/>
      <c r="Y154" s="2887"/>
      <c r="Z154" s="2887"/>
      <c r="AA154" s="2887" t="s">
        <v>239</v>
      </c>
      <c r="AB154" s="2887"/>
      <c r="AC154" s="2887"/>
      <c r="AD154" s="2887">
        <f>IF($J$93=0,"",SUM($AD$146:$AD$151)/$J$93)</f>
        <v>0.54346630236462823</v>
      </c>
      <c r="AE154" s="2887"/>
      <c r="AF154" s="2058"/>
      <c r="AG154" s="1641"/>
      <c r="AH154" s="1641"/>
      <c r="AI154" s="1641"/>
      <c r="AJ154" s="1641"/>
      <c r="AK154" s="1641"/>
      <c r="AL154" s="1641"/>
      <c r="AM154" s="1641"/>
      <c r="AN154" s="1641"/>
      <c r="AO154" s="2058"/>
      <c r="AP154" s="2058"/>
      <c r="AQ154" s="2058"/>
      <c r="AR154" s="2058"/>
      <c r="AS154" s="2058"/>
      <c r="AT154" s="2058"/>
      <c r="AU154" s="2058"/>
    </row>
    <row r="155" spans="1:47" s="2059" customFormat="1" ht="12.95" customHeight="1">
      <c r="A155" s="692"/>
      <c r="B155" s="1528" t="str">
        <f>Texte!A2326</f>
        <v>[+] Futter während Sömmerung</v>
      </c>
      <c r="C155" s="1520"/>
      <c r="D155" s="1520"/>
      <c r="E155" s="1520"/>
      <c r="F155" s="1522"/>
      <c r="G155" s="1514"/>
      <c r="H155" s="1522">
        <f>Q65</f>
        <v>0</v>
      </c>
      <c r="I155" s="1514"/>
      <c r="J155" s="1522"/>
      <c r="K155" s="1514"/>
      <c r="L155" s="1522"/>
      <c r="M155" s="1514"/>
      <c r="N155" s="1522">
        <f>Q66</f>
        <v>0</v>
      </c>
      <c r="O155" s="1514"/>
      <c r="P155" s="692"/>
      <c r="Q155" s="692"/>
      <c r="R155" s="692"/>
      <c r="S155" s="692"/>
      <c r="T155" s="692"/>
      <c r="U155" s="2887"/>
      <c r="V155" s="2058"/>
      <c r="W155" s="2887"/>
      <c r="X155" s="2887"/>
      <c r="Y155" s="2887"/>
      <c r="Z155" s="2887"/>
      <c r="AA155" s="2887"/>
      <c r="AB155" s="2887"/>
      <c r="AC155" s="2887" t="s">
        <v>768</v>
      </c>
      <c r="AD155" s="2887"/>
      <c r="AE155" s="2887"/>
      <c r="AF155" s="2058"/>
      <c r="AG155" s="1641"/>
      <c r="AH155" s="1641"/>
      <c r="AI155" s="1641"/>
      <c r="AJ155" s="1641"/>
      <c r="AK155" s="1641"/>
      <c r="AL155" s="1641"/>
      <c r="AM155" s="1735"/>
      <c r="AN155" s="1641"/>
      <c r="AO155" s="2058"/>
      <c r="AP155" s="2058"/>
      <c r="AQ155" s="2058"/>
      <c r="AR155" s="2058"/>
      <c r="AS155" s="2058"/>
      <c r="AT155" s="2058"/>
      <c r="AU155" s="2058"/>
    </row>
    <row r="156" spans="1:47" s="2059" customFormat="1" ht="12.95" customHeight="1">
      <c r="A156" s="692"/>
      <c r="B156" s="1521" t="str">
        <f>Texte!A2327</f>
        <v>[-] Wegfuhr</v>
      </c>
      <c r="C156" s="1520"/>
      <c r="D156" s="1520"/>
      <c r="E156" s="1520"/>
      <c r="F156" s="1519"/>
      <c r="G156" s="1514"/>
      <c r="H156" s="1519">
        <f>$I$132*-1</f>
        <v>0</v>
      </c>
      <c r="I156" s="1514"/>
      <c r="J156" s="1519">
        <f>$I$133*-1</f>
        <v>0</v>
      </c>
      <c r="K156" s="1514"/>
      <c r="L156" s="1519"/>
      <c r="M156" s="1514"/>
      <c r="N156" s="1519"/>
      <c r="O156" s="1514"/>
      <c r="P156" s="692"/>
      <c r="Q156" s="692"/>
      <c r="R156" s="692"/>
      <c r="S156" s="692"/>
      <c r="T156" s="692"/>
      <c r="U156" s="2887"/>
      <c r="V156" s="2058"/>
      <c r="W156" s="2887"/>
      <c r="X156" s="2887"/>
      <c r="Y156" s="2887" t="str">
        <f>U10</f>
        <v>GMF-Zone:</v>
      </c>
      <c r="Z156" s="2887">
        <f>$W$10</f>
        <v>1</v>
      </c>
      <c r="AA156" s="2887" t="s">
        <v>3589</v>
      </c>
      <c r="AB156" s="2887" t="s">
        <v>3588</v>
      </c>
      <c r="AC156" s="2887" t="s">
        <v>3589</v>
      </c>
      <c r="AD156" s="2887" t="s">
        <v>3588</v>
      </c>
      <c r="AE156" s="2887" t="s">
        <v>4321</v>
      </c>
      <c r="AF156" s="2058" t="s">
        <v>7062</v>
      </c>
      <c r="AG156" s="1658"/>
      <c r="AH156" s="2057" t="str">
        <f>Texte!A2398</f>
        <v>Grenzwerte:</v>
      </c>
      <c r="AI156" s="2057"/>
      <c r="AJ156" s="2057"/>
      <c r="AK156" s="2057"/>
      <c r="AL156" s="2057"/>
      <c r="AM156" s="2057"/>
      <c r="AN156" s="1966"/>
      <c r="AO156" s="2058"/>
      <c r="AP156" s="2058"/>
      <c r="AQ156" s="2058"/>
      <c r="AR156" s="2058"/>
      <c r="AS156" s="2058"/>
      <c r="AT156" s="2058"/>
      <c r="AU156" s="2058"/>
    </row>
    <row r="157" spans="1:47" s="2059" customFormat="1" ht="12.95" customHeight="1" thickBot="1">
      <c r="A157" s="692"/>
      <c r="B157" s="1518" t="str">
        <f>Texte!A2328</f>
        <v>[-] Grundfutter übrige Tiere</v>
      </c>
      <c r="C157" s="1517"/>
      <c r="D157" s="1517"/>
      <c r="E157" s="1517"/>
      <c r="F157" s="1516"/>
      <c r="G157" s="1512"/>
      <c r="H157" s="1515">
        <f>$M$60*-1</f>
        <v>0</v>
      </c>
      <c r="I157" s="1512"/>
      <c r="J157" s="1515">
        <f>(K60-M60)*-1</f>
        <v>-1</v>
      </c>
      <c r="K157" s="1514"/>
      <c r="L157" s="1515"/>
      <c r="M157" s="1514"/>
      <c r="N157" s="1513"/>
      <c r="O157" s="1512"/>
      <c r="P157" s="692"/>
      <c r="Q157" s="692"/>
      <c r="R157" s="692"/>
      <c r="S157" s="692"/>
      <c r="T157" s="692"/>
      <c r="U157" s="2887"/>
      <c r="V157" s="2058"/>
      <c r="W157" s="2887"/>
      <c r="X157" s="2887"/>
      <c r="Y157" s="2887"/>
      <c r="Z157" s="2887">
        <f>IF($W$10&gt;0,1,0)</f>
        <v>1</v>
      </c>
      <c r="AA157" s="2892"/>
      <c r="AB157" s="2892"/>
      <c r="AC157" s="2887">
        <f>IF($Z$156=1,1,0)</f>
        <v>1</v>
      </c>
      <c r="AD157" s="2887">
        <f>IF($Z$156=2,1,0)</f>
        <v>0</v>
      </c>
      <c r="AE157" s="2887"/>
      <c r="AF157" s="2058"/>
      <c r="AG157" s="1511"/>
      <c r="AH157" s="1572"/>
      <c r="AI157" s="1572"/>
      <c r="AJ157" s="2056" t="str">
        <f>IF($W$10=1,Texte!A2399,IF($W$10="",Texte!A2402,Texte!A2400))</f>
        <v>Talgebiet</v>
      </c>
      <c r="AK157" s="1572"/>
      <c r="AL157" s="2056"/>
      <c r="AM157" s="1572"/>
      <c r="AN157" s="1616"/>
      <c r="AO157" s="2058"/>
      <c r="AP157" s="2058"/>
      <c r="AQ157" s="2058"/>
      <c r="AR157" s="2058"/>
      <c r="AS157" s="2058"/>
      <c r="AT157" s="2058"/>
      <c r="AU157" s="2058"/>
    </row>
    <row r="158" spans="1:47" s="2059" customFormat="1" ht="13.5" thickBot="1">
      <c r="A158" s="692"/>
      <c r="B158" s="1510" t="str">
        <f>Texte!A2329</f>
        <v xml:space="preserve">Bilanz                                      </v>
      </c>
      <c r="C158" s="1509"/>
      <c r="D158" s="1509"/>
      <c r="E158" s="1508"/>
      <c r="F158" s="1507">
        <f>SUM($F$150:$F$157)</f>
        <v>3065.1930000000002</v>
      </c>
      <c r="G158" s="1505">
        <v>100</v>
      </c>
      <c r="H158" s="1506">
        <f>SUM($H$153:$H$157)</f>
        <v>2524.3564000000001</v>
      </c>
      <c r="I158" s="1502">
        <f>IF(F158=0,"",ROUND(H158/F158*100,1))</f>
        <v>82.4</v>
      </c>
      <c r="J158" s="1504">
        <f>SUM($J$153:$J$157)</f>
        <v>540.83659999999998</v>
      </c>
      <c r="K158" s="1502">
        <f>IF(OR($J$158&lt;0,$F$158=0),"",ROUND($J$158/$F$158*100,1))</f>
        <v>17.600000000000001</v>
      </c>
      <c r="L158" s="1503">
        <f>SUM($L$153:$L$157)</f>
        <v>0</v>
      </c>
      <c r="M158" s="1502">
        <f>IF($F$158=0,"",ROUND(($L$158)/$F$158*100,1))</f>
        <v>0</v>
      </c>
      <c r="N158" s="1503">
        <f>SUM($N$153:$N$157)</f>
        <v>0</v>
      </c>
      <c r="O158" s="1502">
        <f>IF($F$158=0,"",ROUND($N$158/$F$158*100,1))</f>
        <v>0</v>
      </c>
      <c r="P158" s="692"/>
      <c r="Q158" s="692"/>
      <c r="R158" s="692"/>
      <c r="S158" s="692"/>
      <c r="T158" s="692"/>
      <c r="U158" s="2887"/>
      <c r="V158" s="2058"/>
      <c r="W158" s="2887"/>
      <c r="X158" s="2887"/>
      <c r="Y158" s="2887" t="str">
        <f>AH158</f>
        <v>GF total</v>
      </c>
      <c r="Z158" s="2887"/>
      <c r="AA158" s="2887">
        <v>90</v>
      </c>
      <c r="AB158" s="2887">
        <v>90</v>
      </c>
      <c r="AC158" s="2887">
        <f>IF($AJ158&lt;=$AL158,1,0)*AC$157</f>
        <v>1</v>
      </c>
      <c r="AD158" s="2887">
        <f>IF($AJ158&lt;=$AL158,1,0)*AD$157</f>
        <v>0</v>
      </c>
      <c r="AE158" s="2887">
        <f>IF(SUM(ABS($I$158),ABS($K$158),ABS($M$158))&gt;0,1,0)</f>
        <v>1</v>
      </c>
      <c r="AF158" s="2058">
        <f>SUM(AC158:AD158)*AE158</f>
        <v>1</v>
      </c>
      <c r="AG158" s="1511"/>
      <c r="AH158" s="1572" t="s">
        <v>7332</v>
      </c>
      <c r="AI158" s="1572"/>
      <c r="AJ158" s="2056">
        <f>IF($Z$157=0,"",SUM(AA158*AC$157+AB158*AD$157))</f>
        <v>90</v>
      </c>
      <c r="AK158" s="1572" t="s">
        <v>682</v>
      </c>
      <c r="AL158" s="2056">
        <f>IF($F$158=0,"",ROUND((J158+$H$158+L158)/$F$158*100,1))</f>
        <v>100</v>
      </c>
      <c r="AM158" s="1572" t="s">
        <v>1512</v>
      </c>
      <c r="AN158" s="1616"/>
      <c r="AO158" s="2058"/>
      <c r="AP158" s="2058"/>
      <c r="AQ158" s="2058"/>
      <c r="AR158" s="2058"/>
      <c r="AS158" s="2058"/>
      <c r="AT158" s="2058"/>
      <c r="AU158" s="2058"/>
    </row>
    <row r="159" spans="1:47" s="2059" customFormat="1" ht="14.25" customHeight="1">
      <c r="A159" s="692"/>
      <c r="B159" s="1500" t="str">
        <f>Texte!A2330</f>
        <v>Mindestanteile an Ration</v>
      </c>
      <c r="C159" s="1499"/>
      <c r="D159" s="1499"/>
      <c r="E159" s="1498"/>
      <c r="F159" s="1492"/>
      <c r="G159" s="1493"/>
      <c r="H159" s="2067" t="s">
        <v>681</v>
      </c>
      <c r="I159" s="1549">
        <f>AJ159</f>
        <v>75</v>
      </c>
      <c r="J159" s="1637"/>
      <c r="K159" s="1637"/>
      <c r="L159" s="2067" t="str">
        <f>Texte!A2332&amp; "  " &amp; N159</f>
        <v>Nebenprodukte und Kraftfutter  ≤</v>
      </c>
      <c r="M159" s="1549">
        <f>AJ161</f>
        <v>15</v>
      </c>
      <c r="N159" s="2067" t="s">
        <v>682</v>
      </c>
      <c r="O159" s="1549">
        <f>AJ160</f>
        <v>10</v>
      </c>
      <c r="P159" s="692"/>
      <c r="Q159" s="692"/>
      <c r="R159" s="692"/>
      <c r="S159" s="692"/>
      <c r="T159" s="692"/>
      <c r="U159" s="2887"/>
      <c r="V159" s="2058"/>
      <c r="W159" s="2887"/>
      <c r="X159" s="2887"/>
      <c r="Y159" s="2887" t="str">
        <f>AH159</f>
        <v>Wiesen- und Weidefutter</v>
      </c>
      <c r="Z159" s="2887"/>
      <c r="AA159" s="2887">
        <v>75</v>
      </c>
      <c r="AB159" s="2887">
        <v>85</v>
      </c>
      <c r="AC159" s="2887">
        <f>IF($AJ159&lt;=$AL159,1,0)*AC$157</f>
        <v>1</v>
      </c>
      <c r="AD159" s="2887">
        <f>IF($AJ159&lt;=$AL159,1,0)*AD$157</f>
        <v>0</v>
      </c>
      <c r="AE159" s="2887">
        <f>IF(ABS($I$158)&gt;0,1,0)</f>
        <v>1</v>
      </c>
      <c r="AF159" s="2058">
        <f>SUM(AC159:AD159)*AE159</f>
        <v>1</v>
      </c>
      <c r="AG159" s="1511"/>
      <c r="AH159" s="1572" t="str">
        <f>Texte!$A2335 &amp; " " &amp; Texte!$A2336</f>
        <v>Wiesen- und Weidefutter</v>
      </c>
      <c r="AI159" s="1572"/>
      <c r="AJ159" s="2056">
        <f>IF($Z$157=0,"",SUM(AA159*AC$157+AB159*AD$157))</f>
        <v>75</v>
      </c>
      <c r="AK159" s="1572" t="s">
        <v>682</v>
      </c>
      <c r="AL159" s="2056">
        <f>I158</f>
        <v>82.4</v>
      </c>
      <c r="AM159" s="1572" t="s">
        <v>1512</v>
      </c>
      <c r="AN159" s="1616"/>
      <c r="AO159" s="2058"/>
      <c r="AP159" s="2058"/>
      <c r="AQ159" s="2058"/>
      <c r="AR159" s="2058"/>
      <c r="AS159" s="2058"/>
      <c r="AT159" s="2058"/>
      <c r="AU159" s="2058"/>
    </row>
    <row r="160" spans="1:47" s="2059" customFormat="1" ht="12.95" customHeight="1">
      <c r="A160" s="1402"/>
      <c r="B160" s="2394">
        <f>Texte!A2331</f>
        <v>0</v>
      </c>
      <c r="C160" s="1492"/>
      <c r="D160" s="1492"/>
      <c r="E160" s="1492"/>
      <c r="F160" s="1492"/>
      <c r="G160" s="1493"/>
      <c r="H160" s="1492"/>
      <c r="I160" s="692"/>
      <c r="J160" s="1492"/>
      <c r="K160" s="692"/>
      <c r="L160" s="2067"/>
      <c r="M160" s="692"/>
      <c r="N160" s="692"/>
      <c r="O160" s="692"/>
      <c r="P160" s="692"/>
      <c r="Q160" s="692"/>
      <c r="R160" s="692"/>
      <c r="S160" s="692"/>
      <c r="T160" s="692"/>
      <c r="U160" s="2887"/>
      <c r="V160" s="2058"/>
      <c r="W160" s="2887"/>
      <c r="X160" s="2887"/>
      <c r="Y160" s="2887" t="str">
        <f>AH160</f>
        <v>Kraftfutter</v>
      </c>
      <c r="Z160" s="2887"/>
      <c r="AA160" s="2887">
        <v>10</v>
      </c>
      <c r="AB160" s="2887">
        <v>10</v>
      </c>
      <c r="AC160" s="2887">
        <f>IF($AJ160&gt;=$AL160,1,0)*AC$157</f>
        <v>1</v>
      </c>
      <c r="AD160" s="2887">
        <f>IF($AJ160&gt;=$AL160,1,0)*AD$157</f>
        <v>0</v>
      </c>
      <c r="AE160" s="2887">
        <f>IF(ABS($O$158)&gt;0,1,0)</f>
        <v>0</v>
      </c>
      <c r="AF160" s="2058">
        <f>SUM(AC160:AD160)*AE160</f>
        <v>0</v>
      </c>
      <c r="AG160" s="1511"/>
      <c r="AH160" s="1572" t="str">
        <f>Texte!$A2340</f>
        <v>Kraftfutter</v>
      </c>
      <c r="AI160" s="1572"/>
      <c r="AJ160" s="2056">
        <f>IF($Z$157=0,"",SUM(AA160*AC$157+AB160*AD$157))</f>
        <v>10</v>
      </c>
      <c r="AK160" s="1572" t="s">
        <v>681</v>
      </c>
      <c r="AL160" s="2056">
        <f>O158</f>
        <v>0</v>
      </c>
      <c r="AM160" s="1572" t="s">
        <v>1512</v>
      </c>
      <c r="AN160" s="1616"/>
      <c r="AO160" s="2058"/>
      <c r="AP160" s="2058"/>
      <c r="AQ160" s="2058"/>
      <c r="AR160" s="2058"/>
      <c r="AS160" s="2058"/>
      <c r="AT160" s="2058"/>
      <c r="AU160" s="2058"/>
    </row>
    <row r="161" spans="1:47" s="2059" customFormat="1" ht="10.5" customHeight="1">
      <c r="A161" s="1402"/>
      <c r="B161" s="1497"/>
      <c r="C161" s="1492"/>
      <c r="D161" s="1492"/>
      <c r="E161" s="1492"/>
      <c r="F161" s="1492"/>
      <c r="G161" s="1496"/>
      <c r="H161" s="1492"/>
      <c r="I161" s="1496"/>
      <c r="J161" s="692"/>
      <c r="K161" s="692"/>
      <c r="L161" s="692"/>
      <c r="M161" s="692"/>
      <c r="N161" s="1495"/>
      <c r="O161" s="1494"/>
      <c r="P161" s="692"/>
      <c r="Q161" s="692"/>
      <c r="R161" s="692"/>
      <c r="S161" s="692"/>
      <c r="T161" s="692"/>
      <c r="U161" s="2887"/>
      <c r="W161" s="2887"/>
      <c r="X161" s="2887"/>
      <c r="Y161" s="2887" t="str">
        <f>AH161</f>
        <v>Nebenprodukte und Kraftfutter</v>
      </c>
      <c r="Z161" s="2887"/>
      <c r="AA161" s="2887">
        <v>15</v>
      </c>
      <c r="AB161" s="2887">
        <v>15</v>
      </c>
      <c r="AC161" s="2887">
        <f>IF($AJ161&gt;=$AL161,1,0)*AC$157</f>
        <v>1</v>
      </c>
      <c r="AD161" s="2887">
        <f>IF($AJ161&gt;=$AL161,1,0)*AD$157</f>
        <v>0</v>
      </c>
      <c r="AE161" s="2887">
        <f>IF(SUM(ABS($M$158),ABS($O$158))&gt;0,1,0)</f>
        <v>0</v>
      </c>
      <c r="AF161" s="2058">
        <f>SUM(AC161:AD161)*AE161</f>
        <v>0</v>
      </c>
      <c r="AG161" s="1511"/>
      <c r="AH161" s="1572" t="str">
        <f>Texte!$A2341</f>
        <v>Nebenprodukte und Kraftfutter</v>
      </c>
      <c r="AI161" s="1572"/>
      <c r="AJ161" s="2056">
        <f>IF($Z$157=0,"",SUM(AA161*AC$157+AB161*AD$157))</f>
        <v>15</v>
      </c>
      <c r="AK161" s="1572" t="s">
        <v>681</v>
      </c>
      <c r="AL161" s="2056">
        <f>IF($F$158=0,"",(ROUND(N158/$F$158*100,1)+ROUND($L$158/$F$158*100,1)))</f>
        <v>0</v>
      </c>
      <c r="AM161" s="1572" t="s">
        <v>1512</v>
      </c>
      <c r="AN161" s="1616"/>
      <c r="AO161" s="2058"/>
      <c r="AP161" s="2058"/>
      <c r="AQ161" s="2058"/>
      <c r="AR161" s="2058"/>
      <c r="AS161" s="2058"/>
      <c r="AT161" s="2058"/>
      <c r="AU161" s="2058"/>
    </row>
    <row r="162" spans="1:47" s="2059" customFormat="1" ht="12.95" customHeight="1" thickBot="1">
      <c r="A162" s="1402"/>
      <c r="B162" s="1493"/>
      <c r="C162" s="1493"/>
      <c r="D162" s="1493"/>
      <c r="E162" s="1493"/>
      <c r="F162" s="1492"/>
      <c r="G162" s="1493"/>
      <c r="H162" s="1492"/>
      <c r="I162" s="692"/>
      <c r="J162" s="1492"/>
      <c r="K162" s="692"/>
      <c r="L162" s="692"/>
      <c r="M162" s="692"/>
      <c r="N162" s="692"/>
      <c r="O162" s="692"/>
      <c r="P162" s="692"/>
      <c r="Q162" s="692"/>
      <c r="R162" s="692"/>
      <c r="S162" s="692"/>
      <c r="T162" s="692"/>
      <c r="U162" s="2887"/>
      <c r="W162" s="2891" t="s">
        <v>237</v>
      </c>
      <c r="X162" s="2887"/>
      <c r="Y162" s="2894" t="str">
        <f>$J$147</f>
        <v>Rau- und Saftfutter</v>
      </c>
      <c r="Z162" s="2887"/>
      <c r="AA162" s="2887"/>
      <c r="AB162" s="2887"/>
      <c r="AC162" s="2895">
        <f>AC157</f>
        <v>1</v>
      </c>
      <c r="AD162" s="2895">
        <f>AD157</f>
        <v>0</v>
      </c>
      <c r="AE162" s="2892">
        <f>IF(ABS($K$158)&gt;0,1,0)</f>
        <v>1</v>
      </c>
      <c r="AF162" s="2058">
        <f>SUM(AC162:AD162)*AE162</f>
        <v>1</v>
      </c>
      <c r="AG162" s="1501"/>
      <c r="AH162" s="1566"/>
      <c r="AI162" s="1566"/>
      <c r="AJ162" s="1566"/>
      <c r="AK162" s="1689"/>
      <c r="AL162" s="1689"/>
      <c r="AM162" s="1689"/>
      <c r="AN162" s="1690"/>
      <c r="AO162" s="2058"/>
      <c r="AP162" s="2058"/>
      <c r="AQ162" s="2058"/>
      <c r="AR162" s="2058"/>
      <c r="AS162" s="2058"/>
      <c r="AT162" s="2058"/>
      <c r="AU162" s="2058"/>
    </row>
    <row r="163" spans="1:47" s="2059" customFormat="1" ht="7.5" customHeight="1">
      <c r="A163" s="1402"/>
      <c r="B163" s="1490"/>
      <c r="C163" s="1488"/>
      <c r="D163" s="1488"/>
      <c r="E163" s="1489"/>
      <c r="F163" s="1489"/>
      <c r="G163" s="1488"/>
      <c r="H163" s="1486"/>
      <c r="I163" s="1487"/>
      <c r="J163" s="1487"/>
      <c r="K163" s="1487"/>
      <c r="L163" s="1487"/>
      <c r="M163" s="1487"/>
      <c r="N163" s="1486"/>
      <c r="O163" s="1485"/>
      <c r="P163" s="692"/>
      <c r="Q163" s="692"/>
      <c r="R163" s="692"/>
      <c r="S163" s="692"/>
      <c r="T163" s="692"/>
      <c r="U163" s="2887"/>
      <c r="W163" s="2892"/>
      <c r="X163" s="2887"/>
      <c r="Y163" s="2887" t="s">
        <v>1217</v>
      </c>
      <c r="Z163" s="2887"/>
      <c r="AA163" s="2887"/>
      <c r="AB163" s="2887"/>
      <c r="AC163" s="2887">
        <f>PRODUCT(AC157:AC161)</f>
        <v>1</v>
      </c>
      <c r="AD163" s="2887">
        <f>PRODUCT(AD157:AD161)</f>
        <v>0</v>
      </c>
      <c r="AE163" s="2887">
        <f>SUM(AE158:AE162)</f>
        <v>3</v>
      </c>
      <c r="AF163" s="2058"/>
      <c r="AG163" s="1641"/>
      <c r="AH163" s="1641"/>
      <c r="AI163" s="1641"/>
      <c r="AJ163" s="1546" t="str">
        <f>Texte!$A2401</f>
        <v>rot = nicht erfüllt</v>
      </c>
      <c r="AK163" s="1584"/>
      <c r="AL163" s="675"/>
      <c r="AM163" s="1641"/>
      <c r="AN163" s="1641"/>
      <c r="AO163" s="2058"/>
      <c r="AP163" s="2058"/>
      <c r="AQ163" s="2058"/>
      <c r="AR163" s="2058"/>
      <c r="AS163" s="2058"/>
      <c r="AT163" s="2058"/>
      <c r="AU163" s="2058"/>
    </row>
    <row r="164" spans="1:47" s="2059" customFormat="1" ht="12.2" customHeight="1">
      <c r="A164" s="30"/>
      <c r="B164" s="1736" t="str">
        <f>Texte!A2345</f>
        <v>Erfüllung der Mindestanteile der Ration</v>
      </c>
      <c r="C164" s="1493"/>
      <c r="D164" s="1493"/>
      <c r="E164" s="675"/>
      <c r="F164" s="675"/>
      <c r="G164" s="1493"/>
      <c r="H164" s="1492"/>
      <c r="I164" s="1403"/>
      <c r="J164" s="1403"/>
      <c r="K164" s="1403"/>
      <c r="L164" s="1403"/>
      <c r="M164" s="1403"/>
      <c r="N164" s="1492"/>
      <c r="O164" s="2379" t="str">
        <f>IF(OR(H158&lt;0,J158&lt;0),Texte!$A$2354,IF(SUM(AC163:AD163)&gt;0,Texte!$A$2355,Texte!$A$2356))</f>
        <v>ja</v>
      </c>
      <c r="P164" s="692"/>
      <c r="Q164" s="692"/>
      <c r="R164" s="692"/>
      <c r="S164" s="692"/>
      <c r="T164" s="692"/>
      <c r="U164" s="2887"/>
      <c r="W164" s="2888">
        <f>IF(O164=Texte!A2355,1,2)</f>
        <v>1</v>
      </c>
      <c r="X164" s="2887"/>
      <c r="Y164" s="2887" t="s">
        <v>238</v>
      </c>
      <c r="Z164" s="2887"/>
      <c r="AA164" s="2887"/>
      <c r="AB164" s="2887"/>
      <c r="AC164" s="2887" t="str">
        <f>IF(AND((I158+K158+O158+M158)&lt;103,((I158+K158+O158+M158)&gt;97)),"richtig","FEHLER")</f>
        <v>richtig</v>
      </c>
      <c r="AD164" s="2887" t="str">
        <f>IF(ABS(SUM(I158,K158,M158,O158)-G158) &lt;=3,"richtig","FEHLER")</f>
        <v>richtig</v>
      </c>
      <c r="AE164" s="2887"/>
      <c r="AF164" s="2058"/>
      <c r="AG164" s="1641"/>
      <c r="AH164" s="1641"/>
      <c r="AI164" s="1641"/>
      <c r="AJ164" s="1641"/>
      <c r="AK164" s="1641"/>
      <c r="AL164" s="1641"/>
      <c r="AM164" s="1641"/>
      <c r="AN164" s="1641"/>
      <c r="AO164" s="2058"/>
      <c r="AP164" s="2058"/>
      <c r="AQ164" s="2058"/>
      <c r="AR164" s="2058"/>
      <c r="AS164" s="2058"/>
      <c r="AT164" s="2058"/>
      <c r="AU164" s="2058"/>
    </row>
    <row r="165" spans="1:47" s="2059" customFormat="1" ht="7.5" customHeight="1" thickBot="1">
      <c r="A165" s="30"/>
      <c r="B165" s="1484"/>
      <c r="C165" s="687"/>
      <c r="D165" s="687"/>
      <c r="E165" s="687"/>
      <c r="F165" s="687"/>
      <c r="G165" s="687"/>
      <c r="H165" s="687"/>
      <c r="I165" s="687"/>
      <c r="J165" s="687"/>
      <c r="K165" s="687"/>
      <c r="L165" s="687"/>
      <c r="M165" s="687"/>
      <c r="N165" s="687"/>
      <c r="O165" s="1483"/>
      <c r="P165" s="692"/>
      <c r="Q165" s="692"/>
      <c r="R165" s="692"/>
      <c r="S165" s="692"/>
      <c r="T165" s="692"/>
      <c r="U165" s="2887"/>
      <c r="W165" s="2888">
        <f>IF(O164=Texte!A2355,1,2)</f>
        <v>1</v>
      </c>
      <c r="X165" s="2887"/>
      <c r="Y165" s="2887"/>
      <c r="Z165" s="2887"/>
      <c r="AA165" s="2887"/>
      <c r="AB165" s="2887"/>
      <c r="AC165" s="2887"/>
      <c r="AD165" s="2887"/>
      <c r="AE165" s="2887"/>
      <c r="AF165" s="2058"/>
      <c r="AG165" s="1641"/>
      <c r="AH165" s="1641"/>
      <c r="AI165" s="1641"/>
      <c r="AJ165" s="1641"/>
      <c r="AK165" s="1641"/>
      <c r="AL165" s="1641"/>
      <c r="AM165" s="1641"/>
      <c r="AN165" s="1641"/>
      <c r="AO165" s="2058"/>
      <c r="AP165" s="2058"/>
      <c r="AQ165" s="2058"/>
      <c r="AR165" s="2058"/>
      <c r="AS165" s="2058"/>
      <c r="AT165" s="2058"/>
      <c r="AU165" s="2058"/>
    </row>
    <row r="166" spans="1:47" s="2059" customFormat="1" ht="30.2" customHeight="1">
      <c r="A166" s="30"/>
      <c r="B166" s="692"/>
      <c r="C166" s="692"/>
      <c r="D166" s="692"/>
      <c r="E166" s="692"/>
      <c r="F166" s="692"/>
      <c r="G166" s="692"/>
      <c r="H166" s="692"/>
      <c r="I166" s="692"/>
      <c r="J166" s="692"/>
      <c r="K166" s="692"/>
      <c r="L166" s="692"/>
      <c r="M166" s="1184"/>
      <c r="N166" s="692"/>
      <c r="O166" s="692"/>
      <c r="P166" s="692"/>
      <c r="Q166" s="692"/>
      <c r="R166" s="692"/>
      <c r="S166" s="692"/>
      <c r="T166" s="692"/>
      <c r="U166" s="2887"/>
      <c r="V166" s="2058"/>
      <c r="W166" s="2887"/>
      <c r="X166" s="2892"/>
      <c r="Y166" s="2892"/>
      <c r="Z166" s="2892"/>
      <c r="AA166" s="2892"/>
      <c r="AB166" s="2892"/>
      <c r="AC166" s="2892"/>
      <c r="AD166" s="2892"/>
      <c r="AE166" s="2892"/>
      <c r="AP166" s="2058"/>
      <c r="AQ166" s="2058"/>
      <c r="AR166" s="2058"/>
      <c r="AS166" s="2058"/>
      <c r="AT166" s="2058"/>
      <c r="AU166" s="2058"/>
    </row>
    <row r="167" spans="1:47" s="2059" customFormat="1" ht="13.7" hidden="1" customHeight="1">
      <c r="A167" s="30"/>
      <c r="B167" s="692"/>
      <c r="C167" s="692"/>
      <c r="D167" s="692"/>
      <c r="E167" s="692"/>
      <c r="F167" s="692"/>
      <c r="G167" s="692"/>
      <c r="H167" s="692"/>
      <c r="I167" s="692"/>
      <c r="J167" s="692"/>
      <c r="K167" s="692"/>
      <c r="L167" s="692"/>
      <c r="M167" s="1814"/>
      <c r="N167" s="692"/>
      <c r="O167" s="692"/>
      <c r="P167" s="692"/>
      <c r="Q167" s="692"/>
      <c r="R167" s="692"/>
      <c r="S167" s="692"/>
      <c r="T167" s="692"/>
      <c r="U167" s="2887"/>
      <c r="V167" s="2058"/>
      <c r="W167" s="2887"/>
      <c r="X167" s="2887"/>
      <c r="Y167" s="2892"/>
      <c r="Z167" s="2887"/>
      <c r="AA167" s="2887"/>
      <c r="AB167" s="2887"/>
      <c r="AC167" s="2892"/>
      <c r="AD167" s="2887"/>
      <c r="AE167" s="2887"/>
      <c r="AF167" s="2058"/>
      <c r="AG167" s="1641"/>
      <c r="AH167" s="1641"/>
      <c r="AI167" s="1641"/>
      <c r="AJ167" s="1641"/>
      <c r="AK167" s="1641"/>
      <c r="AL167" s="1641"/>
      <c r="AM167" s="1641"/>
      <c r="AN167" s="1641"/>
      <c r="AO167" s="2058"/>
      <c r="AP167" s="2058"/>
      <c r="AQ167" s="2058"/>
      <c r="AR167" s="2058"/>
      <c r="AS167" s="2058"/>
      <c r="AT167" s="2058"/>
      <c r="AU167" s="2058"/>
    </row>
    <row r="168" spans="1:47" s="2059" customFormat="1" ht="7.5" hidden="1" customHeight="1">
      <c r="A168" s="30"/>
      <c r="B168" s="1598"/>
      <c r="C168" s="1322"/>
      <c r="D168" s="1322"/>
      <c r="E168" s="1322"/>
      <c r="F168" s="1322"/>
      <c r="G168" s="1322"/>
      <c r="H168" s="1322"/>
      <c r="I168" s="1322"/>
      <c r="J168" s="1322"/>
      <c r="K168" s="1322"/>
      <c r="L168" s="1322"/>
      <c r="M168" s="1322"/>
      <c r="N168" s="1322"/>
      <c r="O168" s="1364"/>
      <c r="P168" s="692"/>
      <c r="Q168" s="692"/>
      <c r="R168" s="692"/>
      <c r="S168" s="692"/>
      <c r="T168" s="692"/>
      <c r="U168" s="2887"/>
      <c r="V168" s="2058"/>
      <c r="W168" s="2887"/>
      <c r="X168" s="2887"/>
      <c r="Y168" s="2887"/>
      <c r="Z168" s="2887"/>
      <c r="AA168" s="2887"/>
      <c r="AB168" s="2887"/>
      <c r="AC168" s="2892"/>
      <c r="AD168" s="2887"/>
      <c r="AE168" s="2887"/>
      <c r="AF168" s="2058"/>
      <c r="AG168" s="1641"/>
      <c r="AH168" s="1641"/>
      <c r="AI168" s="1641"/>
      <c r="AJ168" s="1641"/>
      <c r="AK168" s="1641"/>
      <c r="AL168" s="1641"/>
      <c r="AM168" s="1641"/>
      <c r="AN168" s="1641"/>
      <c r="AO168" s="2058"/>
      <c r="AP168" s="2058"/>
      <c r="AQ168" s="2058"/>
      <c r="AR168" s="2058"/>
      <c r="AS168" s="2058"/>
      <c r="AT168" s="2058"/>
      <c r="AU168" s="2058"/>
    </row>
    <row r="169" spans="1:47" s="2059" customFormat="1" ht="13.7" hidden="1" customHeight="1">
      <c r="A169" s="30"/>
      <c r="B169" s="1324" t="str">
        <f>Texte!A2347</f>
        <v>Wichtiger Hinweis:</v>
      </c>
      <c r="C169" s="675" t="str">
        <f>Texte!A2348</f>
        <v>Diese Futterbilanz ist vom Bundesamt für Landwirtschaft noch nicht zertifiziert.</v>
      </c>
      <c r="D169" s="675"/>
      <c r="E169" s="675"/>
      <c r="F169" s="675"/>
      <c r="G169" s="675"/>
      <c r="H169" s="675"/>
      <c r="I169" s="675"/>
      <c r="J169" s="675"/>
      <c r="K169" s="675"/>
      <c r="L169" s="675"/>
      <c r="M169" s="675"/>
      <c r="N169" s="675"/>
      <c r="O169" s="1347"/>
      <c r="P169" s="692"/>
      <c r="Q169" s="692"/>
      <c r="R169" s="692"/>
      <c r="S169" s="692"/>
      <c r="T169" s="692"/>
      <c r="U169" s="2887"/>
      <c r="V169" s="2058"/>
      <c r="W169" s="2887"/>
      <c r="X169" s="2887"/>
      <c r="Y169" s="2887"/>
      <c r="Z169" s="2887"/>
      <c r="AA169" s="2887"/>
      <c r="AB169" s="2887"/>
      <c r="AC169" s="2887"/>
      <c r="AD169" s="2887" t="str">
        <f>Y159</f>
        <v>Wiesen- und Weidefutter</v>
      </c>
      <c r="AE169" s="2887"/>
      <c r="AF169" s="2058">
        <f>AF158*AF159</f>
        <v>1</v>
      </c>
      <c r="AG169" s="1641"/>
      <c r="AH169" s="1641"/>
      <c r="AI169" s="1641"/>
      <c r="AJ169" s="1641"/>
      <c r="AK169" s="1641"/>
      <c r="AL169" s="1641"/>
      <c r="AM169" s="1641"/>
      <c r="AN169" s="1641"/>
      <c r="AO169" s="2058"/>
      <c r="AP169" s="2058"/>
      <c r="AQ169" s="2058"/>
      <c r="AR169" s="2058"/>
      <c r="AS169" s="2058"/>
      <c r="AT169" s="2058"/>
      <c r="AU169" s="2058"/>
    </row>
    <row r="170" spans="1:47" s="2059" customFormat="1" ht="13.7" hidden="1" customHeight="1">
      <c r="A170" s="30"/>
      <c r="B170" s="1324"/>
      <c r="C170" s="675" t="str">
        <f>Texte!A2349 &amp; Texte!A2350</f>
        <v>Sie kann nicht als Nachweis für die Einhaltung der Bedingungen für die GMF-Beiträge verwendet werden.</v>
      </c>
      <c r="D170" s="675"/>
      <c r="E170" s="675"/>
      <c r="F170" s="675"/>
      <c r="G170" s="675"/>
      <c r="H170" s="675"/>
      <c r="I170" s="675"/>
      <c r="J170" s="675"/>
      <c r="K170" s="675"/>
      <c r="L170" s="675"/>
      <c r="M170" s="675"/>
      <c r="N170" s="675"/>
      <c r="O170" s="1347"/>
      <c r="P170" s="692"/>
      <c r="Q170" s="692"/>
      <c r="R170" s="692"/>
      <c r="S170" s="692"/>
      <c r="T170" s="692"/>
      <c r="U170" s="2887"/>
      <c r="V170" s="2058"/>
      <c r="W170" s="2887"/>
      <c r="X170" s="2887"/>
      <c r="Y170" s="2887"/>
      <c r="Z170" s="2887"/>
      <c r="AA170" s="2887"/>
      <c r="AB170" s="2887"/>
      <c r="AC170" s="2887"/>
      <c r="AD170" s="2887" t="str">
        <f>Y162</f>
        <v>Rau- und Saftfutter</v>
      </c>
      <c r="AE170" s="2887"/>
      <c r="AF170" s="2058">
        <f>AF158</f>
        <v>1</v>
      </c>
      <c r="AG170" s="1641"/>
      <c r="AH170" s="1641"/>
      <c r="AI170" s="1641"/>
      <c r="AJ170" s="1641"/>
      <c r="AK170" s="1641"/>
      <c r="AL170" s="1641"/>
      <c r="AM170" s="1641"/>
      <c r="AN170" s="1641"/>
      <c r="AO170" s="2058"/>
      <c r="AP170" s="2058"/>
      <c r="AQ170" s="2058"/>
      <c r="AR170" s="2058"/>
      <c r="AS170" s="2058"/>
      <c r="AT170" s="2058"/>
      <c r="AU170" s="2058"/>
    </row>
    <row r="171" spans="1:47" s="2059" customFormat="1" ht="13.7" hidden="1" customHeight="1">
      <c r="A171" s="30"/>
      <c r="B171" s="1324"/>
      <c r="C171" s="675" t="str">
        <f>Texte!A2351</f>
        <v xml:space="preserve">Die gültige Version finden Sie unter: www.focus-ap-pa.ch </v>
      </c>
      <c r="D171" s="675"/>
      <c r="E171" s="675"/>
      <c r="F171" s="675"/>
      <c r="G171" s="675"/>
      <c r="H171" s="675"/>
      <c r="I171" s="675"/>
      <c r="J171" s="675"/>
      <c r="K171" s="675"/>
      <c r="L171" s="675"/>
      <c r="M171" s="675"/>
      <c r="N171" s="675"/>
      <c r="O171" s="1347"/>
      <c r="P171" s="692"/>
      <c r="Q171" s="692"/>
      <c r="R171" s="692"/>
      <c r="S171" s="692"/>
      <c r="T171" s="692"/>
      <c r="U171" s="2887"/>
      <c r="V171" s="2058"/>
      <c r="W171" s="2887"/>
      <c r="X171" s="2887"/>
      <c r="Y171" s="2887"/>
      <c r="Z171" s="2887"/>
      <c r="AA171" s="2887"/>
      <c r="AB171" s="2887"/>
      <c r="AC171" s="2887"/>
      <c r="AD171" s="2887" t="str">
        <f>L147</f>
        <v>Nebenprodukte</v>
      </c>
      <c r="AE171" s="2887"/>
      <c r="AF171" s="2058">
        <f>AF161*AF158</f>
        <v>0</v>
      </c>
      <c r="AG171" s="1641"/>
      <c r="AH171" s="1641"/>
      <c r="AI171" s="1641"/>
      <c r="AJ171" s="1641"/>
      <c r="AK171" s="1641"/>
      <c r="AL171" s="1641"/>
      <c r="AM171" s="1641"/>
      <c r="AN171" s="1641"/>
      <c r="AO171" s="2058"/>
      <c r="AP171" s="2058"/>
      <c r="AQ171" s="2058"/>
      <c r="AR171" s="2058"/>
      <c r="AS171" s="2058"/>
      <c r="AT171" s="2058"/>
      <c r="AU171" s="2058"/>
    </row>
    <row r="172" spans="1:47" s="2059" customFormat="1" ht="7.5" hidden="1" customHeight="1">
      <c r="A172" s="692"/>
      <c r="B172" s="1551"/>
      <c r="C172" s="1351"/>
      <c r="D172" s="1351"/>
      <c r="E172" s="1351"/>
      <c r="F172" s="1351"/>
      <c r="G172" s="1351"/>
      <c r="H172" s="1351"/>
      <c r="I172" s="1351"/>
      <c r="J172" s="1351"/>
      <c r="K172" s="1351"/>
      <c r="L172" s="1351"/>
      <c r="M172" s="1351"/>
      <c r="N172" s="1351"/>
      <c r="O172" s="1395"/>
      <c r="P172" s="692"/>
      <c r="Q172" s="692"/>
      <c r="R172" s="692"/>
      <c r="S172" s="692"/>
      <c r="T172" s="692"/>
      <c r="U172" s="2887"/>
      <c r="V172" s="2058"/>
      <c r="W172" s="2887"/>
      <c r="X172" s="2887"/>
      <c r="Y172" s="2887"/>
      <c r="Z172" s="2887"/>
      <c r="AA172" s="2887"/>
      <c r="AB172" s="2887"/>
      <c r="AC172" s="2887"/>
      <c r="AD172" s="2887" t="str">
        <f>Y160</f>
        <v>Kraftfutter</v>
      </c>
      <c r="AE172" s="2887"/>
      <c r="AF172" s="2058">
        <f>AF160</f>
        <v>0</v>
      </c>
      <c r="AG172" s="1641"/>
      <c r="AH172" s="1641"/>
      <c r="AI172" s="1641"/>
      <c r="AJ172" s="1641"/>
      <c r="AK172" s="1641"/>
      <c r="AL172" s="1641"/>
      <c r="AM172" s="1641"/>
      <c r="AN172" s="1641"/>
      <c r="AO172" s="2058"/>
      <c r="AP172" s="2058"/>
      <c r="AQ172" s="2058"/>
      <c r="AR172" s="2058"/>
      <c r="AS172" s="2058"/>
      <c r="AT172" s="2058"/>
      <c r="AU172" s="2058"/>
    </row>
    <row r="173" spans="1:47" s="2059" customFormat="1" ht="12.95" customHeight="1">
      <c r="A173" s="692"/>
      <c r="B173" s="692"/>
      <c r="C173" s="692"/>
      <c r="D173" s="692"/>
      <c r="E173" s="692"/>
      <c r="F173" s="692"/>
      <c r="G173" s="692"/>
      <c r="H173" s="692"/>
      <c r="I173" s="692"/>
      <c r="J173" s="692"/>
      <c r="K173" s="692"/>
      <c r="L173" s="692"/>
      <c r="M173" s="1814"/>
      <c r="N173" s="692"/>
      <c r="O173" s="692"/>
      <c r="P173" s="692"/>
      <c r="Q173" s="692"/>
      <c r="R173" s="692"/>
      <c r="S173" s="692"/>
      <c r="T173" s="692"/>
      <c r="U173" s="2887"/>
      <c r="V173" s="2058"/>
      <c r="W173" s="2887"/>
      <c r="X173" s="2887"/>
      <c r="Y173" s="2887"/>
      <c r="Z173" s="2887"/>
      <c r="AA173" s="2887"/>
      <c r="AB173" s="2887"/>
      <c r="AC173" s="2887"/>
      <c r="AD173" s="2887"/>
      <c r="AE173" s="2887"/>
      <c r="AF173" s="2058"/>
      <c r="AG173" s="1641"/>
      <c r="AH173" s="1641"/>
      <c r="AI173" s="1641"/>
      <c r="AJ173" s="1641"/>
      <c r="AK173" s="1641"/>
      <c r="AL173" s="1641"/>
      <c r="AM173" s="1641"/>
      <c r="AN173" s="1641"/>
      <c r="AO173" s="2058"/>
      <c r="AP173" s="2058"/>
      <c r="AQ173" s="2058"/>
      <c r="AR173" s="2058"/>
      <c r="AS173" s="2058"/>
      <c r="AT173" s="2058"/>
      <c r="AU173" s="2058"/>
    </row>
    <row r="174" spans="1:47" s="2059" customFormat="1" ht="12.95" customHeight="1">
      <c r="A174" s="692"/>
      <c r="B174" s="918" t="str">
        <f>Texte!A2359</f>
        <v>Ort und Datum:</v>
      </c>
      <c r="C174" s="1480"/>
      <c r="D174" s="1479"/>
      <c r="E174" s="1479"/>
      <c r="F174" s="1479"/>
      <c r="G174" s="1479"/>
      <c r="H174" s="1479"/>
      <c r="I174" s="692"/>
      <c r="J174" s="918" t="str">
        <f>Texte!A2360</f>
        <v>Unterschrift:</v>
      </c>
      <c r="K174" s="692"/>
      <c r="L174" s="1479"/>
      <c r="M174" s="1479"/>
      <c r="N174" s="1479"/>
      <c r="O174" s="1479"/>
      <c r="P174" s="692"/>
      <c r="Q174" s="692"/>
      <c r="R174" s="692"/>
      <c r="S174" s="692"/>
      <c r="T174" s="692"/>
      <c r="U174" s="2887"/>
      <c r="V174" s="2058"/>
      <c r="W174" s="2887"/>
      <c r="X174" s="2887"/>
      <c r="Y174" s="2887"/>
      <c r="Z174" s="2887"/>
      <c r="AA174" s="2887"/>
      <c r="AB174" s="2887"/>
      <c r="AC174" s="2887"/>
      <c r="AD174" s="2887"/>
      <c r="AE174" s="2887"/>
      <c r="AF174" s="2058"/>
      <c r="AG174" s="1641"/>
      <c r="AH174" s="1641"/>
      <c r="AI174" s="1641"/>
      <c r="AJ174" s="1641"/>
      <c r="AK174" s="1641"/>
      <c r="AL174" s="1641"/>
      <c r="AM174" s="1641"/>
      <c r="AN174" s="1641"/>
      <c r="AO174" s="2058"/>
      <c r="AP174" s="2058"/>
      <c r="AQ174" s="2058"/>
      <c r="AR174" s="2058"/>
      <c r="AS174" s="2058"/>
      <c r="AT174" s="2058"/>
      <c r="AU174" s="2058"/>
    </row>
    <row r="175" spans="1:47" s="2059" customFormat="1" ht="11.45" customHeight="1">
      <c r="A175" s="692"/>
      <c r="B175" s="692"/>
      <c r="C175" s="692"/>
      <c r="D175" s="692"/>
      <c r="E175" s="692"/>
      <c r="F175" s="692"/>
      <c r="G175" s="692"/>
      <c r="H175" s="692"/>
      <c r="I175" s="692"/>
      <c r="J175" s="692"/>
      <c r="K175" s="692"/>
      <c r="L175" s="692"/>
      <c r="M175" s="692"/>
      <c r="N175" s="692"/>
      <c r="O175" s="692"/>
      <c r="P175" s="692"/>
      <c r="Q175" s="692"/>
      <c r="R175" s="692"/>
      <c r="S175" s="692"/>
      <c r="T175" s="692"/>
      <c r="U175" s="2887"/>
      <c r="V175" s="2058"/>
      <c r="W175" s="2887"/>
      <c r="X175" s="2887"/>
      <c r="Y175" s="2887"/>
      <c r="Z175" s="2887"/>
      <c r="AA175" s="2887"/>
      <c r="AB175" s="2887"/>
      <c r="AC175" s="2887"/>
      <c r="AD175" s="2887"/>
      <c r="AE175" s="2887"/>
      <c r="AF175" s="2058"/>
      <c r="AG175" s="1641"/>
      <c r="AH175" s="1641"/>
      <c r="AI175" s="1641"/>
      <c r="AJ175" s="1641"/>
      <c r="AK175" s="1641"/>
      <c r="AL175" s="1641"/>
      <c r="AM175" s="1641"/>
      <c r="AN175" s="1641"/>
      <c r="AO175" s="2058"/>
      <c r="AP175" s="2058"/>
      <c r="AQ175" s="2058"/>
      <c r="AR175" s="2058"/>
      <c r="AS175" s="2058"/>
      <c r="AT175" s="2058"/>
      <c r="AU175" s="2058"/>
    </row>
    <row r="176" spans="1:47" s="2059" customFormat="1" ht="12.75" customHeight="1">
      <c r="A176" s="692"/>
      <c r="B176" s="1737" t="str">
        <f>Texte!A19</f>
        <v>Stand der Bestimmungen: gültig ab 01.01.2025</v>
      </c>
      <c r="C176" s="692"/>
      <c r="D176" s="692"/>
      <c r="E176" s="692"/>
      <c r="F176" s="692"/>
      <c r="G176" s="692"/>
      <c r="H176" s="692"/>
      <c r="I176" s="692"/>
      <c r="J176" s="692"/>
      <c r="K176" s="692"/>
      <c r="L176" s="692"/>
      <c r="M176" s="692"/>
      <c r="N176" s="692"/>
      <c r="O176" s="692"/>
      <c r="P176" s="692"/>
      <c r="Q176" s="692"/>
      <c r="R176" s="692"/>
      <c r="S176" s="692"/>
      <c r="T176" s="692"/>
      <c r="U176" s="2887"/>
      <c r="V176" s="2058"/>
      <c r="W176" s="2887"/>
      <c r="X176" s="2887"/>
      <c r="Y176" s="2887"/>
      <c r="Z176" s="2887"/>
      <c r="AA176" s="2887"/>
      <c r="AB176" s="2887"/>
      <c r="AC176" s="2887"/>
      <c r="AD176" s="2887"/>
      <c r="AE176" s="2887"/>
      <c r="AF176" s="2058"/>
      <c r="AG176" s="1641"/>
      <c r="AH176" s="1641"/>
      <c r="AI176" s="1641"/>
      <c r="AJ176" s="1641"/>
      <c r="AK176" s="1641"/>
      <c r="AL176" s="1641"/>
      <c r="AM176" s="1641"/>
      <c r="AN176" s="1641"/>
      <c r="AO176" s="2058"/>
      <c r="AP176" s="2058"/>
      <c r="AQ176" s="2058"/>
      <c r="AR176" s="2058"/>
      <c r="AS176" s="2058"/>
      <c r="AT176" s="2058"/>
      <c r="AU176" s="2058"/>
    </row>
    <row r="177" spans="1:47" s="2059" customFormat="1" ht="12.75" customHeight="1">
      <c r="A177" s="692"/>
      <c r="B177" s="1737" t="str">
        <f>Texte!A21</f>
        <v xml:space="preserve">Die Berechnung erfolgt für das im Blatt "Allg" eingestellte Jahr. </v>
      </c>
      <c r="C177" s="692"/>
      <c r="D177" s="692"/>
      <c r="E177" s="692"/>
      <c r="F177" s="692"/>
      <c r="G177" s="692"/>
      <c r="H177" s="692"/>
      <c r="I177" s="692"/>
      <c r="J177" s="692"/>
      <c r="K177" s="692"/>
      <c r="L177" s="692"/>
      <c r="M177" s="692"/>
      <c r="N177" s="692"/>
      <c r="O177" s="692"/>
      <c r="P177" s="692"/>
      <c r="Q177" s="692"/>
      <c r="R177" s="692"/>
      <c r="S177" s="692"/>
      <c r="T177" s="692"/>
      <c r="U177" s="2887"/>
      <c r="V177" s="2058"/>
      <c r="W177" s="2887"/>
      <c r="X177" s="2887"/>
      <c r="Y177" s="2887"/>
      <c r="Z177" s="2887"/>
      <c r="AA177" s="2887"/>
      <c r="AB177" s="2887"/>
      <c r="AC177" s="2887"/>
      <c r="AD177" s="2887"/>
      <c r="AE177" s="2887"/>
      <c r="AF177" s="2058"/>
      <c r="AG177" s="1641"/>
      <c r="AH177" s="1641"/>
      <c r="AI177" s="1641"/>
      <c r="AJ177" s="1641"/>
      <c r="AK177" s="1641"/>
      <c r="AL177" s="1641"/>
      <c r="AM177" s="1641"/>
      <c r="AN177" s="1641"/>
      <c r="AO177" s="2058"/>
      <c r="AP177" s="2058"/>
      <c r="AQ177" s="2058"/>
      <c r="AR177" s="2058"/>
      <c r="AS177" s="2058"/>
      <c r="AT177" s="2058"/>
      <c r="AU177" s="2058"/>
    </row>
    <row r="178" spans="1:47" s="2059" customFormat="1" ht="12.75" customHeight="1">
      <c r="A178" s="692"/>
      <c r="B178" s="1737" t="str">
        <f>Texte!A2358</f>
        <v>Dieses Instrument dient als Nachweis für die Erfüllung der Anforderungen an die Futterbilanz für das Programm der GMF.</v>
      </c>
      <c r="C178" s="692"/>
      <c r="D178" s="692"/>
      <c r="E178" s="692"/>
      <c r="F178" s="692"/>
      <c r="G178" s="692"/>
      <c r="H178" s="692"/>
      <c r="I178" s="692"/>
      <c r="J178" s="692"/>
      <c r="K178" s="692"/>
      <c r="L178" s="692"/>
      <c r="M178" s="692"/>
      <c r="N178" s="692"/>
      <c r="O178" s="692"/>
      <c r="P178" s="692"/>
      <c r="Q178" s="692"/>
      <c r="R178" s="692"/>
      <c r="S178" s="692"/>
      <c r="T178" s="692"/>
      <c r="U178" s="2887"/>
      <c r="V178" s="2058"/>
      <c r="W178" s="2887"/>
      <c r="X178" s="2887"/>
      <c r="Y178" s="2887"/>
      <c r="Z178" s="2887"/>
      <c r="AA178" s="2887"/>
      <c r="AB178" s="2887"/>
      <c r="AC178" s="2887"/>
      <c r="AD178" s="2887"/>
      <c r="AE178" s="2887"/>
      <c r="AF178" s="2058"/>
      <c r="AG178" s="1641"/>
      <c r="AH178" s="1641"/>
      <c r="AI178" s="1641"/>
      <c r="AJ178" s="1641"/>
      <c r="AK178" s="1641"/>
      <c r="AL178" s="1641"/>
      <c r="AM178" s="1641"/>
      <c r="AN178" s="1641"/>
      <c r="AO178" s="2058"/>
      <c r="AP178" s="2058"/>
      <c r="AQ178" s="2058"/>
      <c r="AR178" s="2058"/>
      <c r="AS178" s="2058"/>
      <c r="AT178" s="2058"/>
      <c r="AU178" s="2058"/>
    </row>
    <row r="179" spans="1:47" s="2059" customFormat="1" ht="12.75" customHeight="1">
      <c r="A179" s="692"/>
      <c r="B179" s="1477"/>
      <c r="C179" s="692"/>
      <c r="D179" s="692"/>
      <c r="E179" s="692"/>
      <c r="F179" s="692"/>
      <c r="G179" s="692"/>
      <c r="H179" s="692"/>
      <c r="I179" s="692"/>
      <c r="J179" s="692"/>
      <c r="K179" s="692"/>
      <c r="L179" s="692"/>
      <c r="M179" s="692"/>
      <c r="N179" s="692"/>
      <c r="O179" s="692"/>
      <c r="P179" s="692"/>
      <c r="Q179" s="692"/>
      <c r="R179" s="692"/>
      <c r="S179" s="692"/>
      <c r="T179" s="692"/>
      <c r="U179" s="2887"/>
      <c r="V179" s="2058"/>
      <c r="W179" s="2887"/>
      <c r="X179" s="2887"/>
      <c r="Y179" s="2887"/>
      <c r="Z179" s="2887"/>
      <c r="AA179" s="2887"/>
      <c r="AB179" s="2887"/>
      <c r="AC179" s="2887"/>
      <c r="AD179" s="2887"/>
      <c r="AE179" s="2887"/>
      <c r="AF179" s="2058"/>
      <c r="AG179" s="1641"/>
      <c r="AH179" s="1641"/>
      <c r="AI179" s="1641"/>
      <c r="AJ179" s="1641"/>
      <c r="AK179" s="1641"/>
      <c r="AL179" s="1641"/>
      <c r="AM179" s="1641"/>
      <c r="AN179" s="1641"/>
      <c r="AO179" s="2058"/>
      <c r="AP179" s="2058"/>
      <c r="AQ179" s="2058"/>
      <c r="AR179" s="2058"/>
      <c r="AS179" s="2058"/>
      <c r="AT179" s="2058"/>
      <c r="AU179" s="2058"/>
    </row>
    <row r="180" spans="1:47" s="2059" customFormat="1" ht="12.75" customHeight="1">
      <c r="A180" s="692"/>
      <c r="B180" s="1547" t="str">
        <f>Texte!A2361</f>
        <v>Informationsteil</v>
      </c>
      <c r="C180" s="692"/>
      <c r="D180" s="692"/>
      <c r="E180" s="692"/>
      <c r="F180" s="692"/>
      <c r="G180" s="692"/>
      <c r="H180" s="692"/>
      <c r="I180" s="692"/>
      <c r="J180" s="692"/>
      <c r="K180" s="692"/>
      <c r="L180" s="692"/>
      <c r="M180" s="692"/>
      <c r="N180" s="692"/>
      <c r="O180" s="692"/>
      <c r="P180" s="692"/>
      <c r="Q180" s="692"/>
      <c r="R180" s="692"/>
      <c r="S180" s="692"/>
      <c r="T180" s="692"/>
      <c r="U180" s="2887"/>
      <c r="V180" s="2058"/>
      <c r="W180" s="2887"/>
      <c r="X180" s="2887"/>
      <c r="Y180" s="2887"/>
      <c r="Z180" s="2887"/>
      <c r="AA180" s="2887"/>
      <c r="AB180" s="2887"/>
      <c r="AC180" s="2887"/>
      <c r="AD180" s="2887"/>
      <c r="AE180" s="2887"/>
      <c r="AF180" s="2058"/>
      <c r="AG180" s="1641"/>
      <c r="AH180" s="1641"/>
      <c r="AI180" s="1641"/>
      <c r="AJ180" s="1641"/>
      <c r="AK180" s="1641"/>
      <c r="AL180" s="1641"/>
      <c r="AM180" s="1641"/>
      <c r="AN180" s="1641"/>
      <c r="AO180" s="2058"/>
      <c r="AP180" s="2058"/>
      <c r="AQ180" s="2058"/>
      <c r="AR180" s="2058"/>
      <c r="AS180" s="2058"/>
      <c r="AT180" s="2058"/>
      <c r="AU180" s="2058"/>
    </row>
    <row r="181" spans="1:47" s="2059" customFormat="1" ht="6" customHeight="1">
      <c r="A181" s="692"/>
      <c r="B181" s="1813"/>
      <c r="C181" s="692"/>
      <c r="D181" s="692"/>
      <c r="E181" s="692"/>
      <c r="F181" s="692"/>
      <c r="G181" s="692"/>
      <c r="H181" s="692"/>
      <c r="I181" s="692"/>
      <c r="J181" s="692"/>
      <c r="K181" s="692"/>
      <c r="L181" s="692"/>
      <c r="M181" s="692"/>
      <c r="N181" s="692"/>
      <c r="O181" s="692"/>
      <c r="P181" s="692"/>
      <c r="Q181" s="692"/>
      <c r="R181" s="692"/>
      <c r="S181" s="692"/>
      <c r="T181" s="692"/>
      <c r="U181" s="2887"/>
      <c r="V181" s="2058"/>
      <c r="W181" s="2887"/>
      <c r="X181" s="2887"/>
      <c r="Y181" s="2887"/>
      <c r="Z181" s="2887"/>
      <c r="AA181" s="2887"/>
      <c r="AB181" s="2887"/>
      <c r="AC181" s="2887"/>
      <c r="AD181" s="2887"/>
      <c r="AE181" s="2887"/>
      <c r="AF181" s="2058"/>
      <c r="AG181" s="1641"/>
      <c r="AH181" s="1641"/>
      <c r="AI181" s="1641"/>
      <c r="AJ181" s="1641"/>
      <c r="AK181" s="1641"/>
      <c r="AL181" s="1641"/>
      <c r="AM181" s="1641"/>
      <c r="AN181" s="1641"/>
      <c r="AO181" s="2058"/>
      <c r="AP181" s="2058"/>
      <c r="AQ181" s="2058"/>
      <c r="AR181" s="2058"/>
      <c r="AS181" s="2058"/>
      <c r="AT181" s="2058"/>
      <c r="AU181" s="2058"/>
    </row>
    <row r="182" spans="1:47" s="2059" customFormat="1">
      <c r="A182" s="692"/>
      <c r="B182" s="1737" t="str">
        <f>Texte!A2362</f>
        <v xml:space="preserve">Die Berechnung des massgebenden Tierbesatzes für die Futterbilanz 2024 basiert auf dem effektiven </v>
      </c>
      <c r="C182" s="692"/>
      <c r="D182" s="692"/>
      <c r="E182" s="692"/>
      <c r="F182" s="692"/>
      <c r="G182" s="692"/>
      <c r="H182" s="692"/>
      <c r="I182" s="692"/>
      <c r="J182" s="692"/>
      <c r="K182" s="692"/>
      <c r="L182" s="692"/>
      <c r="M182" s="692"/>
      <c r="N182" s="692"/>
      <c r="O182" s="692"/>
      <c r="P182" s="692"/>
      <c r="Q182" s="692"/>
      <c r="R182" s="692"/>
      <c r="S182" s="692"/>
      <c r="T182" s="692"/>
      <c r="U182" s="2887"/>
      <c r="V182" s="2058"/>
      <c r="W182" s="2887"/>
      <c r="X182" s="2887"/>
      <c r="Y182" s="2887"/>
      <c r="Z182" s="2887"/>
      <c r="AA182" s="2887"/>
      <c r="AB182" s="2887"/>
      <c r="AC182" s="2887"/>
      <c r="AD182" s="2887"/>
      <c r="AE182" s="2887"/>
      <c r="AF182" s="2058"/>
      <c r="AG182" s="1641"/>
      <c r="AH182" s="1641"/>
      <c r="AI182" s="1641"/>
      <c r="AJ182" s="1641"/>
      <c r="AK182" s="1641"/>
      <c r="AL182" s="1641"/>
      <c r="AM182" s="1641"/>
      <c r="AN182" s="1641"/>
      <c r="AO182" s="2058"/>
      <c r="AP182" s="2058"/>
      <c r="AQ182" s="2058"/>
      <c r="AR182" s="2058"/>
      <c r="AS182" s="2058"/>
      <c r="AT182" s="2058"/>
      <c r="AU182" s="2058"/>
    </row>
    <row r="183" spans="1:47" s="2059" customFormat="1">
      <c r="A183" s="692"/>
      <c r="B183" s="1737" t="str">
        <f>Texte!A2363</f>
        <v xml:space="preserve">Tierbestand in der Periode vom 1.1. bis zum 31.12.2024. Weil dieser zur Zeit noch nicht bekannt ist, </v>
      </c>
      <c r="C183" s="692"/>
      <c r="D183" s="692"/>
      <c r="E183" s="692"/>
      <c r="F183" s="692"/>
      <c r="G183" s="692"/>
      <c r="H183" s="692"/>
      <c r="I183" s="692"/>
      <c r="J183" s="692"/>
      <c r="K183" s="692"/>
      <c r="L183" s="692"/>
      <c r="M183" s="692"/>
      <c r="N183" s="692"/>
      <c r="O183" s="692"/>
      <c r="P183" s="692"/>
      <c r="Q183" s="692"/>
      <c r="R183" s="692"/>
      <c r="S183" s="692"/>
      <c r="T183" s="692"/>
      <c r="U183" s="2887"/>
      <c r="V183" s="2058"/>
      <c r="W183" s="2887"/>
      <c r="X183" s="2887"/>
      <c r="Y183" s="2887"/>
      <c r="Z183" s="2887"/>
      <c r="AA183" s="2887"/>
      <c r="AB183" s="2887"/>
      <c r="AC183" s="2887"/>
      <c r="AD183" s="2887"/>
      <c r="AE183" s="2887"/>
      <c r="AF183" s="2058"/>
      <c r="AG183" s="1641"/>
      <c r="AH183" s="1641"/>
      <c r="AI183" s="1641"/>
      <c r="AJ183" s="1641"/>
      <c r="AK183" s="1641"/>
      <c r="AL183" s="1641"/>
      <c r="AM183" s="1641"/>
      <c r="AN183" s="1641"/>
      <c r="AO183" s="2058"/>
      <c r="AP183" s="2058"/>
      <c r="AQ183" s="2058"/>
      <c r="AR183" s="2058"/>
      <c r="AS183" s="2058"/>
      <c r="AT183" s="2058"/>
      <c r="AU183" s="2058"/>
    </row>
    <row r="184" spans="1:47" s="2059" customFormat="1">
      <c r="A184" s="692"/>
      <c r="B184" s="1737" t="str">
        <f>Texte!A2364</f>
        <v>ist die Höhe der Beiträge nur eine Schätzung.</v>
      </c>
      <c r="C184" s="692"/>
      <c r="D184" s="692"/>
      <c r="E184" s="692"/>
      <c r="F184" s="692"/>
      <c r="G184" s="692"/>
      <c r="H184" s="692"/>
      <c r="I184" s="692"/>
      <c r="J184" s="692"/>
      <c r="K184" s="692"/>
      <c r="L184" s="692"/>
      <c r="M184" s="692"/>
      <c r="N184" s="692"/>
      <c r="O184" s="692"/>
      <c r="P184" s="692"/>
      <c r="Q184" s="692"/>
      <c r="R184" s="692"/>
      <c r="S184" s="692"/>
      <c r="T184" s="692"/>
      <c r="U184" s="2887"/>
      <c r="V184" s="2058"/>
      <c r="W184" s="2887"/>
      <c r="X184" s="2887"/>
      <c r="Y184" s="2887"/>
      <c r="Z184" s="2887"/>
      <c r="AA184" s="2887"/>
      <c r="AB184" s="2887"/>
      <c r="AC184" s="2887"/>
      <c r="AD184" s="2887"/>
      <c r="AE184" s="2887"/>
      <c r="AF184" s="2058"/>
      <c r="AG184" s="1641"/>
      <c r="AH184" s="1641"/>
      <c r="AI184" s="1641"/>
      <c r="AJ184" s="1641"/>
      <c r="AK184" s="1641"/>
      <c r="AL184" s="1641"/>
      <c r="AM184" s="1641"/>
      <c r="AN184" s="1641"/>
      <c r="AO184" s="2058"/>
      <c r="AP184" s="2058"/>
      <c r="AQ184" s="2058"/>
      <c r="AR184" s="2058"/>
      <c r="AS184" s="2058"/>
      <c r="AT184" s="2058"/>
      <c r="AU184" s="2058"/>
    </row>
    <row r="185" spans="1:47" s="2059" customFormat="1">
      <c r="A185" s="692"/>
      <c r="B185" s="1737"/>
      <c r="C185" s="692"/>
      <c r="D185" s="692"/>
      <c r="E185" s="692"/>
      <c r="F185" s="692"/>
      <c r="G185" s="692"/>
      <c r="H185" s="692"/>
      <c r="I185" s="692"/>
      <c r="J185" s="692"/>
      <c r="K185" s="692"/>
      <c r="L185" s="692"/>
      <c r="M185" s="692"/>
      <c r="N185" s="692"/>
      <c r="O185" s="692"/>
      <c r="P185" s="692"/>
      <c r="Q185" s="692"/>
      <c r="R185" s="692"/>
      <c r="S185" s="692"/>
      <c r="T185" s="692"/>
      <c r="U185" s="2887"/>
      <c r="V185" s="2058"/>
      <c r="W185" s="2887"/>
      <c r="X185" s="2887"/>
      <c r="Y185" s="2887"/>
      <c r="Z185" s="2887"/>
      <c r="AA185" s="2887"/>
      <c r="AB185" s="2887"/>
      <c r="AC185" s="2887"/>
      <c r="AD185" s="2887"/>
      <c r="AE185" s="2887"/>
      <c r="AF185" s="2058"/>
      <c r="AG185" s="1641"/>
      <c r="AH185" s="1641"/>
      <c r="AI185" s="1641"/>
      <c r="AJ185" s="1641"/>
      <c r="AK185" s="1641"/>
      <c r="AL185" s="1641"/>
      <c r="AM185" s="1641"/>
      <c r="AN185" s="1641"/>
      <c r="AO185" s="2058"/>
      <c r="AP185" s="2058"/>
      <c r="AQ185" s="2058"/>
      <c r="AR185" s="2058"/>
      <c r="AS185" s="2058"/>
      <c r="AT185" s="2058"/>
      <c r="AU185" s="2058"/>
    </row>
    <row r="186" spans="1:47" s="2059" customFormat="1">
      <c r="A186" s="692"/>
      <c r="B186" s="692"/>
      <c r="C186" s="692"/>
      <c r="D186" s="692"/>
      <c r="E186" s="692"/>
      <c r="F186" s="692"/>
      <c r="G186" s="692"/>
      <c r="H186" s="1887" t="str">
        <f>Texte!A2257</f>
        <v>Angaben für Mindesttierbesatz</v>
      </c>
      <c r="I186" s="692"/>
      <c r="J186" s="692"/>
      <c r="K186" s="692"/>
      <c r="L186" s="692"/>
      <c r="M186" s="692"/>
      <c r="N186" s="692"/>
      <c r="O186" s="692"/>
      <c r="P186" s="692"/>
      <c r="Q186" s="692"/>
      <c r="R186" s="692"/>
      <c r="S186" s="692"/>
      <c r="T186" s="692"/>
      <c r="U186" s="2887"/>
      <c r="V186" s="2058"/>
      <c r="W186" s="2887"/>
      <c r="X186" s="2887"/>
      <c r="Y186" s="2887"/>
      <c r="Z186" s="2887"/>
      <c r="AA186" s="2887"/>
      <c r="AB186" s="2887"/>
      <c r="AC186" s="2887"/>
      <c r="AD186" s="2887"/>
      <c r="AE186" s="2887"/>
      <c r="AF186" s="2058"/>
      <c r="AG186" s="1641"/>
      <c r="AH186" s="1641"/>
      <c r="AI186" s="1641"/>
      <c r="AJ186" s="1641"/>
      <c r="AK186" s="1641"/>
      <c r="AL186" s="1641"/>
      <c r="AM186" s="1641"/>
      <c r="AN186" s="1641"/>
      <c r="AO186" s="2058"/>
      <c r="AP186" s="2058"/>
      <c r="AQ186" s="2058"/>
      <c r="AR186" s="2058"/>
      <c r="AS186" s="2058"/>
      <c r="AT186" s="2058"/>
      <c r="AU186" s="2058"/>
    </row>
    <row r="187" spans="1:47" s="2059" customFormat="1">
      <c r="A187" s="692"/>
      <c r="B187" s="692"/>
      <c r="C187" s="692"/>
      <c r="D187" s="692"/>
      <c r="E187" s="692"/>
      <c r="F187" s="692"/>
      <c r="G187" s="1609" t="str">
        <f>Texte!A2258</f>
        <v>Dauergrünland</v>
      </c>
      <c r="H187" s="692"/>
      <c r="I187" s="692"/>
      <c r="J187" s="692"/>
      <c r="K187" s="692"/>
      <c r="L187" s="692"/>
      <c r="M187" s="692"/>
      <c r="N187" s="692"/>
      <c r="O187" s="692"/>
      <c r="P187" s="692"/>
      <c r="Q187" s="692"/>
      <c r="R187" s="692"/>
      <c r="S187" s="692"/>
      <c r="T187" s="692"/>
      <c r="U187" s="2887"/>
      <c r="V187" s="2058"/>
      <c r="W187" s="2887"/>
      <c r="X187" s="2887"/>
      <c r="Y187" s="2887"/>
      <c r="Z187" s="2887"/>
      <c r="AA187" s="2887"/>
      <c r="AB187" s="2887"/>
      <c r="AC187" s="2887"/>
      <c r="AD187" s="2887"/>
      <c r="AE187" s="2887"/>
      <c r="AF187" s="2058"/>
      <c r="AG187" s="1641"/>
      <c r="AH187" s="1641"/>
      <c r="AI187" s="1641"/>
      <c r="AJ187" s="1641"/>
      <c r="AK187" s="1641"/>
      <c r="AL187" s="1641"/>
      <c r="AM187" s="1641"/>
      <c r="AN187" s="1641"/>
      <c r="AO187" s="2058"/>
      <c r="AP187" s="2058"/>
      <c r="AQ187" s="2058"/>
      <c r="AR187" s="2058"/>
      <c r="AS187" s="2058"/>
      <c r="AT187" s="2058"/>
      <c r="AU187" s="2058"/>
    </row>
    <row r="188" spans="1:47" s="2059" customFormat="1">
      <c r="A188" s="692"/>
      <c r="B188" s="692"/>
      <c r="C188" s="692"/>
      <c r="D188" s="692"/>
      <c r="E188" s="692"/>
      <c r="F188" s="692"/>
      <c r="G188" s="1609" t="str">
        <f>Texte!A2259</f>
        <v>Kunstwiesen</v>
      </c>
      <c r="H188" s="1620" t="str">
        <f>Texte!A2260</f>
        <v>BFF</v>
      </c>
      <c r="I188" s="692"/>
      <c r="J188" s="692"/>
      <c r="K188" s="692"/>
      <c r="L188" s="692"/>
      <c r="M188" s="692"/>
      <c r="N188" s="692"/>
      <c r="O188" s="692"/>
      <c r="P188" s="692"/>
      <c r="Q188" s="692"/>
      <c r="R188" s="692"/>
      <c r="S188" s="692"/>
      <c r="T188" s="692"/>
      <c r="U188" s="2887"/>
      <c r="V188" s="2058"/>
      <c r="W188" s="2887"/>
      <c r="X188" s="2887"/>
      <c r="Y188" s="2887"/>
      <c r="Z188" s="2887"/>
      <c r="AA188" s="2887"/>
      <c r="AB188" s="2887"/>
      <c r="AC188" s="2887"/>
      <c r="AD188" s="2887"/>
      <c r="AE188" s="2887"/>
      <c r="AF188" s="2058"/>
      <c r="AG188" s="1641"/>
      <c r="AH188" s="1641"/>
      <c r="AI188" s="1641"/>
      <c r="AJ188" s="1641"/>
      <c r="AK188" s="1641"/>
      <c r="AL188" s="1641"/>
      <c r="AM188" s="1641"/>
      <c r="AN188" s="1641"/>
      <c r="AO188" s="2058"/>
      <c r="AP188" s="2058"/>
      <c r="AQ188" s="2058"/>
      <c r="AR188" s="2058"/>
      <c r="AS188" s="2058"/>
      <c r="AT188" s="2058"/>
      <c r="AU188" s="2058"/>
    </row>
    <row r="189" spans="1:47" s="2059" customFormat="1">
      <c r="A189" s="692"/>
      <c r="B189" s="692"/>
      <c r="C189" s="692"/>
      <c r="D189" s="692"/>
      <c r="E189" s="692"/>
      <c r="F189" s="692"/>
      <c r="G189" s="1620" t="s">
        <v>5675</v>
      </c>
      <c r="H189" s="1620" t="s">
        <v>5675</v>
      </c>
      <c r="I189" s="692"/>
      <c r="J189" s="692"/>
      <c r="K189" s="692"/>
      <c r="L189" s="692"/>
      <c r="M189" s="692"/>
      <c r="N189" s="692"/>
      <c r="O189" s="692"/>
      <c r="P189" s="692"/>
      <c r="Q189" s="692"/>
      <c r="R189" s="692"/>
      <c r="S189" s="692"/>
      <c r="T189" s="692"/>
      <c r="U189" s="2887"/>
      <c r="V189" s="2058"/>
      <c r="W189" s="2887"/>
      <c r="X189" s="2887"/>
      <c r="Y189" s="2887"/>
      <c r="Z189" s="2887"/>
      <c r="AA189" s="2887"/>
      <c r="AB189" s="2887"/>
      <c r="AC189" s="2887"/>
      <c r="AD189" s="2887"/>
      <c r="AE189" s="2887"/>
      <c r="AF189" s="2058"/>
      <c r="AG189" s="1641"/>
      <c r="AH189" s="1641"/>
      <c r="AI189" s="1641"/>
      <c r="AJ189" s="1641"/>
      <c r="AK189" s="1641"/>
      <c r="AL189" s="1641"/>
      <c r="AM189" s="1641"/>
      <c r="AN189" s="1641"/>
      <c r="AO189" s="2058"/>
      <c r="AP189" s="2058"/>
      <c r="AQ189" s="2058"/>
      <c r="AR189" s="2058"/>
      <c r="AS189" s="2058"/>
      <c r="AT189" s="2058"/>
      <c r="AU189" s="2058"/>
    </row>
    <row r="190" spans="1:47" s="2059" customFormat="1">
      <c r="A190" s="692"/>
      <c r="B190" s="692"/>
      <c r="C190" s="692"/>
      <c r="D190" s="692"/>
      <c r="E190" s="692"/>
      <c r="F190" s="2767" t="str">
        <f>Texte!A2062</f>
        <v>Talzone</v>
      </c>
      <c r="G190" s="1797">
        <f>VSB!G17+VSB!M17</f>
        <v>19.12</v>
      </c>
      <c r="H190" s="1798">
        <f>VSB!I17</f>
        <v>35.852699999999992</v>
      </c>
      <c r="I190" s="692"/>
      <c r="J190" s="692"/>
      <c r="K190" s="692"/>
      <c r="L190" s="692"/>
      <c r="M190" s="692"/>
      <c r="N190" s="692"/>
      <c r="O190" s="692"/>
      <c r="P190" s="692"/>
      <c r="Q190" s="692"/>
      <c r="R190" s="692"/>
      <c r="S190" s="692"/>
      <c r="T190" s="692"/>
      <c r="U190" s="2887"/>
      <c r="V190" s="2058"/>
      <c r="W190" s="2887"/>
      <c r="X190" s="2887"/>
      <c r="Y190" s="2887"/>
      <c r="Z190" s="2887"/>
      <c r="AA190" s="2887"/>
      <c r="AB190" s="2887"/>
      <c r="AC190" s="2887"/>
      <c r="AD190" s="2887"/>
      <c r="AE190" s="2887"/>
      <c r="AF190" s="2058"/>
      <c r="AG190" s="1641"/>
      <c r="AH190" s="1641"/>
      <c r="AI190" s="1641"/>
      <c r="AJ190" s="1641"/>
      <c r="AK190" s="1641"/>
      <c r="AL190" s="1641"/>
      <c r="AM190" s="1641"/>
      <c r="AN190" s="1641"/>
      <c r="AO190" s="2058"/>
      <c r="AP190" s="2058"/>
      <c r="AQ190" s="2058"/>
      <c r="AR190" s="2058"/>
      <c r="AS190" s="2058"/>
      <c r="AT190" s="2058"/>
      <c r="AU190" s="2058"/>
    </row>
    <row r="191" spans="1:47" s="2059" customFormat="1">
      <c r="A191" s="692"/>
      <c r="B191" s="692"/>
      <c r="C191" s="692"/>
      <c r="D191" s="692"/>
      <c r="E191" s="692"/>
      <c r="F191" s="2767" t="str">
        <f>Texte!A2063</f>
        <v>Hügelzone</v>
      </c>
      <c r="G191" s="1799">
        <f>VSB!G18+VSB!M18</f>
        <v>0</v>
      </c>
      <c r="H191" s="1686">
        <f>VSB!I18</f>
        <v>0</v>
      </c>
      <c r="I191" s="692"/>
      <c r="J191" s="692"/>
      <c r="K191" s="692"/>
      <c r="L191" s="692"/>
      <c r="M191" s="692"/>
      <c r="N191" s="692"/>
      <c r="O191" s="692"/>
      <c r="P191" s="692"/>
      <c r="Q191" s="692"/>
      <c r="R191" s="692"/>
      <c r="S191" s="692"/>
      <c r="T191" s="692"/>
      <c r="U191" s="2887"/>
      <c r="V191" s="2058"/>
      <c r="W191" s="2887"/>
      <c r="X191" s="2887"/>
      <c r="Y191" s="2887"/>
      <c r="Z191" s="2887"/>
      <c r="AA191" s="2887"/>
      <c r="AB191" s="2887"/>
      <c r="AC191" s="2887"/>
      <c r="AD191" s="2887"/>
      <c r="AE191" s="2887"/>
      <c r="AF191" s="2058"/>
      <c r="AG191" s="1641"/>
      <c r="AH191" s="1641"/>
      <c r="AI191" s="1641"/>
      <c r="AJ191" s="1641"/>
      <c r="AK191" s="1641"/>
      <c r="AL191" s="1641"/>
      <c r="AM191" s="1641"/>
      <c r="AN191" s="1641"/>
      <c r="AO191" s="2058"/>
      <c r="AP191" s="2058"/>
      <c r="AQ191" s="2058"/>
      <c r="AR191" s="2058"/>
      <c r="AS191" s="2058"/>
      <c r="AT191" s="2058"/>
      <c r="AU191" s="2058"/>
    </row>
    <row r="192" spans="1:47" s="2059" customFormat="1">
      <c r="A192" s="692"/>
      <c r="B192" s="692"/>
      <c r="C192" s="692"/>
      <c r="D192" s="692"/>
      <c r="E192" s="692"/>
      <c r="F192" s="2767" t="str">
        <f>Texte!A2064</f>
        <v>Bergzone I</v>
      </c>
      <c r="G192" s="1799">
        <f>VSB!G19+VSB!M19</f>
        <v>0</v>
      </c>
      <c r="H192" s="1686">
        <f>VSB!I19</f>
        <v>0</v>
      </c>
      <c r="I192" s="692"/>
      <c r="J192" s="692"/>
      <c r="K192" s="692"/>
      <c r="L192" s="692"/>
      <c r="M192" s="692"/>
      <c r="N192" s="692"/>
      <c r="O192" s="692"/>
      <c r="P192" s="692"/>
      <c r="Q192" s="692"/>
      <c r="R192" s="692"/>
      <c r="S192" s="692"/>
      <c r="T192" s="692"/>
      <c r="U192" s="2887"/>
      <c r="V192" s="2058"/>
      <c r="W192" s="2887"/>
      <c r="X192" s="2887"/>
      <c r="Y192" s="2887"/>
      <c r="Z192" s="2887"/>
      <c r="AA192" s="2887"/>
      <c r="AB192" s="2887"/>
      <c r="AC192" s="2887"/>
      <c r="AD192" s="2887"/>
      <c r="AE192" s="2887"/>
      <c r="AF192" s="2058"/>
      <c r="AG192" s="1641"/>
      <c r="AH192" s="1641"/>
      <c r="AI192" s="1641"/>
      <c r="AJ192" s="1641"/>
      <c r="AK192" s="1641"/>
      <c r="AL192" s="1641"/>
      <c r="AM192" s="1641"/>
      <c r="AN192" s="1641"/>
      <c r="AO192" s="2058"/>
      <c r="AP192" s="2058"/>
      <c r="AQ192" s="2058"/>
      <c r="AR192" s="2058"/>
      <c r="AS192" s="2058"/>
      <c r="AT192" s="2058"/>
      <c r="AU192" s="2058"/>
    </row>
    <row r="193" spans="1:47" s="2059" customFormat="1">
      <c r="A193" s="692"/>
      <c r="B193" s="692"/>
      <c r="C193" s="692"/>
      <c r="D193" s="692"/>
      <c r="E193" s="692"/>
      <c r="F193" s="2767" t="str">
        <f>Texte!A2065</f>
        <v>Bergzone II</v>
      </c>
      <c r="G193" s="1799">
        <f>VSB!G20+VSB!M20</f>
        <v>0</v>
      </c>
      <c r="H193" s="1686">
        <f>VSB!I20</f>
        <v>0</v>
      </c>
      <c r="I193" s="692"/>
      <c r="J193" s="692"/>
      <c r="K193" s="692"/>
      <c r="L193" s="692"/>
      <c r="M193" s="692"/>
      <c r="N193" s="692"/>
      <c r="O193" s="692"/>
      <c r="P193" s="692"/>
      <c r="Q193" s="692"/>
      <c r="R193" s="692"/>
      <c r="S193" s="692"/>
      <c r="T193" s="692"/>
      <c r="U193" s="2887"/>
      <c r="V193" s="2058"/>
      <c r="W193" s="2887"/>
      <c r="X193" s="2887"/>
      <c r="Y193" s="2887"/>
      <c r="Z193" s="2887"/>
      <c r="AA193" s="2887"/>
      <c r="AB193" s="2887"/>
      <c r="AC193" s="2887"/>
      <c r="AD193" s="2887"/>
      <c r="AE193" s="2887"/>
      <c r="AF193" s="2058"/>
      <c r="AG193" s="1641"/>
      <c r="AH193" s="1641"/>
      <c r="AI193" s="1641"/>
      <c r="AJ193" s="1641"/>
      <c r="AK193" s="1641"/>
      <c r="AL193" s="1641"/>
      <c r="AM193" s="1641"/>
      <c r="AN193" s="1641"/>
      <c r="AO193" s="2058"/>
      <c r="AP193" s="2058"/>
      <c r="AQ193" s="2058"/>
      <c r="AR193" s="2058"/>
      <c r="AS193" s="2058"/>
      <c r="AT193" s="2058"/>
      <c r="AU193" s="2058"/>
    </row>
    <row r="194" spans="1:47" s="2059" customFormat="1">
      <c r="A194" s="692"/>
      <c r="B194" s="692"/>
      <c r="C194" s="692"/>
      <c r="D194" s="692"/>
      <c r="E194" s="692"/>
      <c r="F194" s="2767" t="str">
        <f>Texte!A2066</f>
        <v>Bergzone III</v>
      </c>
      <c r="G194" s="1799">
        <f>VSB!G21+VSB!M21</f>
        <v>0</v>
      </c>
      <c r="H194" s="1686">
        <f>VSB!I21</f>
        <v>0</v>
      </c>
      <c r="I194" s="692"/>
      <c r="J194" s="692"/>
      <c r="K194" s="692"/>
      <c r="L194" s="692"/>
      <c r="M194" s="692"/>
      <c r="N194" s="692"/>
      <c r="O194" s="692"/>
      <c r="P194" s="692"/>
      <c r="Q194" s="692"/>
      <c r="R194" s="692"/>
      <c r="S194" s="692"/>
      <c r="T194" s="692"/>
      <c r="U194" s="2887"/>
      <c r="V194" s="2058"/>
      <c r="W194" s="2887"/>
      <c r="X194" s="2887"/>
      <c r="Y194" s="2887"/>
      <c r="Z194" s="2887"/>
      <c r="AA194" s="2887"/>
      <c r="AB194" s="2887"/>
      <c r="AC194" s="2887"/>
      <c r="AD194" s="2887"/>
      <c r="AE194" s="2887"/>
      <c r="AF194" s="2058"/>
      <c r="AG194" s="1641"/>
      <c r="AH194" s="1641"/>
      <c r="AI194" s="1641"/>
      <c r="AJ194" s="1641"/>
      <c r="AK194" s="1641"/>
      <c r="AL194" s="1641"/>
      <c r="AM194" s="1641"/>
      <c r="AN194" s="1641"/>
      <c r="AO194" s="2058"/>
      <c r="AP194" s="2058"/>
      <c r="AQ194" s="2058"/>
      <c r="AR194" s="2058"/>
      <c r="AS194" s="2058"/>
      <c r="AT194" s="2058"/>
      <c r="AU194" s="2058"/>
    </row>
    <row r="195" spans="1:47" s="2059" customFormat="1">
      <c r="A195" s="692"/>
      <c r="B195" s="692"/>
      <c r="C195" s="692"/>
      <c r="D195" s="692"/>
      <c r="E195" s="692"/>
      <c r="F195" s="2767" t="str">
        <f>Texte!A2067</f>
        <v>Bergzone IV</v>
      </c>
      <c r="G195" s="1800">
        <f>VSB!G22+VSB!M22</f>
        <v>0</v>
      </c>
      <c r="H195" s="1801">
        <f>VSB!I22</f>
        <v>0</v>
      </c>
      <c r="I195" s="692"/>
      <c r="J195" s="692"/>
      <c r="K195" s="692"/>
      <c r="L195" s="692"/>
      <c r="M195" s="692"/>
      <c r="N195" s="692"/>
      <c r="O195" s="692"/>
      <c r="P195" s="692"/>
      <c r="Q195" s="692"/>
      <c r="R195" s="692"/>
      <c r="S195" s="692"/>
      <c r="T195" s="692"/>
      <c r="U195" s="2887"/>
      <c r="V195" s="2058"/>
      <c r="W195" s="2887"/>
      <c r="X195" s="2887"/>
      <c r="Y195" s="2887"/>
      <c r="Z195" s="2887"/>
      <c r="AA195" s="2887"/>
      <c r="AB195" s="2887"/>
      <c r="AC195" s="2887"/>
      <c r="AD195" s="2887"/>
      <c r="AE195" s="2887"/>
      <c r="AF195" s="2058"/>
      <c r="AG195" s="1641"/>
      <c r="AH195" s="1641"/>
      <c r="AI195" s="1641"/>
      <c r="AJ195" s="1641"/>
      <c r="AK195" s="1641"/>
      <c r="AL195" s="1641"/>
      <c r="AM195" s="1641"/>
      <c r="AN195" s="1641"/>
      <c r="AO195" s="2058"/>
      <c r="AP195" s="2058"/>
      <c r="AQ195" s="2058"/>
      <c r="AR195" s="2058"/>
      <c r="AS195" s="2058"/>
      <c r="AT195" s="2058"/>
      <c r="AU195" s="2058"/>
    </row>
    <row r="196" spans="1:47" s="2059" customFormat="1">
      <c r="A196" s="692"/>
      <c r="B196" s="692"/>
      <c r="C196" s="692"/>
      <c r="D196" s="692"/>
      <c r="E196" s="692"/>
      <c r="F196" s="2767" t="str">
        <f>Texte!A2068</f>
        <v>Flächen im Ausland</v>
      </c>
      <c r="G196" s="1795"/>
      <c r="H196" s="1795"/>
      <c r="I196" s="692"/>
      <c r="J196" s="692"/>
      <c r="K196" s="692"/>
      <c r="L196" s="692"/>
      <c r="M196" s="692"/>
      <c r="N196" s="692"/>
      <c r="O196" s="692"/>
      <c r="P196" s="692"/>
      <c r="Q196" s="692"/>
      <c r="R196" s="692"/>
      <c r="S196" s="692"/>
      <c r="T196" s="692"/>
      <c r="U196" s="2887"/>
      <c r="V196" s="2058"/>
      <c r="W196" s="2887"/>
      <c r="X196" s="2887"/>
      <c r="Y196" s="2887"/>
      <c r="Z196" s="2887"/>
      <c r="AA196" s="2887"/>
      <c r="AB196" s="2887"/>
      <c r="AC196" s="2887"/>
      <c r="AD196" s="2887"/>
      <c r="AE196" s="2887"/>
      <c r="AF196" s="2058"/>
      <c r="AG196" s="1641"/>
      <c r="AH196" s="1641"/>
      <c r="AI196" s="1641"/>
      <c r="AJ196" s="1641"/>
      <c r="AK196" s="1641"/>
      <c r="AL196" s="1641"/>
      <c r="AM196" s="1641"/>
      <c r="AN196" s="1641"/>
      <c r="AO196" s="2058"/>
      <c r="AP196" s="2058"/>
      <c r="AQ196" s="2058"/>
      <c r="AR196" s="2058"/>
      <c r="AS196" s="2058"/>
      <c r="AT196" s="2058"/>
      <c r="AU196" s="2058"/>
    </row>
    <row r="197" spans="1:47" s="2059" customFormat="1">
      <c r="A197" s="692"/>
      <c r="B197" s="692"/>
      <c r="C197" s="692"/>
      <c r="D197" s="692"/>
      <c r="E197" s="692"/>
      <c r="F197" s="2768" t="s">
        <v>4802</v>
      </c>
      <c r="G197" s="1888">
        <f>SUM(G190:H196)</f>
        <v>54.972699999999989</v>
      </c>
      <c r="H197" s="1889"/>
      <c r="I197" s="692"/>
      <c r="J197" s="692"/>
      <c r="K197" s="692"/>
      <c r="L197" s="692"/>
      <c r="M197" s="692"/>
      <c r="N197" s="692"/>
      <c r="O197" s="692"/>
      <c r="P197" s="692"/>
      <c r="Q197" s="692"/>
      <c r="R197" s="692"/>
      <c r="S197" s="692"/>
      <c r="T197" s="692"/>
      <c r="U197" s="2887"/>
      <c r="V197" s="2058"/>
      <c r="W197" s="2887"/>
      <c r="X197" s="2887"/>
      <c r="Y197" s="2887"/>
      <c r="Z197" s="2887"/>
      <c r="AA197" s="2887"/>
      <c r="AB197" s="2887"/>
      <c r="AC197" s="2887"/>
      <c r="AD197" s="2887"/>
      <c r="AE197" s="2887"/>
      <c r="AF197" s="2058"/>
      <c r="AG197" s="1641"/>
      <c r="AH197" s="1641"/>
      <c r="AI197" s="1641"/>
      <c r="AJ197" s="1641"/>
      <c r="AK197" s="1641"/>
      <c r="AL197" s="1641"/>
      <c r="AM197" s="1641"/>
      <c r="AN197" s="1641"/>
      <c r="AO197" s="2058"/>
      <c r="AP197" s="2058"/>
      <c r="AQ197" s="2058"/>
      <c r="AR197" s="2058"/>
      <c r="AS197" s="2058"/>
      <c r="AT197" s="2058"/>
      <c r="AU197" s="2058"/>
    </row>
    <row r="198" spans="1:47" s="2059" customFormat="1">
      <c r="A198" s="692"/>
      <c r="B198" s="1481"/>
      <c r="C198" s="1890"/>
      <c r="D198" s="1789"/>
      <c r="E198" s="692"/>
      <c r="F198" s="692"/>
      <c r="G198" s="692"/>
      <c r="H198" s="692"/>
      <c r="I198" s="692"/>
      <c r="J198" s="692"/>
      <c r="K198" s="692"/>
      <c r="L198" s="692"/>
      <c r="M198" s="692"/>
      <c r="N198" s="692"/>
      <c r="O198" s="692"/>
      <c r="P198" s="692"/>
      <c r="Q198" s="692"/>
      <c r="R198" s="692"/>
      <c r="S198" s="692"/>
      <c r="T198" s="692"/>
      <c r="U198" s="2887"/>
      <c r="V198" s="2058"/>
      <c r="W198" s="2887"/>
      <c r="X198" s="2887"/>
      <c r="Y198" s="2887"/>
      <c r="Z198" s="2887"/>
      <c r="AA198" s="2887"/>
      <c r="AB198" s="2887"/>
      <c r="AC198" s="2887"/>
      <c r="AD198" s="2887"/>
      <c r="AE198" s="2887"/>
      <c r="AF198" s="2058"/>
      <c r="AG198" s="1641"/>
      <c r="AH198" s="1641"/>
      <c r="AI198" s="1641"/>
      <c r="AJ198" s="1641"/>
      <c r="AK198" s="1641"/>
      <c r="AL198" s="1641"/>
      <c r="AM198" s="1641"/>
      <c r="AN198" s="1641"/>
      <c r="AO198" s="2058"/>
      <c r="AP198" s="2058"/>
      <c r="AQ198" s="2058"/>
      <c r="AR198" s="2058"/>
      <c r="AS198" s="2058"/>
      <c r="AT198" s="2058"/>
      <c r="AU198" s="2058"/>
    </row>
    <row r="199" spans="1:47" s="2059" customFormat="1">
      <c r="A199" s="30"/>
      <c r="B199" s="692" t="str">
        <f>Texte!A2346</f>
        <v>Erforderlicher Mindesttierbesatz (RGVE/ha Grünfläche) für 100 % der GMF-Beiträge</v>
      </c>
      <c r="C199" s="692"/>
      <c r="D199" s="692"/>
      <c r="E199" s="692"/>
      <c r="F199" s="692"/>
      <c r="G199" s="692"/>
      <c r="H199" s="692"/>
      <c r="I199" s="692"/>
      <c r="J199" s="692"/>
      <c r="K199" s="692"/>
      <c r="L199" s="692"/>
      <c r="M199" s="1937">
        <f>$AD$154</f>
        <v>0.54346630236462823</v>
      </c>
      <c r="N199" s="692"/>
      <c r="O199" s="692"/>
      <c r="P199" s="692"/>
      <c r="Q199" s="692"/>
      <c r="R199" s="692"/>
      <c r="S199" s="692"/>
      <c r="T199" s="692"/>
      <c r="U199" s="2887"/>
      <c r="V199" s="2058"/>
      <c r="W199" s="2887"/>
      <c r="X199" s="2887"/>
      <c r="Y199" s="2887"/>
      <c r="Z199" s="2887"/>
      <c r="AA199" s="2887"/>
      <c r="AB199" s="2887"/>
      <c r="AC199" s="2887"/>
      <c r="AD199" s="2887"/>
      <c r="AE199" s="2887"/>
      <c r="AF199" s="2058"/>
      <c r="AG199" s="1641"/>
      <c r="AH199" s="1641"/>
      <c r="AI199" s="1641"/>
      <c r="AJ199" s="1641"/>
      <c r="AK199" s="1641"/>
      <c r="AL199" s="1641"/>
      <c r="AM199" s="1641"/>
      <c r="AN199" s="1641"/>
      <c r="AO199" s="2058"/>
      <c r="AP199" s="2058"/>
      <c r="AQ199" s="2058"/>
      <c r="AR199" s="2058"/>
      <c r="AS199" s="2058"/>
      <c r="AT199" s="2058"/>
      <c r="AU199" s="2058"/>
    </row>
    <row r="200" spans="1:47" s="2059" customFormat="1">
      <c r="A200" s="692"/>
      <c r="B200" s="918" t="str">
        <f>Texte!A2365</f>
        <v>RGVE effektiv auf dem Betrieb</v>
      </c>
      <c r="C200" s="692"/>
      <c r="D200" s="692"/>
      <c r="E200" s="1937">
        <f>$U$60</f>
        <v>77.220600000000005</v>
      </c>
      <c r="F200" s="692"/>
      <c r="G200" s="692"/>
      <c r="H200" s="692"/>
      <c r="I200" s="692"/>
      <c r="J200" s="692"/>
      <c r="K200" s="692"/>
      <c r="L200" s="1815" t="str">
        <f>Texte!A2366</f>
        <v>Effektiver Mindesttierbesatz (RGVE/ha Grünfläche)</v>
      </c>
      <c r="M200" s="1937">
        <f>IF(J93="","",IF(E200&lt;=0,"",E200/J93))</f>
        <v>1.4047081551388234</v>
      </c>
      <c r="N200" s="692"/>
      <c r="O200" s="692"/>
      <c r="P200" s="692"/>
      <c r="Q200" s="692"/>
      <c r="R200" s="692"/>
      <c r="S200" s="692"/>
      <c r="T200" s="692"/>
      <c r="U200" s="2887"/>
      <c r="V200" s="2058"/>
      <c r="W200" s="2887"/>
      <c r="X200" s="2887"/>
      <c r="Y200" s="2887"/>
      <c r="Z200" s="2887"/>
      <c r="AA200" s="2887"/>
      <c r="AB200" s="2887"/>
      <c r="AC200" s="2887"/>
      <c r="AD200" s="2887"/>
      <c r="AE200" s="2887"/>
      <c r="AF200" s="2058"/>
      <c r="AG200" s="1641"/>
      <c r="AH200" s="1641"/>
      <c r="AI200" s="1641"/>
      <c r="AJ200" s="1641"/>
      <c r="AK200" s="1641"/>
      <c r="AL200" s="1641"/>
      <c r="AM200" s="1641"/>
      <c r="AN200" s="1641"/>
      <c r="AO200" s="2058"/>
      <c r="AP200" s="2058"/>
      <c r="AQ200" s="2058"/>
      <c r="AR200" s="2058"/>
      <c r="AS200" s="2058"/>
      <c r="AT200" s="2058"/>
      <c r="AU200" s="2058"/>
    </row>
    <row r="201" spans="1:47" s="2059" customFormat="1">
      <c r="A201" s="692"/>
      <c r="B201" s="1737"/>
      <c r="C201" s="692"/>
      <c r="D201" s="692"/>
      <c r="E201" s="1814"/>
      <c r="F201" s="692"/>
      <c r="G201" s="692"/>
      <c r="H201" s="692"/>
      <c r="I201" s="692"/>
      <c r="J201" s="692"/>
      <c r="K201" s="692"/>
      <c r="L201" s="1815"/>
      <c r="M201" s="1814"/>
      <c r="N201" s="692"/>
      <c r="O201" s="692"/>
      <c r="P201" s="692"/>
      <c r="Q201" s="692"/>
      <c r="R201" s="692"/>
      <c r="S201" s="692"/>
      <c r="T201" s="692"/>
      <c r="U201" s="2887"/>
      <c r="V201" s="2058"/>
      <c r="W201" s="2887"/>
      <c r="X201" s="2887"/>
      <c r="Y201" s="2887"/>
      <c r="Z201" s="2887"/>
      <c r="AA201" s="2887"/>
      <c r="AB201" s="2887"/>
      <c r="AC201" s="2887"/>
      <c r="AD201" s="2887"/>
      <c r="AE201" s="2887"/>
      <c r="AF201" s="2058"/>
      <c r="AG201" s="1641"/>
      <c r="AH201" s="1641"/>
      <c r="AI201" s="1641"/>
      <c r="AJ201" s="1641"/>
      <c r="AK201" s="1641"/>
      <c r="AL201" s="1641"/>
      <c r="AM201" s="1641"/>
      <c r="AN201" s="1641"/>
      <c r="AO201" s="2058"/>
      <c r="AP201" s="2058"/>
      <c r="AQ201" s="2058"/>
      <c r="AR201" s="2058"/>
      <c r="AS201" s="2058"/>
      <c r="AT201" s="2058"/>
      <c r="AU201" s="2058"/>
    </row>
    <row r="202" spans="1:47" s="2059" customFormat="1">
      <c r="A202" s="692"/>
      <c r="B202" s="918" t="str">
        <f>Texte!A2367</f>
        <v>Erfüllung des Anteils … an der Ration</v>
      </c>
      <c r="C202" s="692"/>
      <c r="D202" s="692"/>
      <c r="E202" s="1814"/>
      <c r="F202" s="692"/>
      <c r="G202" s="692"/>
      <c r="H202" s="692"/>
      <c r="I202" s="692"/>
      <c r="J202" s="692"/>
      <c r="K202" s="692"/>
      <c r="L202" s="1815" t="str">
        <f>Texte!A2372</f>
        <v>Erfüllung des Mindesttierbesatzes für</v>
      </c>
      <c r="M202" s="1817">
        <f>IF(J93="","",IF(AND($AC$163="n. io",$AD$163="n. io",$M$199=""),"",MIN(M200/$M$199*100,100)))</f>
        <v>100</v>
      </c>
      <c r="N202" s="918" t="str">
        <f>Texte!A2373</f>
        <v>% der GMF-Beiträge</v>
      </c>
      <c r="O202" s="692"/>
      <c r="P202" s="692"/>
      <c r="Q202" s="692"/>
      <c r="R202" s="692"/>
      <c r="S202" s="692"/>
      <c r="T202" s="692"/>
      <c r="U202" s="2887"/>
      <c r="V202" s="2058"/>
      <c r="W202" s="2887"/>
      <c r="X202" s="2887"/>
      <c r="Y202" s="2887"/>
      <c r="Z202" s="2887"/>
      <c r="AA202" s="2887"/>
      <c r="AB202" s="2887"/>
      <c r="AC202" s="2887"/>
      <c r="AD202" s="2887"/>
      <c r="AE202" s="2887"/>
      <c r="AF202" s="2058"/>
      <c r="AG202" s="1641"/>
      <c r="AH202" s="1641"/>
      <c r="AI202" s="1641"/>
      <c r="AJ202" s="1641"/>
      <c r="AK202" s="1641"/>
      <c r="AL202" s="1641"/>
      <c r="AM202" s="1641"/>
      <c r="AN202" s="1641"/>
      <c r="AO202" s="2058"/>
      <c r="AP202" s="2058"/>
      <c r="AQ202" s="2058"/>
      <c r="AR202" s="2058"/>
      <c r="AS202" s="2058"/>
      <c r="AT202" s="2058"/>
      <c r="AU202" s="2058"/>
    </row>
    <row r="203" spans="1:47" s="2059" customFormat="1">
      <c r="A203" s="692"/>
      <c r="B203" s="1737" t="str">
        <f>Texte!A2368</f>
        <v xml:space="preserve">  - Wiesen- und Weidefutter</v>
      </c>
      <c r="C203" s="692"/>
      <c r="D203" s="692"/>
      <c r="E203" s="1816" t="str">
        <f>IF($W$10="","",IF(SUM(AC159:AD159)=1,Texte!$A$2379,Texte!$A$2378))</f>
        <v>ja</v>
      </c>
      <c r="F203" s="692"/>
      <c r="G203" s="692"/>
      <c r="H203" s="692"/>
      <c r="I203" s="692"/>
      <c r="J203" s="692"/>
      <c r="K203" s="692"/>
      <c r="L203" s="1815" t="str">
        <f>Texte!A2374</f>
        <v xml:space="preserve">das entspricht etwa </v>
      </c>
      <c r="M203" s="1549">
        <f>IF(SUM(AC163:AD163)= 1,M202/100*200*$J$93,"")</f>
        <v>10994.54</v>
      </c>
      <c r="N203" s="1813" t="s">
        <v>680</v>
      </c>
      <c r="O203" s="692"/>
      <c r="P203" s="692"/>
      <c r="Q203" s="692"/>
      <c r="R203" s="692"/>
      <c r="S203" s="692"/>
      <c r="T203" s="692"/>
      <c r="U203" s="2887"/>
      <c r="V203" s="2058"/>
      <c r="W203" s="2887"/>
      <c r="X203" s="2887"/>
      <c r="Y203" s="2887"/>
      <c r="Z203" s="2887"/>
      <c r="AA203" s="2887"/>
      <c r="AB203" s="2887"/>
      <c r="AC203" s="2887"/>
      <c r="AD203" s="2887"/>
      <c r="AE203" s="2887"/>
      <c r="AF203" s="2058"/>
      <c r="AG203" s="1641"/>
      <c r="AH203" s="1641"/>
      <c r="AI203" s="1641"/>
      <c r="AJ203" s="1641"/>
      <c r="AK203" s="1641"/>
      <c r="AL203" s="1641"/>
      <c r="AM203" s="1641"/>
      <c r="AN203" s="1641"/>
      <c r="AO203" s="2058"/>
      <c r="AP203" s="2058"/>
      <c r="AQ203" s="2058"/>
      <c r="AR203" s="2058"/>
      <c r="AS203" s="2058"/>
      <c r="AT203" s="2058"/>
      <c r="AU203" s="2058"/>
    </row>
    <row r="204" spans="1:47" s="2059" customFormat="1">
      <c r="A204" s="692"/>
      <c r="B204" s="1737" t="str">
        <f>Texte!A2370</f>
        <v xml:space="preserve">  - Kraftfutter</v>
      </c>
      <c r="C204" s="692"/>
      <c r="D204" s="692"/>
      <c r="E204" s="1816" t="str">
        <f>IF($W$10="","",IF(SUM(AC160:AD160)=1,Texte!$A$2379,Texte!$A$2378))</f>
        <v>ja</v>
      </c>
      <c r="F204" s="692"/>
      <c r="G204" s="692"/>
      <c r="H204" s="692"/>
      <c r="I204" s="692"/>
      <c r="J204" s="692"/>
      <c r="K204" s="692"/>
      <c r="L204" s="1679"/>
      <c r="M204" s="1814"/>
      <c r="N204" s="692"/>
      <c r="O204" s="692"/>
      <c r="P204" s="692"/>
      <c r="Q204" s="692"/>
      <c r="R204" s="692"/>
      <c r="S204" s="692"/>
      <c r="T204" s="692"/>
      <c r="U204" s="2887"/>
      <c r="V204" s="2058"/>
      <c r="W204" s="2887"/>
      <c r="X204" s="2887"/>
      <c r="Y204" s="2887"/>
      <c r="Z204" s="2887"/>
      <c r="AA204" s="2887"/>
      <c r="AB204" s="2887"/>
      <c r="AC204" s="2887"/>
      <c r="AD204" s="2887"/>
      <c r="AE204" s="2887"/>
      <c r="AF204" s="2058"/>
      <c r="AG204" s="1641"/>
      <c r="AH204" s="1641"/>
      <c r="AI204" s="1641"/>
      <c r="AJ204" s="1641"/>
      <c r="AK204" s="1641"/>
      <c r="AL204" s="1641"/>
      <c r="AM204" s="1641"/>
      <c r="AN204" s="1641"/>
      <c r="AO204" s="2058"/>
      <c r="AP204" s="2058"/>
      <c r="AQ204" s="2058"/>
      <c r="AR204" s="2058"/>
      <c r="AS204" s="2058"/>
      <c r="AT204" s="2058"/>
      <c r="AU204" s="2058"/>
    </row>
    <row r="205" spans="1:47" s="2059" customFormat="1">
      <c r="A205" s="692"/>
      <c r="B205" s="1737" t="str">
        <f>Texte!A2371</f>
        <v xml:space="preserve">  - Kraftfutter und Nebenprodukte</v>
      </c>
      <c r="C205" s="692"/>
      <c r="D205" s="692"/>
      <c r="E205" s="1816" t="str">
        <f>IF($W$10="","",IF(SUM(AC161:AD161)=1,Texte!$A$2379,Texte!$A$2378))</f>
        <v>ja</v>
      </c>
      <c r="F205" s="692"/>
      <c r="G205" s="692"/>
      <c r="H205" s="692"/>
      <c r="I205" s="692"/>
      <c r="J205" s="692"/>
      <c r="K205" s="692"/>
      <c r="L205" s="1815" t="str">
        <f>IF(SUM(AC163:AD163)=0,Texte!A2382,IF($E$200&lt;=0,Texte!A2380,Texte!A2375))</f>
        <v xml:space="preserve">Sie erhalten die Beiträge </v>
      </c>
      <c r="M205" s="1816" t="str">
        <f>IF(SUM(AC163:AD163)= 0,"",IF(E200&lt;=0,"",IF(ROUND(M202,0)=100,Texte!A2377,Texte!A2376)))</f>
        <v>vollständig</v>
      </c>
      <c r="N205" s="692"/>
      <c r="O205" s="692"/>
      <c r="P205" s="692"/>
      <c r="Q205" s="692"/>
      <c r="R205" s="692"/>
      <c r="S205" s="692"/>
      <c r="T205" s="692"/>
      <c r="U205" s="2887"/>
      <c r="V205" s="2058"/>
      <c r="W205" s="2887"/>
      <c r="X205" s="2887"/>
      <c r="Y205" s="2887"/>
      <c r="Z205" s="2887"/>
      <c r="AA205" s="2887"/>
      <c r="AB205" s="2887"/>
      <c r="AC205" s="2887"/>
      <c r="AD205" s="2887"/>
      <c r="AE205" s="2887"/>
      <c r="AF205" s="2058"/>
      <c r="AG205" s="1641"/>
      <c r="AH205" s="1641"/>
      <c r="AI205" s="1641"/>
      <c r="AJ205" s="1641"/>
      <c r="AK205" s="1641"/>
      <c r="AL205" s="1641"/>
      <c r="AM205" s="1641"/>
      <c r="AN205" s="1641"/>
      <c r="AO205" s="2058"/>
      <c r="AP205" s="2058"/>
      <c r="AQ205" s="2058"/>
      <c r="AR205" s="2058"/>
      <c r="AS205" s="2058"/>
      <c r="AT205" s="2058"/>
      <c r="AU205" s="2058"/>
    </row>
    <row r="206" spans="1:47" s="2059" customFormat="1">
      <c r="A206" s="692"/>
      <c r="F206" s="692"/>
      <c r="G206" s="692"/>
      <c r="H206" s="692"/>
      <c r="I206" s="692"/>
      <c r="J206" s="692"/>
      <c r="K206" s="692"/>
      <c r="L206" s="1815"/>
      <c r="M206" s="2054"/>
      <c r="N206" s="692"/>
      <c r="O206" s="692"/>
      <c r="P206" s="692"/>
      <c r="Q206" s="692"/>
      <c r="R206" s="692"/>
      <c r="S206" s="692"/>
      <c r="T206" s="692"/>
      <c r="U206" s="2887"/>
      <c r="V206" s="2058"/>
      <c r="W206" s="2887"/>
      <c r="X206" s="2887"/>
      <c r="Y206" s="2887"/>
      <c r="Z206" s="2887"/>
      <c r="AA206" s="2887"/>
      <c r="AB206" s="2887"/>
      <c r="AC206" s="2887"/>
      <c r="AD206" s="2887"/>
      <c r="AE206" s="2887"/>
      <c r="AF206" s="2058"/>
      <c r="AG206" s="1641"/>
      <c r="AH206" s="1641"/>
      <c r="AI206" s="1641"/>
      <c r="AJ206" s="1641"/>
      <c r="AK206" s="1641"/>
      <c r="AL206" s="1641"/>
      <c r="AM206" s="1641"/>
      <c r="AN206" s="1641"/>
      <c r="AO206" s="2058"/>
      <c r="AP206" s="2058"/>
      <c r="AQ206" s="2058"/>
      <c r="AR206" s="2058"/>
      <c r="AS206" s="2058"/>
      <c r="AT206" s="2058"/>
      <c r="AU206" s="2058"/>
    </row>
    <row r="207" spans="1:47" s="2059" customFormat="1">
      <c r="A207" s="692"/>
      <c r="B207" s="1813"/>
      <c r="C207" s="692"/>
      <c r="D207" s="692"/>
      <c r="E207" s="2054"/>
      <c r="F207" s="692"/>
      <c r="G207" s="692"/>
      <c r="H207" s="692"/>
      <c r="I207" s="692"/>
      <c r="J207" s="692"/>
      <c r="K207" s="692"/>
      <c r="L207" s="692"/>
      <c r="M207" s="692"/>
      <c r="N207" s="692"/>
      <c r="O207" s="692"/>
      <c r="P207" s="1802" t="str">
        <f>IF($H$210="",Texte!$A$2356,IF($AD$154&lt;$G$161,Texte!$A$2355,Texte!$A$2356))</f>
        <v>nein</v>
      </c>
      <c r="Q207" s="1802" t="s">
        <v>5132</v>
      </c>
      <c r="R207" s="1802"/>
      <c r="S207" s="692"/>
      <c r="T207" s="692"/>
      <c r="U207" s="2887"/>
      <c r="V207" s="2058"/>
      <c r="W207" s="2887"/>
      <c r="X207" s="2887"/>
      <c r="Y207" s="2887"/>
      <c r="Z207" s="2887"/>
      <c r="AA207" s="2887"/>
      <c r="AB207" s="2887"/>
      <c r="AC207" s="2887"/>
      <c r="AD207" s="2887"/>
      <c r="AE207" s="2887"/>
      <c r="AF207" s="2058"/>
      <c r="AG207" s="1641"/>
      <c r="AH207" s="1641"/>
      <c r="AI207" s="1641"/>
      <c r="AJ207" s="1641"/>
      <c r="AK207" s="1641"/>
      <c r="AL207" s="1641"/>
      <c r="AM207" s="1641"/>
      <c r="AN207" s="1641"/>
      <c r="AO207" s="2058"/>
      <c r="AP207" s="2058"/>
      <c r="AQ207" s="2058"/>
      <c r="AR207" s="2058"/>
      <c r="AS207" s="2058"/>
      <c r="AT207" s="2058"/>
      <c r="AU207" s="2058"/>
    </row>
    <row r="208" spans="1:47" s="2059" customFormat="1">
      <c r="A208" s="692"/>
      <c r="B208" s="1813"/>
      <c r="C208" s="692"/>
      <c r="D208" s="692"/>
      <c r="E208" s="692"/>
      <c r="F208" s="692"/>
      <c r="G208" s="692"/>
      <c r="H208" s="692"/>
      <c r="I208" s="692"/>
      <c r="J208" s="692"/>
      <c r="K208" s="692"/>
      <c r="L208" s="692"/>
      <c r="M208" s="692"/>
      <c r="N208" s="692"/>
      <c r="O208" s="692"/>
      <c r="P208" s="1802"/>
      <c r="Q208" s="1802" t="s">
        <v>5132</v>
      </c>
      <c r="R208" s="1802"/>
      <c r="S208" s="1802"/>
      <c r="T208" s="692"/>
      <c r="U208" s="2887"/>
      <c r="V208" s="2058"/>
      <c r="W208" s="2887"/>
      <c r="X208" s="2887"/>
      <c r="Y208" s="2887"/>
      <c r="Z208" s="2887"/>
      <c r="AA208" s="2887"/>
      <c r="AB208" s="2887"/>
      <c r="AC208" s="2887"/>
      <c r="AD208" s="2887"/>
      <c r="AE208" s="2887"/>
      <c r="AF208" s="2058"/>
      <c r="AG208" s="1641"/>
      <c r="AH208" s="1641"/>
      <c r="AI208" s="1641"/>
      <c r="AJ208" s="1641"/>
      <c r="AK208" s="1641"/>
      <c r="AL208" s="1641"/>
      <c r="AM208" s="1641"/>
      <c r="AN208" s="1641"/>
      <c r="AO208" s="2058"/>
      <c r="AP208" s="2058"/>
      <c r="AQ208" s="2058"/>
      <c r="AR208" s="2058"/>
      <c r="AS208" s="2058"/>
      <c r="AT208" s="2058"/>
      <c r="AU208" s="2058"/>
    </row>
    <row r="209" spans="1:47" s="2059" customFormat="1">
      <c r="A209" s="692"/>
      <c r="B209" s="1477"/>
      <c r="C209" s="692"/>
      <c r="D209" s="692"/>
      <c r="E209" s="692"/>
      <c r="F209" s="692"/>
      <c r="G209" s="692"/>
      <c r="H209" s="692"/>
      <c r="I209" s="692"/>
      <c r="J209" s="692"/>
      <c r="K209" s="692"/>
      <c r="L209" s="692"/>
      <c r="M209" s="692"/>
      <c r="N209" s="692"/>
      <c r="O209" s="692"/>
      <c r="P209" s="1482"/>
      <c r="Q209" s="1482"/>
      <c r="R209" s="1482"/>
      <c r="S209" s="1802"/>
      <c r="T209" s="692"/>
      <c r="U209" s="2887"/>
      <c r="V209" s="2058"/>
      <c r="W209" s="2887"/>
      <c r="X209" s="2887"/>
      <c r="Y209" s="2887"/>
      <c r="Z209" s="2887"/>
      <c r="AA209" s="2887"/>
      <c r="AB209" s="2887"/>
      <c r="AC209" s="2887"/>
      <c r="AD209" s="2887"/>
      <c r="AE209" s="2887"/>
      <c r="AF209" s="2058"/>
      <c r="AG209" s="1641"/>
      <c r="AH209" s="1641"/>
      <c r="AI209" s="1641"/>
      <c r="AJ209" s="1641"/>
      <c r="AK209" s="1641"/>
      <c r="AL209" s="1641"/>
      <c r="AM209" s="1641"/>
      <c r="AN209" s="1641"/>
      <c r="AO209" s="2058"/>
      <c r="AP209" s="2058"/>
      <c r="AQ209" s="2058"/>
      <c r="AR209" s="2058"/>
      <c r="AS209" s="2058"/>
      <c r="AT209" s="2058"/>
      <c r="AU209" s="2058"/>
    </row>
    <row r="210" spans="1:47" s="2059" customFormat="1">
      <c r="A210" s="692"/>
      <c r="B210" s="1477"/>
      <c r="C210" s="692"/>
      <c r="D210" s="692"/>
      <c r="E210" s="692"/>
      <c r="F210" s="692"/>
      <c r="G210" s="692"/>
      <c r="H210" s="692"/>
      <c r="I210" s="692"/>
      <c r="J210" s="692"/>
      <c r="K210" s="692"/>
      <c r="L210" s="692"/>
      <c r="M210" s="692"/>
      <c r="N210" s="692"/>
      <c r="O210" s="692"/>
      <c r="P210" s="1482"/>
      <c r="Q210" s="1482"/>
      <c r="R210" s="1482"/>
      <c r="S210" s="1482"/>
      <c r="T210" s="692"/>
      <c r="U210" s="2887"/>
      <c r="V210" s="2058"/>
      <c r="W210" s="2887"/>
      <c r="X210" s="2887"/>
      <c r="Y210" s="2887"/>
      <c r="Z210" s="2887"/>
      <c r="AA210" s="2887"/>
      <c r="AB210" s="2887"/>
      <c r="AC210" s="2887"/>
      <c r="AD210" s="2887"/>
      <c r="AE210" s="2887"/>
      <c r="AF210" s="2058"/>
      <c r="AG210" s="1641"/>
      <c r="AH210" s="1641"/>
      <c r="AI210" s="1641"/>
      <c r="AJ210" s="1641"/>
      <c r="AK210" s="1641"/>
      <c r="AL210" s="1641"/>
      <c r="AM210" s="1641"/>
      <c r="AN210" s="1641"/>
      <c r="AO210" s="2058"/>
      <c r="AP210" s="2058"/>
      <c r="AQ210" s="2058"/>
      <c r="AR210" s="2058"/>
      <c r="AS210" s="2058"/>
      <c r="AT210" s="2058"/>
      <c r="AU210" s="2058"/>
    </row>
    <row r="211" spans="1:47" s="2059" customFormat="1">
      <c r="A211" s="692"/>
      <c r="B211" s="1477"/>
      <c r="C211" s="692"/>
      <c r="D211" s="692"/>
      <c r="E211" s="692"/>
      <c r="F211" s="692"/>
      <c r="G211" s="692"/>
      <c r="H211" s="692"/>
      <c r="I211" s="692"/>
      <c r="J211" s="692"/>
      <c r="K211" s="692"/>
      <c r="L211" s="692"/>
      <c r="M211" s="692"/>
      <c r="N211" s="692"/>
      <c r="O211" s="692"/>
      <c r="P211" s="692"/>
      <c r="Q211" s="692"/>
      <c r="R211" s="692"/>
      <c r="S211" s="1482"/>
      <c r="T211" s="692"/>
      <c r="U211" s="2887"/>
      <c r="V211" s="2058"/>
      <c r="W211" s="2887"/>
      <c r="X211" s="2887"/>
      <c r="Y211" s="2887"/>
      <c r="Z211" s="2887"/>
      <c r="AA211" s="2887"/>
      <c r="AB211" s="2887"/>
      <c r="AC211" s="2887"/>
      <c r="AD211" s="2887"/>
      <c r="AE211" s="2887"/>
      <c r="AF211" s="2058"/>
      <c r="AG211" s="1641"/>
      <c r="AH211" s="1641"/>
      <c r="AI211" s="1641"/>
      <c r="AJ211" s="1641"/>
      <c r="AK211" s="1641"/>
      <c r="AL211" s="1641"/>
      <c r="AM211" s="1641"/>
      <c r="AN211" s="1641"/>
      <c r="AO211" s="2058"/>
      <c r="AP211" s="2058"/>
      <c r="AQ211" s="2058"/>
      <c r="AR211" s="2058"/>
      <c r="AS211" s="2058"/>
      <c r="AT211" s="2058"/>
      <c r="AU211" s="2058"/>
    </row>
    <row r="212" spans="1:47" s="2059" customFormat="1">
      <c r="A212" s="692"/>
      <c r="B212" s="1477"/>
      <c r="C212" s="692"/>
      <c r="D212" s="692"/>
      <c r="E212" s="692"/>
      <c r="F212" s="692"/>
      <c r="G212" s="692"/>
      <c r="H212" s="692"/>
      <c r="I212" s="692"/>
      <c r="J212" s="692"/>
      <c r="K212" s="692"/>
      <c r="L212" s="692"/>
      <c r="M212" s="692"/>
      <c r="N212" s="692"/>
      <c r="O212" s="692"/>
      <c r="P212" s="692"/>
      <c r="Q212" s="692"/>
      <c r="R212" s="692"/>
      <c r="S212" s="692"/>
      <c r="T212" s="692"/>
      <c r="U212" s="2887"/>
      <c r="V212" s="2058"/>
      <c r="W212" s="2887"/>
      <c r="X212" s="2887"/>
      <c r="Y212" s="2887"/>
      <c r="Z212" s="2887"/>
      <c r="AA212" s="2887"/>
      <c r="AB212" s="2887"/>
      <c r="AC212" s="2887"/>
      <c r="AD212" s="2887"/>
      <c r="AE212" s="2887"/>
      <c r="AF212" s="2058"/>
      <c r="AG212" s="1641"/>
      <c r="AH212" s="1641"/>
      <c r="AI212" s="1641"/>
      <c r="AJ212" s="1641"/>
      <c r="AK212" s="1641"/>
      <c r="AL212" s="1641"/>
      <c r="AM212" s="1641"/>
      <c r="AN212" s="1641"/>
      <c r="AO212" s="2058"/>
      <c r="AP212" s="2058"/>
      <c r="AQ212" s="2058"/>
      <c r="AR212" s="2058"/>
      <c r="AS212" s="2058"/>
      <c r="AT212" s="2058"/>
      <c r="AU212" s="2058"/>
    </row>
    <row r="213" spans="1:47" s="2059" customFormat="1">
      <c r="A213" s="692"/>
      <c r="B213" s="1477"/>
      <c r="C213" s="692"/>
      <c r="D213" s="692"/>
      <c r="E213" s="692"/>
      <c r="F213" s="692"/>
      <c r="G213" s="692"/>
      <c r="H213" s="692"/>
      <c r="I213" s="692"/>
      <c r="J213" s="692"/>
      <c r="K213" s="692"/>
      <c r="L213" s="692"/>
      <c r="M213" s="692"/>
      <c r="N213" s="692"/>
      <c r="O213" s="692"/>
      <c r="P213" s="692"/>
      <c r="Q213" s="692"/>
      <c r="R213" s="692"/>
      <c r="S213" s="692"/>
      <c r="T213" s="692"/>
      <c r="U213" s="2887"/>
      <c r="V213" s="2058"/>
      <c r="W213" s="2887"/>
      <c r="X213" s="2887"/>
      <c r="Y213" s="2887"/>
      <c r="Z213" s="2887"/>
      <c r="AA213" s="2887"/>
      <c r="AB213" s="2887"/>
      <c r="AC213" s="2887"/>
      <c r="AD213" s="2887"/>
      <c r="AE213" s="2887"/>
      <c r="AF213" s="2058"/>
      <c r="AG213" s="1641"/>
      <c r="AH213" s="1641"/>
      <c r="AI213" s="1641"/>
      <c r="AJ213" s="1641"/>
      <c r="AK213" s="1641"/>
      <c r="AL213" s="1641"/>
      <c r="AM213" s="1641"/>
      <c r="AN213" s="1641"/>
      <c r="AO213" s="2058"/>
      <c r="AP213" s="2058"/>
      <c r="AQ213" s="2058"/>
      <c r="AR213" s="2058"/>
      <c r="AS213" s="2058"/>
      <c r="AT213" s="2058"/>
      <c r="AU213" s="2058"/>
    </row>
    <row r="214" spans="1:47" s="2059" customFormat="1">
      <c r="A214" s="692"/>
      <c r="B214" s="1477"/>
      <c r="C214" s="692"/>
      <c r="D214" s="692"/>
      <c r="E214" s="692"/>
      <c r="F214" s="692"/>
      <c r="G214" s="692"/>
      <c r="H214" s="692"/>
      <c r="I214" s="692"/>
      <c r="J214" s="692"/>
      <c r="K214" s="692"/>
      <c r="L214" s="692"/>
      <c r="M214" s="692"/>
      <c r="N214" s="692"/>
      <c r="O214"/>
      <c r="P214"/>
      <c r="Q214"/>
      <c r="R214"/>
      <c r="S214" s="692"/>
      <c r="T214" s="692"/>
      <c r="U214" s="2887"/>
      <c r="V214" s="2058"/>
      <c r="W214" s="2887"/>
      <c r="X214" s="2887"/>
      <c r="Y214" s="2887"/>
      <c r="Z214" s="2887"/>
      <c r="AA214" s="2887"/>
      <c r="AB214" s="2887"/>
      <c r="AC214" s="2887"/>
      <c r="AD214" s="2887"/>
      <c r="AE214" s="2887"/>
      <c r="AF214" s="2058"/>
      <c r="AG214" s="1641"/>
      <c r="AH214" s="1641"/>
      <c r="AI214" s="1641"/>
      <c r="AJ214" s="1641"/>
      <c r="AK214" s="1641"/>
      <c r="AL214" s="1641"/>
      <c r="AM214" s="1641"/>
      <c r="AN214" s="1641"/>
      <c r="AO214" s="2058"/>
      <c r="AP214" s="2058"/>
      <c r="AQ214" s="2058"/>
      <c r="AR214" s="2058"/>
      <c r="AS214" s="2058"/>
      <c r="AT214" s="2058"/>
      <c r="AU214" s="2058"/>
    </row>
    <row r="215" spans="1:47" s="2060" customFormat="1">
      <c r="A215"/>
      <c r="B215" s="1477"/>
      <c r="C215" s="692"/>
      <c r="D215" s="692"/>
      <c r="E215" s="692"/>
      <c r="F215" s="692"/>
      <c r="G215" s="692"/>
      <c r="H215" s="692"/>
      <c r="I215" s="692"/>
      <c r="J215" s="692"/>
      <c r="K215" s="692"/>
      <c r="L215" s="692"/>
      <c r="M215" s="692"/>
      <c r="N215"/>
      <c r="O215"/>
      <c r="P215"/>
      <c r="Q215"/>
      <c r="R215"/>
      <c r="S215"/>
      <c r="T215"/>
      <c r="U215" s="2887"/>
      <c r="V215" s="2058"/>
      <c r="W215" s="2887"/>
      <c r="X215" s="2887"/>
      <c r="Y215" s="2887"/>
      <c r="Z215" s="2887"/>
      <c r="AA215" s="2887"/>
      <c r="AB215" s="2887"/>
      <c r="AC215" s="2887"/>
      <c r="AD215" s="2887"/>
      <c r="AE215" s="2887"/>
      <c r="AF215" s="2058"/>
      <c r="AG215" s="1641"/>
      <c r="AH215" s="1641"/>
      <c r="AI215" s="1641"/>
      <c r="AJ215" s="1641"/>
      <c r="AK215" s="1641"/>
      <c r="AL215" s="1641"/>
      <c r="AM215" s="1641"/>
      <c r="AN215" s="1641"/>
      <c r="AO215" s="2058"/>
      <c r="AP215" s="2058"/>
      <c r="AQ215" s="2058"/>
      <c r="AR215" s="2058"/>
      <c r="AS215" s="2058"/>
      <c r="AT215" s="2058"/>
      <c r="AU215" s="2058"/>
    </row>
    <row r="216" spans="1:47" s="2060" customFormat="1" ht="18" customHeight="1">
      <c r="A216"/>
      <c r="B216" s="1477"/>
      <c r="C216" s="692"/>
      <c r="D216" s="692"/>
      <c r="E216" s="692"/>
      <c r="F216" s="692"/>
      <c r="G216" s="692"/>
      <c r="H216" s="692"/>
      <c r="I216" s="692"/>
      <c r="J216" s="692"/>
      <c r="K216" s="692"/>
      <c r="L216" s="692"/>
      <c r="M216" s="692"/>
      <c r="N216"/>
      <c r="O216"/>
      <c r="P216"/>
      <c r="Q216"/>
      <c r="R216"/>
      <c r="S216"/>
      <c r="T216"/>
      <c r="U216" s="2887"/>
      <c r="V216" s="2058"/>
      <c r="W216" s="2887"/>
      <c r="X216" s="2887"/>
      <c r="Y216" s="2887"/>
      <c r="Z216" s="2887"/>
      <c r="AA216" s="2887"/>
      <c r="AB216" s="2887"/>
      <c r="AC216" s="2887"/>
      <c r="AD216" s="2887"/>
      <c r="AE216" s="2887"/>
      <c r="AF216" s="2058"/>
      <c r="AG216" s="1641"/>
      <c r="AH216" s="1641"/>
      <c r="AI216" s="1641"/>
      <c r="AJ216" s="1641"/>
      <c r="AK216" s="1641"/>
      <c r="AL216" s="1641"/>
      <c r="AM216" s="1641"/>
      <c r="AN216" s="1641"/>
      <c r="AO216" s="2058"/>
      <c r="AP216" s="2058"/>
      <c r="AQ216" s="2058"/>
      <c r="AR216" s="2058"/>
      <c r="AS216" s="2058"/>
      <c r="AT216" s="2058"/>
      <c r="AU216" s="2058"/>
    </row>
    <row r="217" spans="1:47" s="2060" customFormat="1" ht="12.75" customHeight="1">
      <c r="A217"/>
      <c r="B217" s="918" t="str">
        <f>Texte!A2005</f>
        <v>Vorgehen:</v>
      </c>
      <c r="C217"/>
      <c r="D217"/>
      <c r="E217"/>
      <c r="F217"/>
      <c r="G217"/>
      <c r="H217"/>
      <c r="I217"/>
      <c r="J217"/>
      <c r="K217"/>
      <c r="L217"/>
      <c r="M217"/>
      <c r="N217"/>
      <c r="O217"/>
      <c r="P217"/>
      <c r="Q217"/>
      <c r="R217"/>
      <c r="S217"/>
      <c r="T217"/>
      <c r="U217" s="2887"/>
      <c r="V217" s="2058"/>
      <c r="W217" s="2887"/>
      <c r="X217" s="2887"/>
      <c r="Y217" s="2887"/>
      <c r="Z217" s="2887"/>
      <c r="AA217" s="2887"/>
      <c r="AB217" s="2887"/>
      <c r="AC217" s="2887"/>
      <c r="AD217" s="2887"/>
      <c r="AE217" s="2887"/>
      <c r="AF217" s="2058"/>
      <c r="AG217" s="1641"/>
      <c r="AH217" s="1641"/>
      <c r="AI217" s="1641"/>
      <c r="AJ217" s="1641"/>
      <c r="AK217" s="1641"/>
      <c r="AL217" s="1641"/>
      <c r="AM217" s="1641"/>
      <c r="AN217" s="1641"/>
      <c r="AO217" s="2058"/>
      <c r="AP217" s="2058"/>
      <c r="AQ217" s="2058"/>
      <c r="AR217" s="2058"/>
      <c r="AS217" s="2058"/>
      <c r="AT217" s="2058"/>
      <c r="AU217" s="2058"/>
    </row>
    <row r="218" spans="1:47" s="2060" customFormat="1" ht="12.75" customHeight="1">
      <c r="A218"/>
      <c r="B218" s="918" t="str">
        <f>Texte!A2006</f>
        <v>Grundsatz: Übereinstimmung mit Suisse-Bilanz muss sein</v>
      </c>
      <c r="C218"/>
      <c r="D218"/>
      <c r="E218"/>
      <c r="F218"/>
      <c r="G218"/>
      <c r="H218"/>
      <c r="I218"/>
      <c r="J218"/>
      <c r="K218"/>
      <c r="L218"/>
      <c r="M218"/>
      <c r="N218"/>
      <c r="O218"/>
      <c r="P218"/>
      <c r="Q218"/>
      <c r="R218"/>
      <c r="S218"/>
      <c r="T218"/>
      <c r="U218" s="2887"/>
      <c r="V218" s="2058"/>
      <c r="W218" s="2887"/>
      <c r="X218" s="2887"/>
      <c r="Y218" s="2887"/>
      <c r="Z218" s="2887"/>
      <c r="AA218" s="2887"/>
      <c r="AB218" s="2887"/>
      <c r="AC218" s="2887"/>
      <c r="AD218" s="2887"/>
      <c r="AE218" s="2887"/>
      <c r="AF218" s="2058"/>
      <c r="AG218" s="1641"/>
      <c r="AH218" s="1641"/>
      <c r="AI218" s="1641"/>
      <c r="AJ218" s="1641"/>
      <c r="AK218" s="1641"/>
      <c r="AL218" s="1641"/>
      <c r="AM218" s="1641"/>
      <c r="AN218" s="1641"/>
      <c r="AO218" s="2058"/>
      <c r="AP218" s="2058"/>
      <c r="AQ218" s="2058"/>
      <c r="AR218" s="2058"/>
      <c r="AS218" s="2058"/>
      <c r="AT218" s="2058"/>
      <c r="AU218" s="2058"/>
    </row>
    <row r="219" spans="1:47" s="2060" customFormat="1" ht="6" customHeight="1">
      <c r="A219"/>
      <c r="B219">
        <f>Texte!A2007</f>
        <v>0</v>
      </c>
      <c r="C219"/>
      <c r="D219"/>
      <c r="E219"/>
      <c r="F219"/>
      <c r="G219"/>
      <c r="H219"/>
      <c r="I219"/>
      <c r="J219"/>
      <c r="K219"/>
      <c r="L219"/>
      <c r="M219"/>
      <c r="N219"/>
      <c r="O219"/>
      <c r="P219"/>
      <c r="Q219"/>
      <c r="R219"/>
      <c r="S219"/>
      <c r="T219"/>
      <c r="U219" s="2887"/>
      <c r="V219" s="2058"/>
      <c r="W219" s="2887"/>
      <c r="X219" s="2887"/>
      <c r="Y219" s="2887"/>
      <c r="Z219" s="2887"/>
      <c r="AA219" s="2887"/>
      <c r="AB219" s="2887"/>
      <c r="AC219" s="2887"/>
      <c r="AD219" s="2887"/>
      <c r="AE219" s="2887"/>
      <c r="AF219" s="2058"/>
      <c r="AG219" s="1641"/>
      <c r="AH219" s="1641"/>
      <c r="AI219" s="1641"/>
      <c r="AJ219" s="1641"/>
      <c r="AK219" s="1641"/>
      <c r="AL219" s="1641"/>
      <c r="AM219" s="1641"/>
      <c r="AN219" s="1641"/>
      <c r="AO219" s="2058"/>
      <c r="AP219" s="2058"/>
      <c r="AQ219" s="2058"/>
      <c r="AR219" s="2058"/>
      <c r="AS219" s="2058"/>
      <c r="AT219" s="2058"/>
      <c r="AU219" s="2058"/>
    </row>
    <row r="220" spans="1:47" s="2060" customFormat="1">
      <c r="A220"/>
      <c r="B220" s="918" t="str">
        <f>Texte!A2008</f>
        <v>1. Betriebsangaben ausfüllen, insbesondere die Produktionszone (Tabellenblatt Allg)</v>
      </c>
      <c r="C220"/>
      <c r="D220"/>
      <c r="E220"/>
      <c r="F220"/>
      <c r="G220"/>
      <c r="H220"/>
      <c r="I220"/>
      <c r="J220"/>
      <c r="K220"/>
      <c r="L220"/>
      <c r="M220"/>
      <c r="N220"/>
      <c r="O220"/>
      <c r="P220"/>
      <c r="Q220"/>
      <c r="R220"/>
      <c r="S220"/>
      <c r="T220"/>
      <c r="U220" s="2887"/>
      <c r="V220" s="2058"/>
      <c r="W220" s="2887"/>
      <c r="X220" s="2887"/>
      <c r="Y220" s="2887"/>
      <c r="Z220" s="2887"/>
      <c r="AA220" s="2887"/>
      <c r="AB220" s="2887"/>
      <c r="AC220" s="2887"/>
      <c r="AD220" s="2887"/>
      <c r="AE220" s="2887"/>
      <c r="AF220" s="2058"/>
      <c r="AG220" s="1641"/>
      <c r="AH220" s="1641"/>
      <c r="AI220" s="1641"/>
      <c r="AJ220" s="1641"/>
      <c r="AK220" s="1641"/>
      <c r="AL220" s="1641"/>
      <c r="AM220" s="1641"/>
      <c r="AN220" s="1641"/>
      <c r="AO220" s="2058"/>
      <c r="AP220" s="2058"/>
      <c r="AQ220" s="2058"/>
      <c r="AR220" s="2058"/>
      <c r="AS220" s="2058"/>
      <c r="AT220" s="2058"/>
      <c r="AU220" s="2058"/>
    </row>
    <row r="221" spans="1:47" s="2060" customFormat="1">
      <c r="A221"/>
      <c r="B221" s="918">
        <f>Texte!A2009</f>
        <v>0</v>
      </c>
      <c r="C221"/>
      <c r="D221"/>
      <c r="E221"/>
      <c r="F221"/>
      <c r="G221"/>
      <c r="H221"/>
      <c r="I221"/>
      <c r="J221"/>
      <c r="K221"/>
      <c r="L221"/>
      <c r="M221"/>
      <c r="N221"/>
      <c r="O221"/>
      <c r="P221"/>
      <c r="Q221"/>
      <c r="R221"/>
      <c r="S221"/>
      <c r="T221"/>
      <c r="U221" s="2887"/>
      <c r="V221" s="2058"/>
      <c r="W221" s="2887"/>
      <c r="X221" s="2887"/>
      <c r="Y221" s="2887"/>
      <c r="Z221" s="2887"/>
      <c r="AA221" s="2887"/>
      <c r="AB221" s="2887"/>
      <c r="AC221" s="2887"/>
      <c r="AD221" s="2887"/>
      <c r="AE221" s="2887"/>
      <c r="AF221" s="2058"/>
      <c r="AG221" s="1641"/>
      <c r="AH221" s="1641"/>
      <c r="AI221" s="1641"/>
      <c r="AJ221" s="1641"/>
      <c r="AK221" s="1641"/>
      <c r="AL221" s="1641"/>
      <c r="AM221" s="1641"/>
      <c r="AN221" s="1641"/>
      <c r="AO221" s="2058"/>
      <c r="AP221" s="2058"/>
      <c r="AQ221" s="2058"/>
      <c r="AR221" s="2058"/>
      <c r="AS221" s="2058"/>
      <c r="AT221" s="2058"/>
      <c r="AU221" s="2058"/>
    </row>
    <row r="222" spans="1:47" s="2060" customFormat="1">
      <c r="A222"/>
      <c r="B222" s="918" t="str">
        <f>Texte!A2010</f>
        <v>2. Teil A: Grund- und Kraftfutterverzehr</v>
      </c>
      <c r="C222"/>
      <c r="D222"/>
      <c r="E222"/>
      <c r="F222"/>
      <c r="G222"/>
      <c r="H222"/>
      <c r="I222"/>
      <c r="J222"/>
      <c r="K222"/>
      <c r="L222"/>
      <c r="M222"/>
      <c r="N222"/>
      <c r="O222"/>
      <c r="P222"/>
      <c r="Q222"/>
      <c r="R222"/>
      <c r="S222"/>
      <c r="T222"/>
      <c r="U222" s="2887"/>
      <c r="V222" s="2058"/>
      <c r="W222" s="2887"/>
      <c r="X222" s="2887"/>
      <c r="Y222" s="2887"/>
      <c r="Z222" s="2887"/>
      <c r="AA222" s="2887"/>
      <c r="AB222" s="2887"/>
      <c r="AC222" s="2887"/>
      <c r="AD222" s="2887"/>
      <c r="AE222" s="2887"/>
      <c r="AF222" s="2058"/>
      <c r="AG222" s="1641"/>
      <c r="AH222" s="1641"/>
      <c r="AI222" s="1641"/>
      <c r="AJ222" s="1641"/>
      <c r="AK222" s="1641"/>
      <c r="AL222" s="1641"/>
      <c r="AM222" s="1641"/>
      <c r="AN222" s="1641"/>
      <c r="AO222" s="2058"/>
      <c r="AP222" s="2058"/>
      <c r="AQ222" s="2058"/>
      <c r="AR222" s="2058"/>
      <c r="AS222" s="2058"/>
      <c r="AT222" s="2058"/>
      <c r="AU222" s="2058"/>
    </row>
    <row r="223" spans="1:47" s="2060" customFormat="1">
      <c r="A223"/>
      <c r="B223" t="str">
        <f>Texte!A2011</f>
        <v xml:space="preserve">    - Alle Tierarten mit Grundfutterverzehr erfassen (Tabellenblatt Tierb)</v>
      </c>
      <c r="C223"/>
      <c r="D223"/>
      <c r="E223"/>
      <c r="F223"/>
      <c r="G223"/>
      <c r="H223"/>
      <c r="I223"/>
      <c r="J223"/>
      <c r="K223"/>
      <c r="L223"/>
      <c r="M223"/>
      <c r="N223"/>
      <c r="O223"/>
      <c r="P223"/>
      <c r="Q223"/>
      <c r="R223"/>
      <c r="S223"/>
      <c r="T223"/>
      <c r="U223" s="2887"/>
      <c r="V223" s="2058"/>
      <c r="W223" s="2887"/>
      <c r="X223" s="2887"/>
      <c r="Y223" s="2887"/>
      <c r="Z223" s="2887"/>
      <c r="AA223" s="2887"/>
      <c r="AB223" s="2887"/>
      <c r="AC223" s="2887"/>
      <c r="AD223" s="2887"/>
      <c r="AE223" s="2887"/>
      <c r="AF223" s="2058"/>
      <c r="AG223" s="1641"/>
      <c r="AH223" s="1641"/>
      <c r="AI223" s="1641"/>
      <c r="AJ223" s="1641"/>
      <c r="AK223" s="1641"/>
      <c r="AL223" s="1641"/>
      <c r="AM223" s="1641"/>
      <c r="AN223" s="1641"/>
      <c r="AO223" s="2058"/>
      <c r="AP223" s="2058"/>
      <c r="AQ223" s="2058"/>
      <c r="AR223" s="2058"/>
      <c r="AS223" s="2058"/>
      <c r="AT223" s="2058"/>
      <c r="AU223" s="2058"/>
    </row>
    <row r="224" spans="1:47" s="2060" customFormat="1">
      <c r="A224"/>
      <c r="B224" t="str">
        <f>Texte!A2012</f>
        <v xml:space="preserve">    - Pro Tierkategorie Kraftfutter erfassen (pro Einheit in kg FS) (Tabellenblatt GMF)</v>
      </c>
      <c r="C224"/>
      <c r="D224"/>
      <c r="E224"/>
      <c r="F224"/>
      <c r="G224"/>
      <c r="H224"/>
      <c r="I224"/>
      <c r="J224"/>
      <c r="K224"/>
      <c r="L224"/>
      <c r="M224"/>
      <c r="N224"/>
      <c r="O224"/>
      <c r="P224"/>
      <c r="Q224"/>
      <c r="R224"/>
      <c r="S224"/>
      <c r="T224"/>
      <c r="U224" s="2887"/>
      <c r="V224" s="2058"/>
      <c r="W224" s="2887"/>
      <c r="X224" s="2887"/>
      <c r="Y224" s="2887"/>
      <c r="Z224" s="2887"/>
      <c r="AA224" s="2887"/>
      <c r="AB224" s="2887"/>
      <c r="AC224" s="2887"/>
      <c r="AD224" s="2887"/>
      <c r="AE224" s="2887"/>
      <c r="AF224" s="2058"/>
      <c r="AG224" s="1641"/>
      <c r="AH224" s="1641"/>
      <c r="AI224" s="1641"/>
      <c r="AJ224" s="1641"/>
      <c r="AK224" s="1641"/>
      <c r="AL224" s="1641"/>
      <c r="AM224" s="1641"/>
      <c r="AN224" s="1641"/>
      <c r="AO224" s="2058"/>
      <c r="AP224" s="2058"/>
      <c r="AQ224" s="2058"/>
      <c r="AR224" s="2058"/>
      <c r="AS224" s="2058"/>
      <c r="AT224" s="2058"/>
      <c r="AU224" s="2058"/>
    </row>
    <row r="225" spans="1:47" s="2060" customFormat="1">
      <c r="A225"/>
      <c r="B225" t="str">
        <f>Texte!A2013</f>
        <v xml:space="preserve">      auf dem Ganzjahresbetrieb dividiert durch die Tierzahl korrigiert</v>
      </c>
      <c r="C225"/>
      <c r="D225"/>
      <c r="E225"/>
      <c r="F225"/>
      <c r="G225"/>
      <c r="H225"/>
      <c r="I225"/>
      <c r="J225"/>
      <c r="K225"/>
      <c r="L225"/>
      <c r="M225"/>
      <c r="N225"/>
      <c r="O225"/>
      <c r="P225"/>
      <c r="Q225"/>
      <c r="R225"/>
      <c r="S225"/>
      <c r="T225"/>
      <c r="U225" s="2887"/>
      <c r="V225" s="2058"/>
      <c r="W225" s="2887"/>
      <c r="X225" s="2887"/>
      <c r="Y225" s="2887"/>
      <c r="Z225" s="2887"/>
      <c r="AA225" s="2887"/>
      <c r="AB225" s="2887"/>
      <c r="AC225" s="2887"/>
      <c r="AD225" s="2887"/>
      <c r="AE225" s="2887"/>
      <c r="AF225" s="2058"/>
      <c r="AG225" s="1641"/>
      <c r="AH225" s="1641"/>
      <c r="AI225" s="1641"/>
      <c r="AJ225" s="1641"/>
      <c r="AK225" s="1641"/>
      <c r="AL225" s="1641"/>
      <c r="AM225" s="1641"/>
      <c r="AN225" s="1641"/>
      <c r="AO225" s="2058"/>
      <c r="AP225" s="2058"/>
      <c r="AQ225" s="2058"/>
      <c r="AR225" s="2058"/>
      <c r="AS225" s="2058"/>
      <c r="AT225" s="2058"/>
      <c r="AU225" s="2058"/>
    </row>
    <row r="226" spans="1:47" s="2060" customFormat="1">
      <c r="A226"/>
      <c r="B226" t="str">
        <f>Texte!A2014</f>
        <v xml:space="preserve">    - Sömmerung: bei den Tierzahlen müssen die Anzahl gesömmerter Tiere (positiv) </v>
      </c>
      <c r="C226"/>
      <c r="D226"/>
      <c r="E226"/>
      <c r="F226"/>
      <c r="G226"/>
      <c r="H226"/>
      <c r="I226"/>
      <c r="J226"/>
      <c r="K226"/>
      <c r="L226"/>
      <c r="M226"/>
      <c r="N226"/>
      <c r="O226"/>
      <c r="P226"/>
      <c r="Q226"/>
      <c r="R226"/>
      <c r="S226"/>
      <c r="T226"/>
      <c r="U226" s="2887"/>
      <c r="V226" s="2058"/>
      <c r="W226" s="2887"/>
      <c r="X226" s="2887"/>
      <c r="Y226" s="2887"/>
      <c r="Z226" s="2887"/>
      <c r="AA226" s="2887"/>
      <c r="AB226" s="2887"/>
      <c r="AC226" s="2887"/>
      <c r="AD226" s="2887"/>
      <c r="AE226" s="2887"/>
      <c r="AF226" s="2058"/>
      <c r="AG226" s="1641"/>
      <c r="AH226" s="1641"/>
      <c r="AI226" s="1641"/>
      <c r="AJ226" s="1641"/>
      <c r="AK226" s="1641"/>
      <c r="AL226" s="1641"/>
      <c r="AM226" s="1641"/>
      <c r="AN226" s="1641"/>
      <c r="AO226" s="2058"/>
      <c r="AP226" s="2058"/>
      <c r="AQ226" s="2058"/>
      <c r="AR226" s="2058"/>
      <c r="AS226" s="2058"/>
      <c r="AT226" s="2058"/>
      <c r="AU226" s="2058"/>
    </row>
    <row r="227" spans="1:47" s="2060" customFormat="1">
      <c r="A227"/>
      <c r="B227" t="str">
        <f>Texte!A2015</f>
        <v xml:space="preserve">      und die Tage Sömmerung separat erfasst werden.</v>
      </c>
      <c r="C227"/>
      <c r="D227"/>
      <c r="E227"/>
      <c r="F227"/>
      <c r="G227"/>
      <c r="H227"/>
      <c r="I227"/>
      <c r="J227"/>
      <c r="K227"/>
      <c r="L227"/>
      <c r="M227"/>
      <c r="N227"/>
      <c r="O227"/>
      <c r="P227"/>
      <c r="Q227"/>
      <c r="R227"/>
      <c r="S227"/>
      <c r="T227"/>
      <c r="U227" s="2887"/>
      <c r="V227" s="2058"/>
      <c r="W227" s="2887"/>
      <c r="X227" s="2887"/>
      <c r="Y227" s="2887"/>
      <c r="Z227" s="2887"/>
      <c r="AA227" s="2887"/>
      <c r="AB227" s="2887"/>
      <c r="AC227" s="2887"/>
      <c r="AD227" s="2887"/>
      <c r="AE227" s="2887"/>
      <c r="AF227" s="2058"/>
      <c r="AG227" s="1641"/>
      <c r="AH227" s="1641"/>
      <c r="AI227" s="1641"/>
      <c r="AJ227" s="1641"/>
      <c r="AK227" s="1641"/>
      <c r="AL227" s="1641"/>
      <c r="AM227" s="1641"/>
      <c r="AN227" s="1641"/>
      <c r="AO227" s="2058"/>
      <c r="AP227" s="2058"/>
      <c r="AQ227" s="2058"/>
      <c r="AR227" s="2058"/>
      <c r="AS227" s="2058"/>
      <c r="AT227" s="2058"/>
      <c r="AU227" s="2058"/>
    </row>
    <row r="228" spans="1:47" s="2060" customFormat="1">
      <c r="A228"/>
      <c r="B228" t="str">
        <f>Texte!A2016</f>
        <v xml:space="preserve">    - KF-Verzehr während Sömmerung nur möglich für gemolkene Tiere folgender Kategorien: Milchkühe,</v>
      </c>
      <c r="C228"/>
      <c r="D228"/>
      <c r="E228"/>
      <c r="F228"/>
      <c r="G228"/>
      <c r="H228"/>
      <c r="I228"/>
      <c r="J228"/>
      <c r="K228"/>
      <c r="L228"/>
      <c r="M228"/>
      <c r="N228"/>
      <c r="O228"/>
      <c r="P228"/>
      <c r="Q228"/>
      <c r="R228"/>
      <c r="S228"/>
      <c r="T228"/>
      <c r="U228" s="2887"/>
      <c r="V228" s="2058"/>
      <c r="W228" s="2887"/>
      <c r="X228" s="2887"/>
      <c r="Y228" s="2887"/>
      <c r="Z228" s="2887"/>
      <c r="AA228" s="2887"/>
      <c r="AB228" s="2887"/>
      <c r="AC228" s="2887"/>
      <c r="AD228" s="2887"/>
      <c r="AE228" s="2887"/>
      <c r="AF228" s="2058"/>
      <c r="AG228" s="1641"/>
      <c r="AH228" s="1641"/>
      <c r="AI228" s="1641"/>
      <c r="AJ228" s="1641"/>
      <c r="AK228" s="1641"/>
      <c r="AL228" s="1641"/>
      <c r="AM228" s="1641"/>
      <c r="AN228" s="1641"/>
      <c r="AO228" s="2058"/>
      <c r="AP228" s="2058"/>
      <c r="AQ228" s="2058"/>
      <c r="AR228" s="2058"/>
      <c r="AS228" s="2058"/>
      <c r="AT228" s="2058"/>
      <c r="AU228" s="2058"/>
    </row>
    <row r="229" spans="1:47" s="2060" customFormat="1">
      <c r="A229"/>
      <c r="B229" t="str">
        <f>Texte!A2017</f>
        <v xml:space="preserve">      Milchschafe und Ziegen. Effektive Menge eingeben.</v>
      </c>
      <c r="C229"/>
      <c r="D229"/>
      <c r="E229"/>
      <c r="F229"/>
      <c r="G229"/>
      <c r="H229"/>
      <c r="I229"/>
      <c r="J229"/>
      <c r="K229"/>
      <c r="L229"/>
      <c r="M229"/>
      <c r="N229"/>
      <c r="O229"/>
      <c r="P229"/>
      <c r="Q229"/>
      <c r="R229"/>
      <c r="S229"/>
      <c r="T229"/>
      <c r="U229" s="2887"/>
      <c r="V229" s="2058"/>
      <c r="W229" s="2887"/>
      <c r="X229" s="2887"/>
      <c r="Y229" s="2887"/>
      <c r="Z229" s="2887"/>
      <c r="AA229" s="2887"/>
      <c r="AB229" s="2887"/>
      <c r="AC229" s="2887"/>
      <c r="AD229" s="2887"/>
      <c r="AE229" s="2887"/>
      <c r="AF229" s="2058"/>
      <c r="AG229" s="1641"/>
      <c r="AH229" s="1641"/>
      <c r="AI229" s="1641"/>
      <c r="AJ229" s="1641"/>
      <c r="AK229" s="1641"/>
      <c r="AL229" s="1641"/>
      <c r="AM229" s="1641"/>
      <c r="AN229" s="1641"/>
      <c r="AO229" s="2058"/>
      <c r="AP229" s="2058"/>
      <c r="AQ229" s="2058"/>
      <c r="AR229" s="2058"/>
      <c r="AS229" s="2058"/>
      <c r="AT229" s="2058"/>
      <c r="AU229" s="2058"/>
    </row>
    <row r="230" spans="1:47" s="2060" customFormat="1">
      <c r="A230"/>
      <c r="B230" t="str">
        <f>Texte!A2018</f>
        <v xml:space="preserve">    - Für Grund- und Kraftfutter während der Sömmerung gelten ebenfalls </v>
      </c>
      <c r="C230"/>
      <c r="D230"/>
      <c r="E230"/>
      <c r="F230"/>
      <c r="G230"/>
      <c r="H230"/>
      <c r="I230"/>
      <c r="J230"/>
      <c r="K230"/>
      <c r="L230"/>
      <c r="M230"/>
      <c r="N230"/>
      <c r="O230"/>
      <c r="P230"/>
      <c r="Q230"/>
      <c r="R230"/>
      <c r="S230"/>
      <c r="T230"/>
      <c r="U230" s="2887"/>
      <c r="V230" s="2058"/>
      <c r="W230" s="2887"/>
      <c r="X230" s="2887"/>
      <c r="Y230" s="2887"/>
      <c r="Z230" s="2887"/>
      <c r="AA230" s="2887"/>
      <c r="AB230" s="2887"/>
      <c r="AC230" s="2887"/>
      <c r="AD230" s="2887"/>
      <c r="AE230" s="2887"/>
      <c r="AF230" s="2058"/>
      <c r="AG230" s="1641"/>
      <c r="AH230" s="1641"/>
      <c r="AI230" s="1641"/>
      <c r="AJ230" s="1641"/>
      <c r="AK230" s="1641"/>
      <c r="AL230" s="1641"/>
      <c r="AM230" s="1641"/>
      <c r="AN230" s="1641"/>
      <c r="AO230" s="2058"/>
      <c r="AP230" s="2058"/>
      <c r="AQ230" s="2058"/>
      <c r="AR230" s="2058"/>
      <c r="AS230" s="2058"/>
      <c r="AT230" s="2058"/>
      <c r="AU230" s="2058"/>
    </row>
    <row r="231" spans="1:47" s="2060" customFormat="1">
      <c r="A231"/>
      <c r="B231" t="str">
        <f>Texte!A2019</f>
        <v xml:space="preserve">      die Definitionen gemäss Anhang 5 DZV.</v>
      </c>
      <c r="C231"/>
      <c r="D231"/>
      <c r="E231"/>
      <c r="F231"/>
      <c r="G231"/>
      <c r="H231"/>
      <c r="I231"/>
      <c r="J231"/>
      <c r="K231"/>
      <c r="L231"/>
      <c r="M231"/>
      <c r="N231"/>
      <c r="O231"/>
      <c r="P231"/>
      <c r="Q231"/>
      <c r="R231"/>
      <c r="S231"/>
      <c r="T231"/>
      <c r="U231" s="2887"/>
      <c r="V231" s="2058"/>
      <c r="W231" s="2887"/>
      <c r="X231" s="2887"/>
      <c r="Y231" s="2887"/>
      <c r="Z231" s="2887"/>
      <c r="AA231" s="2887"/>
      <c r="AB231" s="2887"/>
      <c r="AC231" s="2887"/>
      <c r="AD231" s="2887"/>
      <c r="AE231" s="2887"/>
      <c r="AF231" s="2058"/>
      <c r="AG231" s="1641"/>
      <c r="AH231" s="1641"/>
      <c r="AI231" s="1641"/>
      <c r="AJ231" s="1641"/>
      <c r="AK231" s="1641"/>
      <c r="AL231" s="1641"/>
      <c r="AM231" s="1641"/>
      <c r="AN231" s="1641"/>
      <c r="AO231" s="2058"/>
      <c r="AP231" s="2058"/>
      <c r="AQ231" s="2058"/>
      <c r="AR231" s="2058"/>
      <c r="AS231" s="2058"/>
      <c r="AT231" s="2058"/>
      <c r="AU231" s="2058"/>
    </row>
    <row r="232" spans="1:47" s="2060" customFormat="1">
      <c r="A232"/>
      <c r="B232" s="918" t="str">
        <f>Texte!A2020</f>
        <v>3. Teil B: Grundfutterproduktion</v>
      </c>
      <c r="C232"/>
      <c r="D232"/>
      <c r="E232"/>
      <c r="F232"/>
      <c r="G232"/>
      <c r="H232"/>
      <c r="I232"/>
      <c r="J232"/>
      <c r="K232"/>
      <c r="L232"/>
      <c r="M232"/>
      <c r="N232"/>
      <c r="O232"/>
      <c r="P232"/>
      <c r="Q232"/>
      <c r="R232"/>
      <c r="S232"/>
      <c r="T232"/>
      <c r="U232" s="2887"/>
      <c r="V232" s="2058"/>
      <c r="W232" s="2887"/>
      <c r="X232" s="2887"/>
      <c r="Y232" s="2887"/>
      <c r="Z232" s="2887"/>
      <c r="AA232" s="2887"/>
      <c r="AB232" s="2887"/>
      <c r="AC232" s="2887"/>
      <c r="AD232" s="2887"/>
      <c r="AE232" s="2887"/>
      <c r="AF232" s="2058"/>
      <c r="AG232" s="1641"/>
      <c r="AH232" s="1641"/>
      <c r="AI232" s="1641"/>
      <c r="AJ232" s="1641"/>
      <c r="AK232" s="1641"/>
      <c r="AL232" s="1641"/>
      <c r="AM232" s="1641"/>
      <c r="AN232" s="1641"/>
      <c r="AO232" s="2058"/>
      <c r="AP232" s="2058"/>
      <c r="AQ232" s="2058"/>
      <c r="AR232" s="2058"/>
      <c r="AS232" s="2058"/>
      <c r="AT232" s="2058"/>
      <c r="AU232" s="2058"/>
    </row>
    <row r="233" spans="1:47" s="2060" customFormat="1">
      <c r="A233"/>
      <c r="B233" t="str">
        <f>Texte!A2021</f>
        <v xml:space="preserve">    - Flächen und Erträge erfassen (Tabellenblatt Fläche)</v>
      </c>
      <c r="C233"/>
      <c r="D233"/>
      <c r="E233"/>
      <c r="F233"/>
      <c r="G233"/>
      <c r="H233"/>
      <c r="I233"/>
      <c r="J233"/>
      <c r="K233"/>
      <c r="L233"/>
      <c r="M233"/>
      <c r="N233"/>
      <c r="O233"/>
      <c r="P233"/>
      <c r="Q233"/>
      <c r="R233"/>
      <c r="S233"/>
      <c r="T233"/>
      <c r="U233" s="2887"/>
      <c r="V233" s="2058"/>
      <c r="W233" s="2887"/>
      <c r="X233" s="2887"/>
      <c r="Y233" s="2887"/>
      <c r="Z233" s="2887"/>
      <c r="AA233" s="2887"/>
      <c r="AB233" s="2887"/>
      <c r="AC233" s="2887"/>
      <c r="AD233" s="2887"/>
      <c r="AE233" s="2887"/>
      <c r="AF233" s="2058"/>
      <c r="AG233" s="1641"/>
      <c r="AH233" s="1641"/>
      <c r="AI233" s="1641"/>
      <c r="AJ233" s="1641"/>
      <c r="AK233" s="1641"/>
      <c r="AL233" s="1641"/>
      <c r="AM233" s="1641"/>
      <c r="AN233" s="1641"/>
      <c r="AO233" s="2058"/>
      <c r="AP233" s="2058"/>
      <c r="AQ233" s="2058"/>
      <c r="AR233" s="2058"/>
      <c r="AS233" s="2058"/>
      <c r="AT233" s="2058"/>
      <c r="AU233" s="2058"/>
    </row>
    <row r="234" spans="1:47" s="2060" customFormat="1">
      <c r="A234"/>
      <c r="B234" t="str">
        <f>Texte!A2022</f>
        <v xml:space="preserve">    - Für Wiesen und Weiden gelten Maximalwerte</v>
      </c>
      <c r="C234"/>
      <c r="D234"/>
      <c r="E234"/>
      <c r="F234"/>
      <c r="G234"/>
      <c r="H234"/>
      <c r="I234"/>
      <c r="J234"/>
      <c r="K234"/>
      <c r="L234"/>
      <c r="M234"/>
      <c r="N234"/>
      <c r="O234"/>
      <c r="P234"/>
      <c r="Q234"/>
      <c r="R234"/>
      <c r="S234"/>
      <c r="T234"/>
      <c r="U234" s="2887"/>
      <c r="V234" s="2058"/>
      <c r="W234" s="2887"/>
      <c r="X234" s="2887"/>
      <c r="Y234" s="2887"/>
      <c r="Z234" s="2887"/>
      <c r="AA234" s="2887"/>
      <c r="AB234" s="2887"/>
      <c r="AC234" s="2887"/>
      <c r="AD234" s="2887"/>
      <c r="AE234" s="2887"/>
      <c r="AF234" s="2058"/>
      <c r="AG234" s="1641"/>
      <c r="AH234" s="1641"/>
      <c r="AI234" s="1641"/>
      <c r="AJ234" s="1641"/>
      <c r="AK234" s="1641"/>
      <c r="AL234" s="1641"/>
      <c r="AM234" s="1641"/>
      <c r="AN234" s="1641"/>
      <c r="AO234" s="2058"/>
      <c r="AP234" s="2058"/>
      <c r="AQ234" s="2058"/>
      <c r="AR234" s="2058"/>
      <c r="AS234" s="2058"/>
      <c r="AT234" s="2058"/>
      <c r="AU234" s="2058"/>
    </row>
    <row r="235" spans="1:47" s="2060" customFormat="1">
      <c r="A235"/>
      <c r="B235" t="str">
        <f>Texte!A2023</f>
        <v xml:space="preserve">    - Höhere Erträge nur mit Ertragsgutachten möglich</v>
      </c>
      <c r="C235"/>
      <c r="D235"/>
      <c r="E235"/>
      <c r="F235"/>
      <c r="G235"/>
      <c r="H235"/>
      <c r="I235"/>
      <c r="J235"/>
      <c r="K235"/>
      <c r="L235"/>
      <c r="M235"/>
      <c r="N235"/>
      <c r="O235" s="692"/>
      <c r="P235" s="692"/>
      <c r="Q235" s="692"/>
      <c r="R235" s="692"/>
      <c r="S235"/>
      <c r="T235"/>
      <c r="U235" s="2887"/>
      <c r="V235" s="2058"/>
      <c r="W235" s="2887"/>
      <c r="X235" s="2887"/>
      <c r="Y235" s="2887"/>
      <c r="Z235" s="2887"/>
      <c r="AA235" s="2887"/>
      <c r="AB235" s="2887"/>
      <c r="AC235" s="2887"/>
      <c r="AD235" s="2887"/>
      <c r="AE235" s="2887"/>
      <c r="AF235" s="2058"/>
      <c r="AG235" s="1641"/>
      <c r="AH235" s="1641"/>
      <c r="AI235" s="1641"/>
      <c r="AJ235" s="1641"/>
      <c r="AK235" s="1641"/>
      <c r="AL235" s="1641"/>
      <c r="AM235" s="1641"/>
      <c r="AN235" s="1641"/>
      <c r="AO235" s="2058"/>
      <c r="AP235" s="2058"/>
      <c r="AQ235" s="2058"/>
      <c r="AR235" s="2058"/>
      <c r="AS235" s="2058"/>
      <c r="AT235" s="2058"/>
      <c r="AU235" s="2058"/>
    </row>
    <row r="236" spans="1:47" s="2059" customFormat="1">
      <c r="A236" s="692"/>
      <c r="B236" t="str">
        <f>Texte!A2024</f>
        <v xml:space="preserve">    - Erträge Zwischenkulturen max. 25 dt TS</v>
      </c>
      <c r="C236"/>
      <c r="D236"/>
      <c r="E236"/>
      <c r="F236"/>
      <c r="G236"/>
      <c r="H236"/>
      <c r="I236"/>
      <c r="J236"/>
      <c r="K236"/>
      <c r="L236"/>
      <c r="M236"/>
      <c r="N236" s="692"/>
      <c r="O236" s="692"/>
      <c r="P236" s="692"/>
      <c r="Q236" s="692"/>
      <c r="R236" s="692"/>
      <c r="S236" s="692"/>
      <c r="T236"/>
      <c r="U236" s="2887"/>
      <c r="V236" s="2058"/>
      <c r="W236" s="2887"/>
      <c r="X236" s="2887"/>
      <c r="Y236" s="2887"/>
      <c r="Z236" s="2887"/>
      <c r="AA236" s="2887"/>
      <c r="AB236" s="2887"/>
      <c r="AC236" s="2887"/>
      <c r="AD236" s="2887"/>
      <c r="AE236" s="2887"/>
      <c r="AF236" s="2058"/>
      <c r="AG236" s="1641"/>
      <c r="AH236" s="1641"/>
      <c r="AI236" s="1641"/>
      <c r="AJ236" s="1641"/>
      <c r="AK236" s="1641"/>
      <c r="AL236" s="1641"/>
      <c r="AM236" s="1641"/>
      <c r="AN236" s="1641"/>
      <c r="AO236" s="2058"/>
      <c r="AP236" s="2058"/>
      <c r="AQ236" s="2058"/>
      <c r="AR236" s="2058"/>
      <c r="AS236" s="2058"/>
      <c r="AT236" s="2058"/>
      <c r="AU236" s="2058"/>
    </row>
    <row r="237" spans="1:47" s="2059" customFormat="1">
      <c r="A237" s="692"/>
      <c r="B237" s="918" t="str">
        <f>Texte!A2025</f>
        <v>4. Teil C: Zu- und Wegfuhr Grundfutter</v>
      </c>
      <c r="C237"/>
      <c r="D237"/>
      <c r="E237"/>
      <c r="F237"/>
      <c r="G237"/>
      <c r="H237"/>
      <c r="I237"/>
      <c r="J237"/>
      <c r="K237"/>
      <c r="L237"/>
      <c r="M237"/>
      <c r="N237" s="692"/>
      <c r="O237" s="692"/>
      <c r="P237" s="692"/>
      <c r="Q237" s="692"/>
      <c r="R237" s="692"/>
      <c r="S237" s="692"/>
      <c r="T237"/>
      <c r="U237" s="2887"/>
      <c r="V237" s="2058"/>
      <c r="W237" s="2887"/>
      <c r="X237" s="2887"/>
      <c r="Y237" s="2887"/>
      <c r="Z237" s="2887"/>
      <c r="AA237" s="2887"/>
      <c r="AB237" s="2887"/>
      <c r="AC237" s="2887"/>
      <c r="AD237" s="2887"/>
      <c r="AE237" s="2887"/>
      <c r="AF237" s="2058"/>
      <c r="AG237" s="1641"/>
      <c r="AH237" s="1641"/>
      <c r="AI237" s="1641"/>
      <c r="AJ237" s="1641"/>
      <c r="AK237" s="1641"/>
      <c r="AL237" s="1641"/>
      <c r="AM237" s="1641"/>
      <c r="AN237" s="1641"/>
      <c r="AO237" s="2058"/>
      <c r="AP237" s="2058"/>
      <c r="AQ237" s="2058"/>
      <c r="AR237" s="2058"/>
      <c r="AS237" s="2058"/>
      <c r="AT237" s="2058"/>
      <c r="AU237" s="2058"/>
    </row>
    <row r="238" spans="1:47" s="2059" customFormat="1">
      <c r="A238" s="692"/>
      <c r="B238" t="str">
        <f>Texte!A2026</f>
        <v xml:space="preserve">    - Zu- und Wegfuhr Grundfutter erfassen</v>
      </c>
      <c r="C238" s="692"/>
      <c r="D238" s="692"/>
      <c r="E238" s="692"/>
      <c r="F238" s="692"/>
      <c r="G238" s="692"/>
      <c r="H238" s="692"/>
      <c r="I238" s="692"/>
      <c r="J238" s="692"/>
      <c r="K238" s="692"/>
      <c r="L238" s="692"/>
      <c r="M238" s="692"/>
      <c r="N238" s="692"/>
      <c r="O238" s="692"/>
      <c r="P238" s="692"/>
      <c r="Q238" s="692"/>
      <c r="R238" s="692"/>
      <c r="S238" s="692"/>
      <c r="T238" s="692"/>
      <c r="U238" s="2887"/>
      <c r="V238" s="2058"/>
      <c r="W238" s="2887"/>
      <c r="X238" s="2887"/>
      <c r="Y238" s="2887"/>
      <c r="Z238" s="2887"/>
      <c r="AA238" s="2887"/>
      <c r="AB238" s="2887"/>
      <c r="AC238" s="2887"/>
      <c r="AD238" s="2887"/>
      <c r="AE238" s="2887"/>
      <c r="AF238" s="2058"/>
      <c r="AG238" s="1641"/>
      <c r="AH238" s="1641"/>
      <c r="AI238" s="1641"/>
      <c r="AJ238" s="1641"/>
      <c r="AK238" s="1641"/>
      <c r="AL238" s="1641"/>
      <c r="AM238" s="1641"/>
      <c r="AN238" s="1641"/>
      <c r="AO238" s="2058"/>
      <c r="AP238" s="2058"/>
      <c r="AQ238" s="2058"/>
      <c r="AR238" s="2058"/>
      <c r="AS238" s="2058"/>
      <c r="AT238" s="2058"/>
      <c r="AU238" s="2058"/>
    </row>
    <row r="239" spans="1:47" s="2059" customFormat="1">
      <c r="A239" s="1475" t="s">
        <v>4111</v>
      </c>
      <c r="B239" t="str">
        <f>Texte!A2027</f>
        <v xml:space="preserve">    - Code wählen: Zu-, Verkauf, GF produziert ausserhalb der Futterfläche</v>
      </c>
      <c r="C239" s="1475"/>
      <c r="D239" s="1475"/>
      <c r="E239" s="1475"/>
      <c r="F239" s="1475"/>
      <c r="G239" s="1475"/>
      <c r="H239" s="1475"/>
      <c r="I239" s="1475"/>
      <c r="J239" s="692"/>
      <c r="K239" s="692"/>
      <c r="L239" s="692"/>
      <c r="M239" s="692"/>
      <c r="N239" s="692"/>
      <c r="O239" s="692"/>
      <c r="P239" s="692"/>
      <c r="Q239" s="692"/>
      <c r="R239" s="692"/>
      <c r="S239" s="692"/>
      <c r="T239" s="692"/>
      <c r="U239" s="2887"/>
      <c r="V239" s="2058"/>
      <c r="W239" s="2887"/>
      <c r="X239" s="2887"/>
      <c r="Y239" s="2887"/>
      <c r="Z239" s="2887"/>
      <c r="AA239" s="2887"/>
      <c r="AB239" s="2887"/>
      <c r="AC239" s="2887"/>
      <c r="AD239" s="2887"/>
      <c r="AE239" s="2887"/>
      <c r="AF239" s="2058"/>
      <c r="AG239" s="1641"/>
      <c r="AH239" s="1641"/>
      <c r="AI239" s="1641"/>
      <c r="AJ239" s="1641"/>
      <c r="AK239" s="1641"/>
      <c r="AL239" s="1641"/>
      <c r="AM239" s="1641"/>
      <c r="AN239" s="1641"/>
      <c r="AO239" s="2058"/>
      <c r="AP239" s="2058"/>
      <c r="AQ239" s="2058"/>
      <c r="AR239" s="2058"/>
      <c r="AS239" s="2058"/>
      <c r="AT239" s="2058"/>
      <c r="AU239" s="2058"/>
    </row>
    <row r="240" spans="1:47" s="2059" customFormat="1">
      <c r="A240" s="1475" t="s">
        <v>220</v>
      </c>
      <c r="B240" s="918">
        <f>Texte!A2028</f>
        <v>0</v>
      </c>
      <c r="C240" s="1475"/>
      <c r="D240" s="1475"/>
      <c r="E240" s="1475"/>
      <c r="F240" s="1475"/>
      <c r="G240" s="1475"/>
      <c r="H240" s="1475"/>
      <c r="I240" s="1475"/>
      <c r="J240" s="692"/>
      <c r="K240" s="692"/>
      <c r="L240" s="692"/>
      <c r="M240" s="692"/>
      <c r="N240" s="692"/>
      <c r="O240" s="692"/>
      <c r="P240" s="692"/>
      <c r="Q240" s="692"/>
      <c r="R240" s="692"/>
      <c r="S240" s="692"/>
      <c r="T240" s="692"/>
      <c r="U240" s="2887"/>
      <c r="V240" s="2058"/>
      <c r="W240" s="2887"/>
      <c r="X240" s="2887"/>
      <c r="Y240" s="2887"/>
      <c r="Z240" s="2887"/>
      <c r="AA240" s="2887"/>
      <c r="AB240" s="2887"/>
      <c r="AC240" s="2887"/>
      <c r="AD240" s="2887"/>
      <c r="AE240" s="2887"/>
      <c r="AF240" s="2058"/>
      <c r="AG240" s="1641"/>
      <c r="AH240" s="1641"/>
      <c r="AI240" s="1641"/>
      <c r="AJ240" s="1641"/>
      <c r="AK240" s="1641"/>
      <c r="AL240" s="1641"/>
      <c r="AM240" s="1641"/>
      <c r="AN240" s="1641"/>
      <c r="AO240" s="2058"/>
      <c r="AP240" s="2058"/>
      <c r="AQ240" s="2058"/>
      <c r="AR240" s="2058"/>
      <c r="AS240" s="2058"/>
      <c r="AT240" s="2058"/>
      <c r="AU240" s="2058"/>
    </row>
    <row r="241" spans="1:47" s="2059" customFormat="1">
      <c r="A241" s="1475"/>
      <c r="B241" s="918" t="str">
        <f>Texte!A2029</f>
        <v>5. Informationsteil</v>
      </c>
      <c r="C241" s="1475"/>
      <c r="D241" s="1475"/>
      <c r="E241" s="1475"/>
      <c r="F241" s="1475"/>
      <c r="G241" s="1475"/>
      <c r="H241" s="1475"/>
      <c r="I241" s="1475"/>
      <c r="J241" s="692"/>
      <c r="K241" s="692"/>
      <c r="L241" s="692"/>
      <c r="M241" s="692"/>
      <c r="N241" s="692"/>
      <c r="O241" s="692"/>
      <c r="P241" s="692"/>
      <c r="Q241" s="692"/>
      <c r="R241" s="692"/>
      <c r="S241" s="692"/>
      <c r="T241" s="692"/>
      <c r="U241" s="2887"/>
      <c r="V241" s="2058"/>
      <c r="W241" s="2887"/>
      <c r="X241" s="2887"/>
      <c r="Y241" s="2887"/>
      <c r="Z241" s="2887"/>
      <c r="AA241" s="2887"/>
      <c r="AB241" s="2887"/>
      <c r="AC241" s="2887"/>
      <c r="AD241" s="2887"/>
      <c r="AE241" s="2887"/>
      <c r="AF241" s="2058"/>
      <c r="AG241" s="1641"/>
      <c r="AH241" s="1641"/>
      <c r="AI241" s="1641"/>
      <c r="AJ241" s="1641"/>
      <c r="AK241" s="1641"/>
      <c r="AL241" s="1641"/>
      <c r="AM241" s="1641"/>
      <c r="AN241" s="1641"/>
      <c r="AO241" s="2058"/>
      <c r="AP241" s="2058"/>
      <c r="AQ241" s="2058"/>
      <c r="AR241" s="2058"/>
      <c r="AS241" s="2058"/>
      <c r="AT241" s="2058"/>
      <c r="AU241" s="2058"/>
    </row>
    <row r="242" spans="1:47" s="2059" customFormat="1">
      <c r="A242" s="1475"/>
      <c r="B242" t="str">
        <f>Texte!A2030</f>
        <v xml:space="preserve">    - Erfassen der Angaben für die Berechnung des Minimaltierbesatzes:</v>
      </c>
      <c r="C242" s="1475"/>
      <c r="D242" s="1475"/>
      <c r="E242" s="1475"/>
      <c r="F242" s="1475"/>
      <c r="G242" s="1475"/>
      <c r="H242" s="1475"/>
      <c r="I242" s="1475"/>
      <c r="J242" s="692"/>
      <c r="K242" s="692"/>
      <c r="L242" s="692"/>
      <c r="M242" s="692"/>
      <c r="N242" s="692"/>
      <c r="O242" s="692"/>
      <c r="P242" s="692"/>
      <c r="Q242" s="692"/>
      <c r="R242" s="692"/>
      <c r="S242" s="692"/>
      <c r="T242" s="692"/>
      <c r="U242" s="2887"/>
      <c r="V242" s="2058"/>
      <c r="W242" s="2887"/>
      <c r="X242" s="2887"/>
      <c r="Y242" s="2887"/>
      <c r="Z242" s="2887"/>
      <c r="AA242" s="2887"/>
      <c r="AB242" s="2887"/>
      <c r="AC242" s="2887"/>
      <c r="AD242" s="2887"/>
      <c r="AE242" s="2887"/>
      <c r="AF242" s="2058"/>
      <c r="AG242" s="1641"/>
      <c r="AH242" s="1641"/>
      <c r="AI242" s="1641"/>
      <c r="AJ242" s="1641"/>
      <c r="AK242" s="1641"/>
      <c r="AL242" s="1641"/>
      <c r="AM242" s="1641"/>
      <c r="AN242" s="1641"/>
      <c r="AO242" s="2058"/>
      <c r="AP242" s="2058"/>
      <c r="AQ242" s="2058"/>
      <c r="AR242" s="2058"/>
      <c r="AS242" s="2058"/>
      <c r="AT242" s="2058"/>
      <c r="AU242" s="2058"/>
    </row>
    <row r="243" spans="1:47" s="2059" customFormat="1">
      <c r="A243" s="1475"/>
      <c r="B243" t="str">
        <f>Texte!A2031</f>
        <v xml:space="preserve">    - Daten werden automatisch übernommen.</v>
      </c>
      <c r="C243" s="1475"/>
      <c r="D243" s="1475"/>
      <c r="E243" s="1475"/>
      <c r="F243" s="1475"/>
      <c r="G243" s="1475"/>
      <c r="H243" s="1475"/>
      <c r="I243" s="1475"/>
      <c r="J243" s="692"/>
      <c r="K243" s="692"/>
      <c r="L243" s="692"/>
      <c r="M243" s="692"/>
      <c r="N243" s="692"/>
      <c r="O243" s="692"/>
      <c r="P243" s="692"/>
      <c r="Q243" s="692"/>
      <c r="R243" s="692"/>
      <c r="S243" s="692"/>
      <c r="T243" s="692"/>
      <c r="U243" s="2887"/>
      <c r="V243" s="2058"/>
      <c r="W243" s="2887"/>
      <c r="X243" s="2887"/>
      <c r="Y243" s="2887"/>
      <c r="Z243" s="2887"/>
      <c r="AA243" s="2887"/>
      <c r="AB243" s="2887"/>
      <c r="AC243" s="2887"/>
      <c r="AD243" s="2887"/>
      <c r="AE243" s="2887"/>
      <c r="AF243" s="2058"/>
      <c r="AG243" s="1641"/>
      <c r="AH243" s="1641"/>
      <c r="AI243" s="1641"/>
      <c r="AJ243" s="1641"/>
      <c r="AK243" s="1641"/>
      <c r="AL243" s="1641"/>
      <c r="AM243" s="1641"/>
      <c r="AN243" s="1641"/>
      <c r="AO243" s="2058"/>
      <c r="AP243" s="2058"/>
      <c r="AQ243" s="2058"/>
      <c r="AR243" s="2058"/>
      <c r="AS243" s="2058"/>
      <c r="AT243" s="2058"/>
      <c r="AU243" s="2058"/>
    </row>
    <row r="244" spans="1:47" s="2059" customFormat="1">
      <c r="A244" s="692"/>
      <c r="B244" t="str">
        <f>Texte!A2032</f>
        <v xml:space="preserve">    - Falls Fläche im Ausland vorhanden, diese unten eintragen und in der Zeile oben korrigieren.</v>
      </c>
      <c r="C244" s="692"/>
      <c r="D244" s="692"/>
      <c r="E244" s="692"/>
      <c r="F244" s="692"/>
      <c r="G244" s="692"/>
      <c r="H244" s="692"/>
      <c r="I244" s="692"/>
      <c r="J244" s="692"/>
      <c r="K244" s="692"/>
      <c r="L244" s="692"/>
      <c r="M244" s="692"/>
      <c r="N244" s="692"/>
      <c r="O244" s="692"/>
      <c r="P244" s="692"/>
      <c r="Q244" s="692"/>
      <c r="R244" s="692"/>
      <c r="S244" s="692"/>
      <c r="T244" s="692"/>
      <c r="U244" s="2887"/>
      <c r="V244" s="2058"/>
      <c r="W244" s="2887"/>
      <c r="X244" s="2887"/>
      <c r="Y244" s="2887"/>
      <c r="Z244" s="2887"/>
      <c r="AA244" s="2887"/>
      <c r="AB244" s="2887"/>
      <c r="AC244" s="2887"/>
      <c r="AD244" s="2887"/>
      <c r="AE244" s="2887"/>
      <c r="AF244" s="2058"/>
      <c r="AG244" s="1641"/>
      <c r="AH244" s="1641"/>
      <c r="AI244" s="1641"/>
      <c r="AJ244" s="1641"/>
      <c r="AK244" s="1641"/>
      <c r="AL244" s="1641"/>
      <c r="AM244" s="1641"/>
      <c r="AN244" s="1641"/>
      <c r="AO244" s="2058"/>
      <c r="AP244" s="2058"/>
      <c r="AQ244" s="2058"/>
      <c r="AR244" s="2058"/>
      <c r="AS244" s="2058"/>
      <c r="AT244" s="2058"/>
      <c r="AU244" s="2058"/>
    </row>
    <row r="245" spans="1:47" s="2059" customFormat="1">
      <c r="A245" s="1476"/>
      <c r="B245"/>
      <c r="C245" s="692"/>
      <c r="D245" s="692"/>
      <c r="E245" s="692"/>
      <c r="F245" s="692"/>
      <c r="G245" s="692"/>
      <c r="H245" s="692"/>
      <c r="I245" s="692"/>
      <c r="J245" s="692"/>
      <c r="K245" s="692"/>
      <c r="L245" s="692"/>
      <c r="M245" s="692"/>
      <c r="N245" s="692"/>
      <c r="O245" s="692"/>
      <c r="P245" s="692"/>
      <c r="Q245" s="692"/>
      <c r="R245" s="692"/>
      <c r="S245" s="692"/>
      <c r="T245" s="692"/>
      <c r="U245" s="2887"/>
      <c r="V245" s="2058"/>
      <c r="W245" s="2887"/>
      <c r="X245" s="2887"/>
      <c r="Y245" s="2887"/>
      <c r="Z245" s="2887"/>
      <c r="AA245" s="2887"/>
      <c r="AB245" s="2887"/>
      <c r="AC245" s="2887"/>
      <c r="AD245" s="2887"/>
      <c r="AE245" s="2887"/>
      <c r="AF245" s="2058"/>
      <c r="AG245" s="1641"/>
      <c r="AH245" s="1641"/>
      <c r="AI245" s="1641"/>
      <c r="AJ245" s="1641"/>
      <c r="AK245" s="1641"/>
      <c r="AL245" s="1641"/>
      <c r="AM245" s="1641"/>
      <c r="AN245" s="1641"/>
      <c r="AO245" s="2058"/>
      <c r="AP245" s="2058"/>
      <c r="AQ245" s="2058"/>
      <c r="AR245" s="2058"/>
      <c r="AS245" s="2058"/>
      <c r="AT245" s="2058"/>
      <c r="AU245" s="2058"/>
    </row>
    <row r="246" spans="1:47" s="2059" customFormat="1">
      <c r="A246" s="1476"/>
      <c r="B246"/>
      <c r="C246" s="692"/>
      <c r="D246" s="692"/>
      <c r="E246" s="692"/>
      <c r="F246" s="692"/>
      <c r="G246" s="692"/>
      <c r="H246" s="692"/>
      <c r="I246" s="692"/>
      <c r="J246" s="692"/>
      <c r="K246" s="692"/>
      <c r="L246" s="692"/>
      <c r="M246" s="692"/>
      <c r="N246" s="692"/>
      <c r="O246" s="692"/>
      <c r="P246" s="692"/>
      <c r="Q246" s="692"/>
      <c r="R246" s="692"/>
      <c r="S246" s="692"/>
      <c r="T246" s="692"/>
      <c r="U246" s="2887"/>
      <c r="V246" s="2058"/>
      <c r="W246" s="2887"/>
      <c r="X246" s="2887"/>
      <c r="Y246" s="2887"/>
      <c r="Z246" s="2887"/>
      <c r="AA246" s="2887"/>
      <c r="AB246" s="2887"/>
      <c r="AC246" s="2887"/>
      <c r="AD246" s="2887"/>
      <c r="AE246" s="2887"/>
      <c r="AF246" s="2058"/>
      <c r="AG246" s="1641"/>
      <c r="AH246" s="1641"/>
      <c r="AI246" s="1641"/>
      <c r="AJ246" s="1641"/>
      <c r="AK246" s="1641"/>
      <c r="AL246" s="1641"/>
      <c r="AM246" s="1641"/>
      <c r="AN246" s="1641"/>
      <c r="AO246" s="2058"/>
      <c r="AP246" s="2058"/>
      <c r="AQ246" s="2058"/>
      <c r="AR246" s="2058"/>
      <c r="AS246" s="2058"/>
      <c r="AT246" s="2058"/>
      <c r="AU246" s="2058"/>
    </row>
    <row r="247" spans="1:47" s="2059" customFormat="1">
      <c r="A247" s="1476"/>
      <c r="B247"/>
      <c r="C247" s="692"/>
      <c r="D247" s="692"/>
      <c r="E247" s="692"/>
      <c r="F247" s="692"/>
      <c r="G247" s="692"/>
      <c r="H247" s="692"/>
      <c r="I247" s="692"/>
      <c r="J247" s="692"/>
      <c r="K247" s="692"/>
      <c r="L247" s="692"/>
      <c r="M247" s="692"/>
      <c r="N247" s="692"/>
      <c r="O247" s="692"/>
      <c r="P247" s="692"/>
      <c r="Q247" s="692"/>
      <c r="R247" s="692"/>
      <c r="S247" s="692"/>
      <c r="T247" s="692"/>
      <c r="U247" s="2887"/>
      <c r="V247" s="2058"/>
      <c r="W247" s="2887"/>
      <c r="X247" s="2887"/>
      <c r="Y247" s="2887"/>
      <c r="Z247" s="2887"/>
      <c r="AA247" s="2887"/>
      <c r="AB247" s="2887"/>
      <c r="AC247" s="2887"/>
      <c r="AD247" s="2887"/>
      <c r="AE247" s="2887"/>
      <c r="AF247" s="2058"/>
      <c r="AG247" s="1641"/>
      <c r="AH247" s="1641"/>
      <c r="AI247" s="1641"/>
      <c r="AJ247" s="1641"/>
      <c r="AK247" s="1641"/>
      <c r="AL247" s="1641"/>
      <c r="AM247" s="1641"/>
      <c r="AN247" s="1641"/>
      <c r="AO247" s="2058"/>
      <c r="AP247" s="2058"/>
      <c r="AQ247" s="2058"/>
      <c r="AR247" s="2058"/>
      <c r="AS247" s="2058"/>
      <c r="AT247" s="2058"/>
      <c r="AU247" s="2058"/>
    </row>
    <row r="248" spans="1:47" s="2059" customFormat="1">
      <c r="A248" s="1476"/>
      <c r="B248"/>
      <c r="C248" s="692"/>
      <c r="D248" s="692"/>
      <c r="E248" s="692"/>
      <c r="F248" s="692"/>
      <c r="G248" s="692"/>
      <c r="H248" s="692"/>
      <c r="I248" s="692"/>
      <c r="J248" s="692"/>
      <c r="K248" s="692"/>
      <c r="L248" s="692"/>
      <c r="M248" s="692"/>
      <c r="N248" s="692"/>
      <c r="O248" s="692"/>
      <c r="P248" s="692"/>
      <c r="Q248" s="692"/>
      <c r="R248" s="692"/>
      <c r="S248" s="692"/>
      <c r="T248" s="692"/>
      <c r="U248" s="2887"/>
      <c r="V248" s="2058"/>
      <c r="W248" s="2887"/>
      <c r="X248" s="2887"/>
      <c r="Y248" s="2887"/>
      <c r="Z248" s="2887"/>
      <c r="AA248" s="2887"/>
      <c r="AB248" s="2887"/>
      <c r="AC248" s="2887"/>
      <c r="AD248" s="2887"/>
      <c r="AE248" s="2887"/>
      <c r="AF248" s="2058"/>
      <c r="AG248" s="1641"/>
      <c r="AH248" s="1641"/>
      <c r="AI248" s="1641"/>
      <c r="AJ248" s="1641"/>
      <c r="AK248" s="1641"/>
      <c r="AL248" s="1641"/>
      <c r="AM248" s="1641"/>
      <c r="AN248" s="1641"/>
      <c r="AO248" s="2058"/>
      <c r="AP248" s="2058"/>
      <c r="AQ248" s="2058"/>
      <c r="AR248" s="2058"/>
      <c r="AS248" s="2058"/>
      <c r="AT248" s="2058"/>
      <c r="AU248" s="2058"/>
    </row>
    <row r="249" spans="1:47" s="2059" customFormat="1">
      <c r="A249" s="1476"/>
      <c r="B249"/>
      <c r="C249" s="692"/>
      <c r="D249" s="692"/>
      <c r="E249" s="692"/>
      <c r="F249" s="692"/>
      <c r="G249" s="692"/>
      <c r="H249" s="692"/>
      <c r="I249" s="692"/>
      <c r="J249" s="692"/>
      <c r="K249" s="692"/>
      <c r="L249" s="692"/>
      <c r="M249" s="692"/>
      <c r="N249" s="692"/>
      <c r="O249" s="692"/>
      <c r="P249" s="692"/>
      <c r="Q249" s="692"/>
      <c r="R249" s="692"/>
      <c r="S249" s="692"/>
      <c r="T249" s="692"/>
      <c r="U249" s="2887"/>
      <c r="V249" s="2058"/>
      <c r="W249" s="2887"/>
      <c r="X249" s="2887"/>
      <c r="Y249" s="2887"/>
      <c r="Z249" s="2887"/>
      <c r="AA249" s="2887"/>
      <c r="AB249" s="2887"/>
      <c r="AC249" s="2887"/>
      <c r="AD249" s="2887"/>
      <c r="AE249" s="2887"/>
      <c r="AF249" s="2058"/>
      <c r="AG249" s="1641"/>
      <c r="AH249" s="1641"/>
      <c r="AI249" s="1641"/>
      <c r="AJ249" s="1641"/>
      <c r="AK249" s="1641"/>
      <c r="AL249" s="1641"/>
      <c r="AM249" s="1641"/>
      <c r="AN249" s="1641"/>
      <c r="AO249" s="2058"/>
      <c r="AP249" s="2058"/>
      <c r="AQ249" s="2058"/>
      <c r="AR249" s="2058"/>
      <c r="AS249" s="2058"/>
      <c r="AT249" s="2058"/>
      <c r="AU249" s="2058"/>
    </row>
    <row r="250" spans="1:47" s="2059" customFormat="1">
      <c r="A250" s="1476"/>
      <c r="B250"/>
      <c r="C250" s="692"/>
      <c r="D250" s="692"/>
      <c r="E250" s="692"/>
      <c r="F250" s="692"/>
      <c r="G250" s="692"/>
      <c r="H250" s="692"/>
      <c r="I250" s="692"/>
      <c r="J250" s="692"/>
      <c r="K250" s="692"/>
      <c r="L250" s="692"/>
      <c r="M250" s="692"/>
      <c r="N250" s="692"/>
      <c r="O250" s="692"/>
      <c r="P250" s="692"/>
      <c r="Q250" s="692"/>
      <c r="R250" s="692"/>
      <c r="S250" s="692"/>
      <c r="T250" s="692"/>
      <c r="U250" s="2058"/>
      <c r="V250" s="2058"/>
      <c r="W250" s="2058"/>
      <c r="X250" s="2058"/>
      <c r="Y250" s="2058"/>
      <c r="Z250" s="2058"/>
      <c r="AA250" s="2058"/>
      <c r="AB250" s="2058"/>
      <c r="AC250" s="2058"/>
      <c r="AD250" s="2058"/>
      <c r="AE250" s="2058"/>
      <c r="AF250" s="2058"/>
      <c r="AG250" s="1641"/>
      <c r="AH250" s="1641"/>
      <c r="AI250" s="1641"/>
      <c r="AJ250" s="1641"/>
      <c r="AK250" s="1641"/>
      <c r="AL250" s="1641"/>
      <c r="AM250" s="1641"/>
      <c r="AN250" s="1641"/>
      <c r="AO250" s="2058"/>
      <c r="AP250" s="2058"/>
      <c r="AQ250" s="2058"/>
      <c r="AR250" s="2058"/>
      <c r="AS250" s="2058"/>
      <c r="AT250" s="2058"/>
      <c r="AU250" s="2058"/>
    </row>
  </sheetData>
  <sheetProtection algorithmName="SHA-512" hashValue="N5U0TFQrGgszvyp+myBk7Vgx1w0cWujkwMWSUronYDYwoxVTJiNSgo5ySC054j9fUh6riOqEuGEIfgxJNwjBRQ==" saltValue="R4ngrw8fwWMiVB8ReYgenQ==" spinCount="100000" sheet="1" objects="1" scenarios="1"/>
  <mergeCells count="1">
    <mergeCell ref="N16:P17"/>
  </mergeCells>
  <phoneticPr fontId="105" type="noConversion"/>
  <conditionalFormatting sqref="K84:K91">
    <cfRule type="cellIs" dxfId="81" priority="26" stopIfTrue="1" operator="greaterThan">
      <formula>$X84</formula>
    </cfRule>
  </conditionalFormatting>
  <conditionalFormatting sqref="I21 G21">
    <cfRule type="expression" dxfId="80" priority="25" stopIfTrue="1">
      <formula>OR(AND($H$21&lt;0,$G$21&lt;ABS(F21)),#REF!&gt;365)</formula>
    </cfRule>
  </conditionalFormatting>
  <conditionalFormatting sqref="I22:I37 G39:G47 G22:G37 G54:G59 I54:I59 I39:I47">
    <cfRule type="expression" dxfId="79" priority="24" stopIfTrue="1">
      <formula>OR(AND($H22&lt;0,$G22&lt;ABS(F22)),#REF!&gt;365)</formula>
    </cfRule>
  </conditionalFormatting>
  <conditionalFormatting sqref="G196:H196">
    <cfRule type="cellIs" dxfId="78" priority="50" stopIfTrue="1" operator="greaterThan">
      <formula>$X91</formula>
    </cfRule>
  </conditionalFormatting>
  <conditionalFormatting sqref="K140">
    <cfRule type="expression" dxfId="77" priority="27" stopIfTrue="1">
      <formula>U140=0</formula>
    </cfRule>
  </conditionalFormatting>
  <conditionalFormatting sqref="AH158:AN159">
    <cfRule type="expression" dxfId="76" priority="75" stopIfTrue="1">
      <formula>AND($AJ158&gt;$AL158,$AL158&gt;0)</formula>
    </cfRule>
  </conditionalFormatting>
  <conditionalFormatting sqref="AH160:AM160">
    <cfRule type="expression" dxfId="75" priority="76" stopIfTrue="1">
      <formula>$AJ160&lt;$AL160</formula>
    </cfRule>
  </conditionalFormatting>
  <conditionalFormatting sqref="AH161:AM161">
    <cfRule type="expression" dxfId="74" priority="77" stopIfTrue="1">
      <formula>AND($AJ161&lt;$AL161,$Z$157=1)</formula>
    </cfRule>
  </conditionalFormatting>
  <conditionalFormatting sqref="L159">
    <cfRule type="expression" dxfId="73" priority="78" stopIfTrue="1">
      <formula>AND(SUM(AC161:AD161)=0,$L$159&lt;&gt;0)</formula>
    </cfRule>
  </conditionalFormatting>
  <conditionalFormatting sqref="H93">
    <cfRule type="cellIs" dxfId="72" priority="68" stopIfTrue="1" operator="equal">
      <formula>$W$30</formula>
    </cfRule>
    <cfRule type="cellIs" dxfId="71" priority="69" stopIfTrue="1" operator="equal">
      <formula>$W$29</formula>
    </cfRule>
  </conditionalFormatting>
  <conditionalFormatting sqref="K141">
    <cfRule type="cellIs" dxfId="70" priority="44" stopIfTrue="1" operator="greaterThan">
      <formula>5</formula>
    </cfRule>
  </conditionalFormatting>
  <conditionalFormatting sqref="AH157:AM157">
    <cfRule type="expression" dxfId="69" priority="82" stopIfTrue="1">
      <formula xml:space="preserve"> ($Z$157&lt;1)</formula>
    </cfRule>
  </conditionalFormatting>
  <conditionalFormatting sqref="K158">
    <cfRule type="expression" dxfId="68" priority="86" stopIfTrue="1">
      <formula>AND($AF$170=0,NOT($AF$170 = ""))</formula>
    </cfRule>
  </conditionalFormatting>
  <conditionalFormatting sqref="M158">
    <cfRule type="expression" dxfId="67" priority="87" stopIfTrue="1">
      <formula>AND($AF$171=0,NOT($AF$171=""))</formula>
    </cfRule>
  </conditionalFormatting>
  <conditionalFormatting sqref="O158">
    <cfRule type="expression" dxfId="66" priority="88" stopIfTrue="1">
      <formula>AND($AF$172=0,NOT($AF$172=""))</formula>
    </cfRule>
  </conditionalFormatting>
  <conditionalFormatting sqref="O163:O165">
    <cfRule type="expression" dxfId="65" priority="89" stopIfTrue="1">
      <formula>$W$164=1</formula>
    </cfRule>
    <cfRule type="expression" dxfId="64" priority="90" stopIfTrue="1">
      <formula>$W$164=2</formula>
    </cfRule>
  </conditionalFormatting>
  <conditionalFormatting sqref="H158">
    <cfRule type="cellIs" dxfId="63" priority="3" operator="lessThan">
      <formula>0</formula>
    </cfRule>
  </conditionalFormatting>
  <conditionalFormatting sqref="I158">
    <cfRule type="expression" dxfId="62" priority="1" stopIfTrue="1">
      <formula>AND($AF$170=0,NOT($AF$170 = ""))</formula>
    </cfRule>
  </conditionalFormatting>
  <printOptions horizontalCentered="1"/>
  <pageMargins left="0.74803149606299213" right="0.43307086614173229" top="0.39370078740157483" bottom="0.23622047244094491" header="0.23622047244094491" footer="0.23622047244094491"/>
  <pageSetup paperSize="9" scale="65" fitToHeight="3" orientation="landscape" r:id="rId1"/>
  <headerFooter alignWithMargins="0">
    <oddFooter>&amp;C&amp;9&amp;F&amp;R&amp;"Arial,Standard"&amp;9Seite &amp;P&amp;L&amp;"Arial,Fett"&amp;11AGRIDEA &amp;"Arial,Standard"&amp;9 Nachweis Version 9.9</oddFooter>
  </headerFooter>
  <cellWatches>
    <cellWatch r="H118"/>
  </cellWatches>
  <drawing r:id="rId2"/>
  <legacyDrawing r:id="rId3"/>
  <mc:AlternateContent xmlns:mc="http://schemas.openxmlformats.org/markup-compatibility/2006">
    <mc:Choice Requires="x14">
      <controls>
        <mc:AlternateContent xmlns:mc="http://schemas.openxmlformats.org/markup-compatibility/2006">
          <mc:Choice Requires="x14">
            <control shapeId="94219" r:id="rId4" name="chkLaufstallMiKu">
              <controlPr defaultSize="0" print="0" autoFill="0" autoLine="0" autoPict="0">
                <anchor moveWithCells="1">
                  <from>
                    <xdr:col>12</xdr:col>
                    <xdr:colOff>142875</xdr:colOff>
                    <xdr:row>11</xdr:row>
                    <xdr:rowOff>38100</xdr:rowOff>
                  </from>
                  <to>
                    <xdr:col>12</xdr:col>
                    <xdr:colOff>447675</xdr:colOff>
                    <xdr:row>13</xdr:row>
                    <xdr:rowOff>19050</xdr:rowOff>
                  </to>
                </anchor>
              </controlPr>
            </control>
          </mc:Choice>
        </mc:AlternateContent>
        <mc:AlternateContent xmlns:mc="http://schemas.openxmlformats.org/markup-compatibility/2006">
          <mc:Choice Requires="x14">
            <control shapeId="94220" r:id="rId5" name="chkLaufstallJungvieh">
              <controlPr defaultSize="0" print="0" autoFill="0" autoLine="0" autoPict="0">
                <anchor moveWithCells="1">
                  <from>
                    <xdr:col>12</xdr:col>
                    <xdr:colOff>142875</xdr:colOff>
                    <xdr:row>12</xdr:row>
                    <xdr:rowOff>142875</xdr:rowOff>
                  </from>
                  <to>
                    <xdr:col>12</xdr:col>
                    <xdr:colOff>447675</xdr:colOff>
                    <xdr:row>14</xdr:row>
                    <xdr:rowOff>47625</xdr:rowOff>
                  </to>
                </anchor>
              </controlPr>
            </control>
          </mc:Choice>
        </mc:AlternateContent>
        <mc:AlternateContent xmlns:mc="http://schemas.openxmlformats.org/markup-compatibility/2006">
          <mc:Choice Requires="x14">
            <control shapeId="94236" r:id="rId6" name="Butt GMF">
              <controlPr defaultSize="0" print="0" autoFill="0" autoLine="0" autoPict="0" macro="[0]!D_Tierb_nach_GMF">
                <anchor moveWithCells="1" sizeWithCells="1">
                  <from>
                    <xdr:col>13</xdr:col>
                    <xdr:colOff>285750</xdr:colOff>
                    <xdr:row>9</xdr:row>
                    <xdr:rowOff>19050</xdr:rowOff>
                  </from>
                  <to>
                    <xdr:col>18</xdr:col>
                    <xdr:colOff>1162050</xdr:colOff>
                    <xdr:row>10</xdr:row>
                    <xdr:rowOff>38100</xdr:rowOff>
                  </to>
                </anchor>
              </controlPr>
            </control>
          </mc:Choice>
        </mc:AlternateContent>
        <mc:AlternateContent xmlns:mc="http://schemas.openxmlformats.org/markup-compatibility/2006">
          <mc:Choice Requires="x14">
            <control shapeId="94378" r:id="rId7" name="Butt Vorgehen">
              <controlPr defaultSize="0" print="0" autoFill="0" autoLine="0" autoPict="0" macro="[0]!Gehezu_Anleitung">
                <anchor moveWithCells="1" sizeWithCells="1">
                  <from>
                    <xdr:col>1</xdr:col>
                    <xdr:colOff>9525</xdr:colOff>
                    <xdr:row>1</xdr:row>
                    <xdr:rowOff>85725</xdr:rowOff>
                  </from>
                  <to>
                    <xdr:col>2</xdr:col>
                    <xdr:colOff>371475</xdr:colOff>
                    <xdr:row>3</xdr:row>
                    <xdr:rowOff>38100</xdr:rowOff>
                  </to>
                </anchor>
              </controlPr>
            </control>
          </mc:Choice>
        </mc:AlternateContent>
        <mc:AlternateContent xmlns:mc="http://schemas.openxmlformats.org/markup-compatibility/2006">
          <mc:Choice Requires="x14">
            <control shapeId="94379" r:id="rId8" name="Butt zurück">
              <controlPr defaultSize="0" print="0" autoFill="0" autoLine="0" autoPict="0" macro="[0]!Zurück_zur_Bilanz">
                <anchor moveWithCells="1" sizeWithCells="1">
                  <from>
                    <xdr:col>1</xdr:col>
                    <xdr:colOff>38100</xdr:colOff>
                    <xdr:row>207</xdr:row>
                    <xdr:rowOff>57150</xdr:rowOff>
                  </from>
                  <to>
                    <xdr:col>2</xdr:col>
                    <xdr:colOff>390525</xdr:colOff>
                    <xdr:row>208</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0">
    <tabColor indexed="27"/>
    <pageSetUpPr fitToPage="1"/>
  </sheetPr>
  <dimension ref="A1:AD138"/>
  <sheetViews>
    <sheetView showGridLines="0" showRowColHeaders="0" showZeros="0" workbookViewId="0">
      <selection activeCell="S13" sqref="S13"/>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10.7109375" style="872" customWidth="1"/>
    <col min="4" max="4" width="7.5703125" style="872" customWidth="1"/>
    <col min="5" max="5" width="11" style="872" customWidth="1"/>
    <col min="6" max="6" width="9.7109375" style="872" customWidth="1"/>
    <col min="7" max="7" width="8" style="872" customWidth="1"/>
    <col min="8" max="8" width="3.7109375" style="872" customWidth="1"/>
    <col min="9" max="9" width="5.85546875" style="872" customWidth="1"/>
    <col min="10" max="10" width="3.140625" style="872" customWidth="1"/>
    <col min="11" max="11" width="8.7109375" style="872" customWidth="1"/>
    <col min="12" max="12" width="3.7109375" style="872" customWidth="1"/>
    <col min="13" max="13" width="8.7109375" style="872" customWidth="1"/>
    <col min="14" max="14" width="3.7109375" style="872" customWidth="1"/>
    <col min="15" max="15" width="10.28515625" style="872" customWidth="1"/>
    <col min="16" max="16" width="3.7109375" style="872" customWidth="1"/>
    <col min="17" max="17" width="10.28515625" style="872" customWidth="1"/>
    <col min="18" max="18" width="2.28515625" style="872" customWidth="1"/>
    <col min="19" max="19" width="10.7109375" style="872" customWidth="1"/>
    <col min="20" max="21" width="0.85546875" style="872" customWidth="1"/>
    <col min="22" max="22" width="11.42578125" style="872"/>
    <col min="23" max="23" width="27.5703125" style="2447" hidden="1" customWidth="1"/>
    <col min="24" max="24" width="29.85546875" style="2447" hidden="1" customWidth="1"/>
    <col min="25" max="26" width="11.42578125" style="2453" hidden="1" customWidth="1"/>
    <col min="27" max="27" width="11.42578125" style="2459"/>
    <col min="28" max="16384" width="11.42578125" style="872"/>
  </cols>
  <sheetData>
    <row r="1" spans="2:27" ht="42" customHeight="1">
      <c r="B1" s="1378" t="str">
        <f>Q!NW_Tit</f>
        <v xml:space="preserve">                                   Nachweis</v>
      </c>
      <c r="F1" s="1315"/>
      <c r="O1" s="2555"/>
      <c r="R1" s="874"/>
      <c r="S1" s="20" t="str">
        <f>Q!F47</f>
        <v>Produktionssysteme</v>
      </c>
      <c r="T1" s="20"/>
      <c r="U1" s="675"/>
      <c r="V1" s="675"/>
      <c r="W1" s="2445"/>
      <c r="X1" s="2445"/>
      <c r="Y1" s="2448"/>
      <c r="Z1" s="2448"/>
      <c r="AA1" s="2456"/>
    </row>
    <row r="2" spans="2:27" s="692" customFormat="1" ht="11.1" customHeight="1" thickBot="1">
      <c r="B2" s="687"/>
      <c r="C2" s="687"/>
      <c r="D2" s="687"/>
      <c r="E2" s="687"/>
      <c r="F2" s="687"/>
      <c r="G2" s="687"/>
      <c r="H2" s="687"/>
      <c r="I2" s="687"/>
      <c r="J2" s="687"/>
      <c r="K2" s="687"/>
      <c r="L2" s="687"/>
      <c r="M2" s="687"/>
      <c r="N2" s="687"/>
      <c r="O2" s="2975"/>
      <c r="P2" s="687"/>
      <c r="Q2" s="687"/>
      <c r="R2" s="687"/>
      <c r="S2" s="44"/>
      <c r="T2" s="196"/>
      <c r="U2" s="675"/>
      <c r="V2" s="675"/>
      <c r="W2" s="2445"/>
      <c r="X2" s="2445"/>
      <c r="Y2" s="2448"/>
      <c r="Z2" s="2448"/>
      <c r="AA2" s="2456"/>
    </row>
    <row r="3" spans="2:27" s="1195" customFormat="1" ht="21.95" customHeight="1">
      <c r="B3" s="1861" t="str">
        <f>Texte!A13</f>
        <v>Betrieb:</v>
      </c>
      <c r="C3" s="1873"/>
      <c r="D3" s="1873" t="str">
        <f>Allg!$C$9&amp;""</f>
        <v>Imhof &amp; Zaehner Betriebsgemeinschaft</v>
      </c>
      <c r="E3" s="1873"/>
      <c r="F3" s="1873"/>
      <c r="G3" s="1874"/>
      <c r="H3" s="1874"/>
      <c r="I3" s="1874"/>
      <c r="J3" s="1873"/>
      <c r="K3" s="1873"/>
      <c r="L3" s="1863" t="str">
        <f>Texte!A14</f>
        <v>Variante:</v>
      </c>
      <c r="M3" s="1433" t="str">
        <f>Allg!$G$7&amp;""</f>
        <v/>
      </c>
      <c r="N3" s="1863"/>
      <c r="O3" s="2976"/>
      <c r="P3" s="1873"/>
      <c r="Q3" s="1873"/>
      <c r="R3" s="1863" t="str">
        <f>Texte!A15</f>
        <v>Jahr:</v>
      </c>
      <c r="S3" s="1859" t="str">
        <f>Allg!$G$6&amp;""</f>
        <v>2026</v>
      </c>
      <c r="T3" s="1859"/>
      <c r="U3" s="30"/>
      <c r="V3" s="30"/>
      <c r="W3" s="2445"/>
      <c r="X3" s="2445"/>
      <c r="Y3" s="2448"/>
      <c r="Z3" s="2448"/>
      <c r="AA3" s="2457"/>
    </row>
    <row r="4" spans="2:27" ht="12.75" customHeight="1">
      <c r="B4" s="675"/>
      <c r="C4" s="675"/>
      <c r="D4" s="675"/>
      <c r="E4" s="675"/>
      <c r="F4" s="675"/>
      <c r="G4" s="675"/>
      <c r="H4" s="675"/>
      <c r="I4" s="675"/>
      <c r="J4" s="675"/>
      <c r="K4" s="675"/>
      <c r="L4" s="675"/>
      <c r="M4" s="675"/>
      <c r="N4" s="675"/>
      <c r="O4" s="2977"/>
      <c r="P4" s="675"/>
      <c r="Q4" s="675"/>
      <c r="R4" s="675"/>
      <c r="S4" s="675"/>
      <c r="T4" s="675"/>
      <c r="U4" s="675"/>
      <c r="V4" s="675"/>
      <c r="W4" s="2445"/>
      <c r="X4" s="2445"/>
      <c r="Y4" s="2448"/>
      <c r="Z4" s="2448"/>
      <c r="AA4" s="2456"/>
    </row>
    <row r="5" spans="2:27" ht="18" customHeight="1">
      <c r="B5" s="685" t="str">
        <f>Texte!A2636</f>
        <v>Produktionssystembeiträge (PSB, Art. 65 bis 76 und Anhang 7 DZV)</v>
      </c>
      <c r="C5" s="675"/>
      <c r="D5" s="675"/>
      <c r="E5" s="675"/>
      <c r="F5" s="675"/>
      <c r="G5" s="675"/>
      <c r="H5" s="675"/>
      <c r="I5" s="675"/>
      <c r="J5" s="675"/>
      <c r="K5" s="675"/>
      <c r="L5" s="675"/>
      <c r="M5" s="675"/>
      <c r="N5" s="675"/>
      <c r="O5" s="2977"/>
      <c r="P5" s="675"/>
      <c r="Q5" s="675"/>
      <c r="R5" s="675"/>
      <c r="S5" s="675"/>
      <c r="T5" s="675"/>
      <c r="U5" s="675"/>
      <c r="V5" s="675"/>
      <c r="W5" s="2445"/>
      <c r="X5" s="2445"/>
      <c r="Y5" s="2448"/>
      <c r="Z5" s="2448"/>
      <c r="AA5" s="2456"/>
    </row>
    <row r="6" spans="2:27" ht="18" customHeight="1">
      <c r="B6" s="1321"/>
      <c r="C6" s="770"/>
      <c r="D6" s="770"/>
      <c r="E6" s="770"/>
      <c r="F6" s="770"/>
      <c r="G6" s="770"/>
      <c r="H6" s="770"/>
      <c r="I6" s="770"/>
      <c r="J6" s="1462"/>
      <c r="K6" s="1462"/>
      <c r="L6" s="1462"/>
      <c r="M6" s="1462"/>
      <c r="N6" s="1462"/>
      <c r="O6" s="2978"/>
      <c r="P6" s="1323"/>
      <c r="Q6" s="2983"/>
      <c r="R6" s="1322"/>
      <c r="S6" s="2983"/>
      <c r="T6" s="528"/>
      <c r="U6" s="675"/>
      <c r="V6" s="675"/>
      <c r="W6" s="2445"/>
      <c r="X6" s="2445"/>
      <c r="Y6" s="2448"/>
      <c r="Z6" s="2448"/>
      <c r="AA6" s="2456"/>
    </row>
    <row r="7" spans="2:27" ht="14.1" customHeight="1">
      <c r="B7" s="1339" t="str">
        <f>Texte!A2637</f>
        <v>Gesamtbetriebliche Produktionsformen</v>
      </c>
      <c r="C7" s="674"/>
      <c r="D7" s="674"/>
      <c r="E7" s="674"/>
      <c r="F7" s="674"/>
      <c r="G7" s="674"/>
      <c r="H7" s="674"/>
      <c r="I7" s="674"/>
      <c r="J7" s="1706"/>
      <c r="K7" s="674" t="str">
        <f>Texte!A2638</f>
        <v>Betrag (CHF)</v>
      </c>
      <c r="L7" s="674"/>
      <c r="M7" s="674" t="str">
        <f>Texte!A2639</f>
        <v>Fläche (ha)</v>
      </c>
      <c r="N7" s="674"/>
      <c r="O7" s="2269" t="str">
        <f>Texte!A2640</f>
        <v>Zwischentotal</v>
      </c>
      <c r="P7" s="1362"/>
      <c r="Q7" s="2979"/>
      <c r="R7" s="675"/>
      <c r="S7" s="2984" t="str">
        <f>Texte!A2641</f>
        <v>Total (CHF)</v>
      </c>
      <c r="T7" s="420"/>
      <c r="U7" s="675"/>
      <c r="V7" s="675"/>
      <c r="W7" s="2445"/>
      <c r="X7" s="2445"/>
      <c r="Y7" s="2448"/>
      <c r="Z7" s="2448"/>
      <c r="AA7" s="2456"/>
    </row>
    <row r="8" spans="2:27" ht="18" customHeight="1">
      <c r="B8" s="1339" t="str">
        <f>Texte!A2644</f>
        <v>Biologischer Landbau</v>
      </c>
      <c r="C8" s="680"/>
      <c r="D8" s="680"/>
      <c r="E8" s="680"/>
      <c r="F8" s="680"/>
      <c r="G8" s="680"/>
      <c r="H8" s="680"/>
      <c r="I8" s="680"/>
      <c r="J8" s="675"/>
      <c r="K8" s="675"/>
      <c r="L8" s="675"/>
      <c r="M8" s="675"/>
      <c r="N8" s="675"/>
      <c r="O8" s="2979"/>
      <c r="P8" s="675"/>
      <c r="Q8" s="2979"/>
      <c r="R8" s="1362"/>
      <c r="S8" s="2985"/>
      <c r="T8" s="420"/>
      <c r="U8" s="679"/>
      <c r="W8" s="2446"/>
      <c r="X8" s="2446"/>
      <c r="Y8" s="2448"/>
      <c r="Z8" s="2448"/>
      <c r="AA8" s="2456"/>
    </row>
    <row r="9" spans="2:27" ht="18" customHeight="1">
      <c r="B9" s="1324"/>
      <c r="C9" s="675" t="str">
        <f>Texte!A2645</f>
        <v>Spezialkulturen</v>
      </c>
      <c r="D9" s="675"/>
      <c r="E9" s="675"/>
      <c r="F9" s="675"/>
      <c r="G9" s="675"/>
      <c r="H9" s="675"/>
      <c r="I9" s="675"/>
      <c r="J9" s="675"/>
      <c r="K9" s="2770">
        <v>1600</v>
      </c>
      <c r="L9" s="1362" t="s">
        <v>1045</v>
      </c>
      <c r="M9" s="2959">
        <f>IF(Allg!PFIdx=3,SUM(Fläche!SpezialkulturenDZ),0)</f>
        <v>45.884499999999996</v>
      </c>
      <c r="N9" s="1362" t="s">
        <v>4983</v>
      </c>
      <c r="O9" s="2980">
        <f>K9*M9</f>
        <v>73415.199999999997</v>
      </c>
      <c r="P9" s="1452"/>
      <c r="Q9" s="2981"/>
      <c r="R9" s="1362"/>
      <c r="S9" s="2985"/>
      <c r="T9" s="420"/>
      <c r="U9" s="679"/>
      <c r="W9" s="2446"/>
      <c r="X9" s="2446"/>
      <c r="Y9" s="2449"/>
      <c r="Z9" s="2449"/>
      <c r="AA9" s="2456"/>
    </row>
    <row r="10" spans="2:27" ht="18" customHeight="1">
      <c r="B10" s="1324"/>
      <c r="C10" s="675" t="str">
        <f>Texte!A2646</f>
        <v>übrige offene Ackerfläche</v>
      </c>
      <c r="D10" s="675"/>
      <c r="E10" s="675"/>
      <c r="F10" s="675"/>
      <c r="G10" s="675"/>
      <c r="H10" s="675"/>
      <c r="I10" s="675"/>
      <c r="J10" s="675"/>
      <c r="K10" s="2770">
        <v>1200</v>
      </c>
      <c r="L10" s="1362" t="s">
        <v>1045</v>
      </c>
      <c r="M10" s="2959">
        <f>IF(Allg!PFIdx=3,SUM(Fläche!übrigeOA)-SUM(Fläche!E46:E47),0)</f>
        <v>30.572000000000003</v>
      </c>
      <c r="N10" s="1362" t="s">
        <v>4983</v>
      </c>
      <c r="O10" s="2980">
        <f>K10*M10</f>
        <v>36686.400000000001</v>
      </c>
      <c r="P10" s="1452"/>
      <c r="Q10" s="2981"/>
      <c r="R10" s="1362"/>
      <c r="S10" s="2985"/>
      <c r="T10" s="420"/>
      <c r="U10" s="679"/>
      <c r="W10" s="2446"/>
      <c r="X10" s="2446"/>
      <c r="Y10" s="2449"/>
      <c r="Z10" s="2449"/>
      <c r="AA10" s="2456"/>
    </row>
    <row r="11" spans="2:27" ht="18" customHeight="1">
      <c r="B11" s="1324"/>
      <c r="C11" s="675" t="str">
        <f>Texte!A2647</f>
        <v>übrige landwirtschaftliche Nutzfläche</v>
      </c>
      <c r="D11" s="675"/>
      <c r="E11" s="675"/>
      <c r="F11" s="675"/>
      <c r="G11" s="675"/>
      <c r="H11" s="675"/>
      <c r="I11" s="675"/>
      <c r="J11" s="675"/>
      <c r="K11" s="2770">
        <v>200</v>
      </c>
      <c r="L11" s="1362" t="s">
        <v>1045</v>
      </c>
      <c r="M11" s="2959">
        <f>IF(Allg!PFIdx=3,SUM(Fläche!übrigeLN)-SUM(Fläche!E66,Fläche!E69,Fläche!N57),0)</f>
        <v>60.95109999999999</v>
      </c>
      <c r="N11" s="1362" t="s">
        <v>4983</v>
      </c>
      <c r="O11" s="2980">
        <f>K11*M11</f>
        <v>12190.219999999998</v>
      </c>
      <c r="P11" s="1452"/>
      <c r="Q11" s="2981"/>
      <c r="R11" s="1362"/>
      <c r="S11" s="2985"/>
      <c r="T11" s="420"/>
      <c r="U11" s="679"/>
      <c r="W11" s="2446"/>
      <c r="X11" s="2446"/>
      <c r="Y11" s="2449"/>
      <c r="Z11" s="2449"/>
      <c r="AA11" s="2456"/>
    </row>
    <row r="12" spans="2:27" ht="7.15" customHeight="1">
      <c r="B12" s="1324"/>
      <c r="C12" s="675"/>
      <c r="D12" s="675"/>
      <c r="E12" s="675"/>
      <c r="F12" s="675"/>
      <c r="G12" s="675"/>
      <c r="H12" s="675"/>
      <c r="I12" s="675"/>
      <c r="J12" s="675"/>
      <c r="K12" s="1426"/>
      <c r="L12" s="675"/>
      <c r="M12" s="1425"/>
      <c r="N12" s="1362"/>
      <c r="O12" s="2981"/>
      <c r="P12" s="1452"/>
      <c r="Q12" s="2981"/>
      <c r="R12" s="1362"/>
      <c r="S12" s="2985"/>
      <c r="T12" s="420"/>
      <c r="U12" s="679"/>
      <c r="W12" s="2446"/>
      <c r="X12" s="2446"/>
      <c r="Y12" s="2449"/>
      <c r="Z12" s="2449"/>
      <c r="AA12" s="2456"/>
    </row>
    <row r="13" spans="2:27" ht="18" customHeight="1">
      <c r="B13" s="1324"/>
      <c r="C13" s="675" t="str">
        <f>Texte!A2648</f>
        <v>Korrektur für Flächen im Ausland und nicht beitragsberechtigtes Bauland</v>
      </c>
      <c r="D13" s="675"/>
      <c r="E13" s="675"/>
      <c r="F13" s="675"/>
      <c r="G13" s="675"/>
      <c r="H13" s="675"/>
      <c r="I13" s="675"/>
      <c r="J13" s="675"/>
      <c r="K13" s="1426"/>
      <c r="L13" s="675"/>
      <c r="M13" s="1425"/>
      <c r="N13" s="1362"/>
      <c r="O13" s="2981"/>
      <c r="P13" s="1452"/>
      <c r="Q13" s="2981"/>
      <c r="R13" s="1362"/>
      <c r="S13" s="2982"/>
      <c r="T13" s="420"/>
      <c r="U13" s="679"/>
      <c r="W13" s="2446"/>
      <c r="X13" s="2446"/>
      <c r="Y13" s="2449"/>
      <c r="Z13" s="2449"/>
      <c r="AA13" s="2456"/>
    </row>
    <row r="14" spans="2:27" ht="18" customHeight="1">
      <c r="B14" s="1086"/>
      <c r="C14" s="1327"/>
      <c r="D14" s="1328"/>
      <c r="E14" s="1328"/>
      <c r="F14" s="1328"/>
      <c r="G14" s="296"/>
      <c r="H14" s="296"/>
      <c r="I14" s="296"/>
      <c r="J14" s="1328"/>
      <c r="K14" s="690"/>
      <c r="L14" s="30"/>
      <c r="M14" s="2438"/>
      <c r="N14" s="675"/>
      <c r="O14" s="2981"/>
      <c r="P14" s="2438"/>
      <c r="Q14" s="2984" t="str">
        <f>Texte!A2642</f>
        <v>Summe der Beiträge</v>
      </c>
      <c r="R14" s="1362" t="s">
        <v>4983</v>
      </c>
      <c r="S14" s="2986">
        <f>SUM(O9:O11)-S13</f>
        <v>122291.82</v>
      </c>
      <c r="T14" s="420"/>
      <c r="U14" s="679"/>
      <c r="W14" s="2446"/>
      <c r="X14" s="2446"/>
      <c r="Y14" s="2449"/>
      <c r="Z14" s="2449"/>
      <c r="AA14" s="2456"/>
    </row>
    <row r="15" spans="2:27" ht="18" customHeight="1">
      <c r="B15" s="1086"/>
      <c r="C15" s="1327"/>
      <c r="D15" s="1328"/>
      <c r="E15" s="1328"/>
      <c r="F15" s="1328"/>
      <c r="G15" s="296"/>
      <c r="H15" s="296"/>
      <c r="I15" s="296"/>
      <c r="J15" s="1328"/>
      <c r="K15" s="690"/>
      <c r="L15" s="30"/>
      <c r="M15" s="2438"/>
      <c r="N15" s="675"/>
      <c r="O15" s="2981"/>
      <c r="P15" s="2438"/>
      <c r="Q15" s="2985"/>
      <c r="R15" s="1362"/>
      <c r="S15" s="2985"/>
      <c r="T15" s="420"/>
      <c r="U15" s="679"/>
      <c r="W15" s="2446"/>
      <c r="X15" s="2446"/>
      <c r="Y15" s="2449"/>
      <c r="Z15" s="2449"/>
      <c r="AA15" s="2456"/>
    </row>
    <row r="16" spans="2:27" ht="18" customHeight="1">
      <c r="B16" s="1339" t="str">
        <f>Texte!A2649</f>
        <v>Teilbetriebliche Produktionsformen</v>
      </c>
      <c r="C16" s="674"/>
      <c r="D16" s="674"/>
      <c r="E16" s="674"/>
      <c r="F16" s="674"/>
      <c r="G16" s="674"/>
      <c r="H16" s="674"/>
      <c r="I16" s="674"/>
      <c r="J16" s="1706"/>
      <c r="K16" s="2461" t="str">
        <f>Texte!$A$2638</f>
        <v>Betrag (CHF)</v>
      </c>
      <c r="L16" s="2461"/>
      <c r="M16" s="2461" t="str">
        <f>Texte!$A$2639</f>
        <v>Fläche (ha)</v>
      </c>
      <c r="N16" s="2461"/>
      <c r="O16" s="2271" t="str">
        <f>Texte!$A$2640</f>
        <v>Zwischentotal</v>
      </c>
      <c r="P16" s="1362"/>
      <c r="Q16" s="2979"/>
      <c r="R16" s="675"/>
      <c r="S16" s="2984" t="str">
        <f>Texte!$A$2641</f>
        <v>Total (CHF)</v>
      </c>
      <c r="T16" s="420"/>
      <c r="U16" s="679"/>
      <c r="V16" s="675"/>
      <c r="W16" s="2446"/>
      <c r="X16" s="2446"/>
      <c r="Y16" s="2448"/>
      <c r="Z16" s="2448"/>
      <c r="AA16" s="2456"/>
    </row>
    <row r="17" spans="2:27" ht="18" customHeight="1">
      <c r="B17" s="1339" t="str">
        <f>Texte!A2651</f>
        <v>Verzicht auf Pflanzenschutzmittel im Ackerbau</v>
      </c>
      <c r="C17" s="674"/>
      <c r="D17" s="674"/>
      <c r="E17" s="674"/>
      <c r="F17" s="674"/>
      <c r="G17" s="674"/>
      <c r="H17" s="674"/>
      <c r="I17" s="674"/>
      <c r="J17" s="1706"/>
      <c r="K17" s="674"/>
      <c r="L17" s="674"/>
      <c r="M17" s="674"/>
      <c r="N17" s="674"/>
      <c r="O17" s="2269"/>
      <c r="P17" s="1362"/>
      <c r="Q17" s="2979"/>
      <c r="R17" s="675"/>
      <c r="S17" s="2979"/>
      <c r="T17" s="420"/>
      <c r="U17" s="679"/>
      <c r="V17" s="675"/>
      <c r="W17" s="2446"/>
      <c r="X17" s="2446"/>
      <c r="Y17" s="2448"/>
      <c r="Z17" s="2448"/>
      <c r="AA17" s="2456"/>
    </row>
    <row r="18" spans="2:27" ht="18" customHeight="1">
      <c r="B18" s="1339"/>
      <c r="C18" s="674" t="str">
        <f>Texte!A2652</f>
        <v>Raps, Kartoffeln, Freiland-Konservengemüse und Zuckerrüben</v>
      </c>
      <c r="D18" s="674"/>
      <c r="E18" s="674"/>
      <c r="F18" s="674"/>
      <c r="G18" s="674"/>
      <c r="H18" s="674"/>
      <c r="I18" s="674"/>
      <c r="J18" s="1706"/>
      <c r="K18" s="2770">
        <v>800</v>
      </c>
      <c r="L18" s="1362" t="s">
        <v>1045</v>
      </c>
      <c r="M18" s="2439">
        <f>V18</f>
        <v>14.182500000000001</v>
      </c>
      <c r="N18" s="1362" t="s">
        <v>4983</v>
      </c>
      <c r="O18" s="2980">
        <f>K18*M18</f>
        <v>11346</v>
      </c>
      <c r="P18" s="1362"/>
      <c r="Q18" s="2979"/>
      <c r="R18" s="675"/>
      <c r="S18" s="2979"/>
      <c r="T18" s="420"/>
      <c r="U18" s="679"/>
      <c r="V18" s="2966">
        <f>SUM(Fläche!E26:E31,Fläche!E40)</f>
        <v>14.182500000000001</v>
      </c>
      <c r="W18" s="2446"/>
      <c r="X18" s="2769"/>
      <c r="Y18" s="2448"/>
      <c r="Z18" s="2448"/>
      <c r="AA18" s="2456"/>
    </row>
    <row r="19" spans="2:27" ht="14.1" customHeight="1">
      <c r="B19" s="1339"/>
      <c r="C19" s="674" t="str">
        <f>Texte!A2653</f>
        <v xml:space="preserve">Brotweizen, Hartweizen, Futterweizen, Roggen, Dinkel, Hafer, Gerste, </v>
      </c>
      <c r="D19" s="674"/>
      <c r="E19" s="674"/>
      <c r="F19" s="674"/>
      <c r="G19" s="674"/>
      <c r="H19" s="674"/>
      <c r="I19" s="674"/>
      <c r="J19" s="1706"/>
      <c r="K19" s="674"/>
      <c r="L19" s="674"/>
      <c r="M19" s="674"/>
      <c r="N19" s="674"/>
      <c r="O19" s="2269"/>
      <c r="P19" s="1362"/>
      <c r="Q19" s="2979"/>
      <c r="R19" s="675"/>
      <c r="S19" s="2979"/>
      <c r="T19" s="420"/>
      <c r="U19" s="679"/>
      <c r="V19" s="675"/>
      <c r="W19" s="2446"/>
      <c r="X19" s="2446"/>
      <c r="Y19" s="2448"/>
      <c r="Z19" s="2448"/>
      <c r="AA19" s="2456"/>
    </row>
    <row r="20" spans="2:27" ht="14.1" customHeight="1">
      <c r="B20" s="1339"/>
      <c r="C20" s="674" t="str">
        <f>Texte!A2654</f>
        <v>Triticale, Trockenreis, Emmer und Einkorn sowie Mischungen dieser Getreide-</v>
      </c>
      <c r="D20" s="674"/>
      <c r="E20" s="674"/>
      <c r="F20" s="674"/>
      <c r="G20" s="674"/>
      <c r="H20" s="674"/>
      <c r="I20" s="674"/>
      <c r="J20" s="1706"/>
      <c r="K20" s="674"/>
      <c r="L20" s="674"/>
      <c r="M20" s="674"/>
      <c r="N20" s="674"/>
      <c r="O20" s="2269"/>
      <c r="P20" s="1362"/>
      <c r="Q20" s="2979"/>
      <c r="R20" s="675"/>
      <c r="S20" s="2979"/>
      <c r="T20" s="420"/>
      <c r="U20" s="679"/>
      <c r="V20" s="675"/>
      <c r="W20" s="2446"/>
      <c r="X20" s="2446"/>
      <c r="Y20" s="2448"/>
      <c r="Z20" s="2448"/>
      <c r="AA20" s="2456"/>
    </row>
    <row r="21" spans="2:27" ht="14.1" customHeight="1">
      <c r="B21" s="1339"/>
      <c r="C21" s="674" t="str">
        <f>Texte!A2655</f>
        <v>arten, Lein, Sonnenblumen, Erbsen zur Körnergewinnung, Bohnen zur Körner-</v>
      </c>
      <c r="D21" s="674"/>
      <c r="E21" s="674"/>
      <c r="F21" s="674"/>
      <c r="G21" s="674"/>
      <c r="H21" s="674"/>
      <c r="I21" s="674"/>
      <c r="J21" s="1706"/>
      <c r="K21" s="674"/>
      <c r="L21" s="674"/>
      <c r="M21" s="674"/>
      <c r="N21" s="674"/>
      <c r="O21" s="2269"/>
      <c r="P21" s="1362"/>
      <c r="Q21" s="2979"/>
      <c r="R21" s="675"/>
      <c r="S21" s="2979"/>
      <c r="T21" s="420"/>
      <c r="U21" s="679"/>
      <c r="V21" s="675"/>
      <c r="W21" s="2446"/>
      <c r="X21" s="2446"/>
      <c r="Y21" s="2448"/>
      <c r="Z21" s="2448"/>
      <c r="AA21" s="2456"/>
    </row>
    <row r="22" spans="2:27" ht="14.1" customHeight="1">
      <c r="B22" s="1339"/>
      <c r="C22" s="674" t="str">
        <f>Texte!A2656</f>
        <v>gewinnung, Lupinen, Mischungen von Erbsen zur Körnergewinnung, Bohnen</v>
      </c>
      <c r="D22" s="674"/>
      <c r="E22" s="674"/>
      <c r="F22" s="674"/>
      <c r="G22" s="674"/>
      <c r="H22" s="674"/>
      <c r="I22" s="674"/>
      <c r="J22" s="1706"/>
      <c r="K22" s="674"/>
      <c r="L22" s="674"/>
      <c r="M22" s="674"/>
      <c r="N22" s="674"/>
      <c r="O22" s="2269"/>
      <c r="P22" s="1362"/>
      <c r="Q22" s="2979"/>
      <c r="R22" s="675"/>
      <c r="S22" s="2979"/>
      <c r="T22" s="420"/>
      <c r="U22" s="679"/>
      <c r="V22" s="675"/>
      <c r="W22" s="2446"/>
      <c r="X22" s="2446"/>
      <c r="Y22" s="2448"/>
      <c r="Z22" s="2448"/>
      <c r="AA22" s="2456"/>
    </row>
    <row r="23" spans="2:27" ht="18" customHeight="1">
      <c r="B23" s="1339"/>
      <c r="C23" s="674" t="str">
        <f>Texte!A2657</f>
        <v>zur Körnergewinnung oder Lupinen mit Getreide</v>
      </c>
      <c r="D23" s="674"/>
      <c r="E23" s="674"/>
      <c r="F23" s="674"/>
      <c r="G23" s="674"/>
      <c r="H23" s="674"/>
      <c r="I23" s="674"/>
      <c r="J23" s="1706"/>
      <c r="K23" s="2770">
        <v>400</v>
      </c>
      <c r="L23" s="1362" t="s">
        <v>1045</v>
      </c>
      <c r="M23" s="2439">
        <f>V23</f>
        <v>12.602600000000001</v>
      </c>
      <c r="N23" s="1362" t="s">
        <v>4983</v>
      </c>
      <c r="O23" s="2980">
        <f>K23*M23</f>
        <v>5041.04</v>
      </c>
      <c r="P23" s="1362"/>
      <c r="Q23" s="2979"/>
      <c r="R23" s="675"/>
      <c r="S23" s="2979"/>
      <c r="T23" s="420"/>
      <c r="U23" s="679"/>
      <c r="V23" s="2966">
        <f>SUM(Fläche!E10:E22,Fläche!E32:E37)</f>
        <v>12.602600000000001</v>
      </c>
      <c r="W23" s="2446"/>
      <c r="X23" s="2769"/>
      <c r="Y23" s="2448"/>
      <c r="Z23" s="2448"/>
      <c r="AA23" s="2456"/>
    </row>
    <row r="24" spans="2:27" ht="14.1" customHeight="1">
      <c r="B24" s="1339"/>
      <c r="C24" s="674"/>
      <c r="D24" s="674"/>
      <c r="E24" s="674"/>
      <c r="F24" s="674"/>
      <c r="G24" s="674"/>
      <c r="H24" s="674"/>
      <c r="I24" s="674"/>
      <c r="J24" s="1706"/>
      <c r="K24" s="674"/>
      <c r="L24" s="674"/>
      <c r="M24" s="674"/>
      <c r="N24" s="674"/>
      <c r="O24" s="2269"/>
      <c r="P24" s="1362"/>
      <c r="Q24" s="2979"/>
      <c r="R24" s="675"/>
      <c r="S24" s="2979"/>
      <c r="T24" s="420"/>
      <c r="U24" s="679"/>
      <c r="V24" s="675"/>
      <c r="W24" s="2446"/>
      <c r="X24" s="2446"/>
      <c r="Y24" s="2448"/>
      <c r="Z24" s="2448"/>
      <c r="AA24" s="2456"/>
    </row>
    <row r="25" spans="2:27" ht="14.1" customHeight="1">
      <c r="B25" s="1339" t="str">
        <f>Texte!A2659</f>
        <v xml:space="preserve">Verzicht auf Insektizide und Akarizide </v>
      </c>
      <c r="C25" s="674"/>
      <c r="D25" s="674"/>
      <c r="E25" s="674"/>
      <c r="F25" s="674"/>
      <c r="G25" s="674"/>
      <c r="H25" s="674"/>
      <c r="I25" s="674"/>
      <c r="J25" s="1706"/>
      <c r="K25" s="674"/>
      <c r="L25" s="674"/>
      <c r="M25" s="674"/>
      <c r="N25" s="674"/>
      <c r="O25" s="2269"/>
      <c r="P25" s="1362"/>
      <c r="Q25" s="2979"/>
      <c r="R25" s="675"/>
      <c r="S25" s="2979"/>
      <c r="T25" s="420"/>
      <c r="U25" s="679"/>
      <c r="V25" s="675"/>
      <c r="W25" s="2446"/>
      <c r="X25" s="2446"/>
      <c r="Y25" s="2448"/>
      <c r="Z25" s="2448"/>
      <c r="AA25" s="2456"/>
    </row>
    <row r="26" spans="2:27" ht="14.1" customHeight="1">
      <c r="B26" s="1339"/>
      <c r="C26" s="2454" t="str">
        <f>Texte!A2660</f>
        <v>im Gemüse- und Beerenanbau</v>
      </c>
      <c r="D26" s="674"/>
      <c r="E26" s="674"/>
      <c r="F26" s="674"/>
      <c r="G26" s="674"/>
      <c r="H26" s="674"/>
      <c r="I26" s="674"/>
      <c r="J26" s="1706"/>
      <c r="K26" s="674"/>
      <c r="L26" s="674"/>
      <c r="M26" s="674"/>
      <c r="N26" s="674"/>
      <c r="O26" s="2269"/>
      <c r="P26" s="1362"/>
      <c r="Q26" s="2979"/>
      <c r="R26" s="675"/>
      <c r="S26" s="2979"/>
      <c r="T26" s="420"/>
      <c r="U26" s="679"/>
      <c r="V26" s="675"/>
      <c r="W26" s="2446"/>
      <c r="X26" s="2446"/>
      <c r="Y26" s="2448"/>
      <c r="Z26" s="2448"/>
      <c r="AA26" s="2456"/>
    </row>
    <row r="27" spans="2:27" ht="18" customHeight="1">
      <c r="B27" s="1339"/>
      <c r="C27" s="674" t="str">
        <f>Texte!A2661</f>
        <v>Einjährige Freilandgemüse und einjährige Beerenkulturen</v>
      </c>
      <c r="D27" s="674"/>
      <c r="E27" s="674"/>
      <c r="F27" s="674"/>
      <c r="G27" s="674"/>
      <c r="H27" s="674"/>
      <c r="I27" s="674"/>
      <c r="J27" s="1706"/>
      <c r="K27" s="2770">
        <v>1000</v>
      </c>
      <c r="L27" s="1362" t="s">
        <v>1045</v>
      </c>
      <c r="M27" s="2439">
        <f>V27</f>
        <v>44.225499999999997</v>
      </c>
      <c r="N27" s="1362" t="s">
        <v>4983</v>
      </c>
      <c r="O27" s="2980">
        <f>K27*M27</f>
        <v>44225.5</v>
      </c>
      <c r="P27" s="1362"/>
      <c r="Q27" s="2979"/>
      <c r="R27" s="675"/>
      <c r="S27" s="2979"/>
      <c r="T27" s="420"/>
      <c r="U27" s="679"/>
      <c r="V27" s="2966">
        <f>SUM(Fläche!E39,Fläche!E41)</f>
        <v>44.225499999999997</v>
      </c>
      <c r="W27" s="2446"/>
      <c r="X27" s="2769"/>
      <c r="Y27" s="2448"/>
      <c r="Z27" s="2448"/>
      <c r="AA27" s="2456"/>
    </row>
    <row r="28" spans="2:27" s="679" customFormat="1" ht="17.100000000000001" customHeight="1">
      <c r="B28" s="684"/>
      <c r="C28" s="675"/>
      <c r="D28" s="675"/>
      <c r="E28" s="675"/>
      <c r="F28" s="675"/>
      <c r="G28" s="675"/>
      <c r="H28" s="675"/>
      <c r="I28" s="675"/>
      <c r="J28" s="675"/>
      <c r="K28" s="675"/>
      <c r="L28" s="675"/>
      <c r="M28" s="2440"/>
      <c r="N28" s="675"/>
      <c r="O28" s="2981"/>
      <c r="P28" s="1362"/>
      <c r="Q28" s="2981"/>
      <c r="R28" s="2440"/>
      <c r="S28" s="2985"/>
      <c r="T28" s="420"/>
      <c r="V28" s="1699"/>
      <c r="W28" s="2446"/>
      <c r="X28" s="2446"/>
      <c r="Y28" s="2451"/>
      <c r="Z28" s="2451"/>
      <c r="AA28" s="2458"/>
    </row>
    <row r="29" spans="2:27" ht="14.1" customHeight="1">
      <c r="B29" s="1339" t="str">
        <f>Texte!A2662</f>
        <v xml:space="preserve">Verzicht auf Insektizide, Akarizide und Fungizide </v>
      </c>
      <c r="C29" s="674"/>
      <c r="D29" s="674"/>
      <c r="E29" s="674"/>
      <c r="F29" s="674"/>
      <c r="G29" s="674"/>
      <c r="H29" s="674"/>
      <c r="I29" s="674"/>
      <c r="J29" s="1706"/>
      <c r="K29" s="674"/>
      <c r="L29" s="674"/>
      <c r="M29" s="674"/>
      <c r="N29" s="674"/>
      <c r="O29" s="2269"/>
      <c r="P29" s="1362"/>
      <c r="Q29" s="2979"/>
      <c r="R29" s="675"/>
      <c r="S29" s="2979"/>
      <c r="T29" s="420"/>
      <c r="U29" s="679"/>
      <c r="V29" s="675"/>
      <c r="W29" s="2446"/>
      <c r="X29" s="2446"/>
      <c r="Y29" s="2448"/>
      <c r="Z29" s="2448"/>
      <c r="AA29" s="2456"/>
    </row>
    <row r="30" spans="2:27" ht="14.1" customHeight="1">
      <c r="B30" s="1339"/>
      <c r="C30" s="2454" t="str">
        <f>Texte!A2663</f>
        <v>nach der Blüte bei Dauerkulturen</v>
      </c>
      <c r="D30" s="674"/>
      <c r="E30" s="674"/>
      <c r="F30" s="674"/>
      <c r="G30" s="674"/>
      <c r="H30" s="674"/>
      <c r="I30" s="674"/>
      <c r="J30" s="1706"/>
      <c r="K30" s="674"/>
      <c r="L30" s="674"/>
      <c r="M30" s="674"/>
      <c r="N30" s="674"/>
      <c r="O30" s="2269"/>
      <c r="P30" s="1362"/>
      <c r="Q30" s="2979"/>
      <c r="R30" s="675"/>
      <c r="S30" s="2979"/>
      <c r="T30" s="420"/>
      <c r="U30" s="679"/>
      <c r="V30" s="675"/>
      <c r="W30" s="2446"/>
      <c r="X30" s="2446"/>
      <c r="Y30" s="2448"/>
      <c r="Z30" s="2448"/>
      <c r="AA30" s="2456"/>
    </row>
    <row r="31" spans="2:27" ht="12.2" customHeight="1">
      <c r="B31" s="1339"/>
      <c r="C31" s="1706" t="str">
        <f>Texte!A2664</f>
        <v xml:space="preserve">Obstbau für Obstanlagen nach Artikel 22 Absatz 2 LBV, Rebbau, </v>
      </c>
      <c r="D31" s="674"/>
      <c r="E31" s="674"/>
      <c r="F31" s="674"/>
      <c r="G31" s="674"/>
      <c r="H31" s="674"/>
      <c r="I31" s="674"/>
      <c r="J31" s="1706"/>
      <c r="K31" s="674"/>
      <c r="L31" s="674"/>
      <c r="M31" s="674"/>
      <c r="N31" s="674"/>
      <c r="O31" s="2269"/>
      <c r="P31" s="1362"/>
      <c r="Q31" s="2979"/>
      <c r="R31" s="675"/>
      <c r="S31" s="2979"/>
      <c r="T31" s="420"/>
      <c r="U31" s="679"/>
      <c r="V31" s="675"/>
      <c r="W31" s="2446"/>
      <c r="X31" s="2446"/>
      <c r="Y31" s="2448"/>
      <c r="Z31" s="2448"/>
      <c r="AA31" s="2456"/>
    </row>
    <row r="32" spans="2:27" ht="18" customHeight="1">
      <c r="B32" s="1339"/>
      <c r="C32" s="674" t="str">
        <f>Texte!A2665</f>
        <v>Beerenanbau</v>
      </c>
      <c r="D32" s="674"/>
      <c r="E32" s="674"/>
      <c r="F32" s="674"/>
      <c r="G32" s="674"/>
      <c r="H32" s="674"/>
      <c r="I32" s="674"/>
      <c r="J32" s="1706"/>
      <c r="K32" s="2770">
        <v>1100</v>
      </c>
      <c r="L32" s="1362" t="s">
        <v>1045</v>
      </c>
      <c r="M32" s="2439">
        <f>V32</f>
        <v>0</v>
      </c>
      <c r="N32" s="1362" t="s">
        <v>4983</v>
      </c>
      <c r="O32" s="2980">
        <f>K32*M32</f>
        <v>0</v>
      </c>
      <c r="P32" s="1362"/>
      <c r="Q32" s="2979"/>
      <c r="R32" s="675"/>
      <c r="S32" s="2979"/>
      <c r="T32" s="420"/>
      <c r="U32" s="679"/>
      <c r="V32" s="2966">
        <f>SUM(Fläche!$E$60,Fläche!$E$58,Fläche!$E$63)</f>
        <v>0</v>
      </c>
      <c r="W32" s="2446"/>
      <c r="X32" s="2769"/>
      <c r="Y32" s="2448"/>
      <c r="Z32" s="2448"/>
      <c r="AA32" s="2456"/>
    </row>
    <row r="33" spans="2:27" s="679" customFormat="1" ht="17.100000000000001" customHeight="1">
      <c r="B33" s="684"/>
      <c r="C33" s="675"/>
      <c r="D33" s="675"/>
      <c r="E33" s="675"/>
      <c r="F33" s="675"/>
      <c r="G33" s="675"/>
      <c r="H33" s="675"/>
      <c r="I33" s="675"/>
      <c r="J33" s="675"/>
      <c r="K33" s="675"/>
      <c r="L33" s="675"/>
      <c r="M33" s="2440"/>
      <c r="N33" s="675"/>
      <c r="O33" s="2981"/>
      <c r="P33" s="1362"/>
      <c r="Q33" s="2981"/>
      <c r="R33" s="2440"/>
      <c r="S33" s="2985"/>
      <c r="T33" s="420"/>
      <c r="V33" s="1699"/>
      <c r="W33" s="2446"/>
      <c r="X33" s="2446"/>
      <c r="Y33" s="2451"/>
      <c r="Z33" s="2451"/>
      <c r="AA33" s="2458"/>
    </row>
    <row r="34" spans="2:27" ht="14.1" customHeight="1">
      <c r="B34" s="1339" t="str">
        <f>Texte!A2666</f>
        <v xml:space="preserve">Bewirtschaftung von Flächen mit Dauerkulturen mit Hilfs-  </v>
      </c>
      <c r="C34" s="674"/>
      <c r="D34" s="674"/>
      <c r="E34" s="674"/>
      <c r="F34" s="674"/>
      <c r="G34" s="674"/>
      <c r="H34" s="674"/>
      <c r="I34" s="674"/>
      <c r="J34" s="1706"/>
      <c r="K34" s="674"/>
      <c r="L34" s="674"/>
      <c r="M34" s="674"/>
      <c r="N34" s="674"/>
      <c r="O34" s="2269"/>
      <c r="P34" s="1362"/>
      <c r="Q34" s="2979"/>
      <c r="R34" s="675"/>
      <c r="S34" s="2979"/>
      <c r="T34" s="420"/>
      <c r="U34" s="679"/>
      <c r="V34" s="675"/>
      <c r="W34" s="2446"/>
      <c r="X34" s="2446"/>
      <c r="Y34" s="2448"/>
      <c r="Z34" s="2448"/>
      <c r="AA34" s="2456"/>
    </row>
    <row r="35" spans="2:27" ht="14.1" customHeight="1">
      <c r="B35" s="1339"/>
      <c r="C35" s="2454" t="str">
        <f>Texte!A2667</f>
        <v>mitteln entsprechend der biologischen Landwirtschaft</v>
      </c>
      <c r="D35" s="674"/>
      <c r="E35" s="674"/>
      <c r="F35" s="674"/>
      <c r="G35" s="674"/>
      <c r="H35" s="674"/>
      <c r="I35" s="674"/>
      <c r="J35" s="1706"/>
      <c r="K35" s="674"/>
      <c r="L35" s="674"/>
      <c r="M35" s="674"/>
      <c r="N35" s="674"/>
      <c r="O35" s="2269"/>
      <c r="P35" s="1362"/>
      <c r="Q35" s="2979"/>
      <c r="R35" s="675"/>
      <c r="S35" s="2979"/>
      <c r="T35" s="420"/>
      <c r="U35" s="679"/>
      <c r="V35" s="675"/>
      <c r="W35" s="2446"/>
      <c r="X35" s="2446"/>
      <c r="Y35" s="2448"/>
      <c r="Z35" s="2448"/>
      <c r="AA35" s="2456"/>
    </row>
    <row r="36" spans="2:27" ht="12.2" customHeight="1">
      <c r="B36" s="1339"/>
      <c r="C36" s="674" t="str">
        <f>Texte!A2668</f>
        <v xml:space="preserve">Obstbau für Obstanlagen nach Artikel 22 Absatz 2 LBV, Rebbau, </v>
      </c>
      <c r="D36" s="674"/>
      <c r="E36" s="674"/>
      <c r="F36" s="674"/>
      <c r="G36" s="674"/>
      <c r="H36" s="674"/>
      <c r="I36" s="674"/>
      <c r="J36" s="1706"/>
      <c r="K36" s="674"/>
      <c r="L36" s="674"/>
      <c r="M36" s="674"/>
      <c r="N36" s="674"/>
      <c r="O36" s="2269"/>
      <c r="P36" s="1362"/>
      <c r="Q36" s="2979"/>
      <c r="R36" s="675"/>
      <c r="S36" s="2979"/>
      <c r="T36" s="420"/>
      <c r="U36" s="679"/>
      <c r="V36" s="675"/>
      <c r="W36" s="2446"/>
      <c r="X36" s="2446"/>
      <c r="Y36" s="2448"/>
      <c r="Z36" s="2448"/>
      <c r="AA36" s="2456"/>
    </row>
    <row r="37" spans="2:27" ht="18" customHeight="1">
      <c r="B37" s="1339"/>
      <c r="C37" s="674" t="str">
        <f>Texte!A2669</f>
        <v>Beerenanbau, Permakultur</v>
      </c>
      <c r="D37" s="674"/>
      <c r="E37" s="674"/>
      <c r="F37" s="674"/>
      <c r="G37" s="674"/>
      <c r="H37" s="674"/>
      <c r="I37" s="674"/>
      <c r="J37" s="1706"/>
      <c r="K37" s="2770">
        <v>1600</v>
      </c>
      <c r="L37" s="1362" t="s">
        <v>1045</v>
      </c>
      <c r="M37" s="2439">
        <f>V37</f>
        <v>0</v>
      </c>
      <c r="N37" s="1362" t="s">
        <v>4983</v>
      </c>
      <c r="O37" s="2980">
        <f>K37*M37</f>
        <v>0</v>
      </c>
      <c r="P37" s="1362"/>
      <c r="Q37" s="2979"/>
      <c r="R37" s="675"/>
      <c r="S37" s="2979"/>
      <c r="T37" s="420"/>
      <c r="U37" s="679"/>
      <c r="V37" s="2966">
        <f>SUM(Fläche!$E$58,Fläche!$E$60,Fläche!$E$63,Fläche!$E$68)</f>
        <v>0</v>
      </c>
      <c r="W37" s="2446"/>
      <c r="X37" s="2769"/>
      <c r="Y37" s="2448"/>
      <c r="Z37" s="2448"/>
      <c r="AA37" s="2456"/>
    </row>
    <row r="38" spans="2:27" s="679" customFormat="1" ht="17.100000000000001" customHeight="1">
      <c r="B38" s="684"/>
      <c r="C38" s="675"/>
      <c r="D38" s="675"/>
      <c r="E38" s="675"/>
      <c r="F38" s="675"/>
      <c r="G38" s="675"/>
      <c r="H38" s="675"/>
      <c r="I38" s="675"/>
      <c r="J38" s="675"/>
      <c r="K38" s="675"/>
      <c r="L38" s="675"/>
      <c r="M38" s="2440"/>
      <c r="N38" s="675"/>
      <c r="O38" s="2981"/>
      <c r="P38" s="1362"/>
      <c r="Q38" s="2981"/>
      <c r="R38" s="2440"/>
      <c r="S38" s="2985"/>
      <c r="T38" s="420"/>
      <c r="V38" s="1699"/>
      <c r="W38" s="2446"/>
      <c r="X38" s="2446"/>
      <c r="Y38" s="2451"/>
      <c r="Z38" s="2451"/>
      <c r="AA38" s="2458"/>
    </row>
    <row r="39" spans="2:27" ht="14.1" customHeight="1">
      <c r="B39" s="1339" t="str">
        <f>Texte!A2670</f>
        <v xml:space="preserve">Verzicht auf Herbizide im Ackerbau </v>
      </c>
      <c r="C39" s="674"/>
      <c r="D39" s="674"/>
      <c r="E39" s="674"/>
      <c r="F39" s="674"/>
      <c r="G39" s="674"/>
      <c r="H39" s="674"/>
      <c r="I39" s="674"/>
      <c r="J39" s="1706"/>
      <c r="K39" s="674"/>
      <c r="L39" s="674"/>
      <c r="M39" s="674"/>
      <c r="N39" s="674"/>
      <c r="O39" s="2269"/>
      <c r="P39" s="1362"/>
      <c r="Q39" s="2979"/>
      <c r="R39" s="675"/>
      <c r="S39" s="2979"/>
      <c r="T39" s="420"/>
      <c r="U39" s="679"/>
      <c r="V39" s="675"/>
      <c r="W39" s="2446"/>
      <c r="X39" s="2446"/>
      <c r="Y39" s="2448"/>
      <c r="Z39" s="2448"/>
      <c r="AA39" s="2456"/>
    </row>
    <row r="40" spans="2:27" ht="14.1" customHeight="1">
      <c r="B40" s="1339"/>
      <c r="C40" s="2454" t="str">
        <f>Texte!A2671</f>
        <v>und in Spezialkulturen</v>
      </c>
      <c r="D40" s="674"/>
      <c r="E40" s="674"/>
      <c r="F40" s="674"/>
      <c r="G40" s="674"/>
      <c r="H40" s="674"/>
      <c r="I40" s="674"/>
      <c r="J40" s="1706"/>
      <c r="K40" s="674"/>
      <c r="L40" s="674"/>
      <c r="M40" s="674"/>
      <c r="N40" s="674"/>
      <c r="O40" s="2269"/>
      <c r="P40" s="1362"/>
      <c r="Q40" s="2979"/>
      <c r="R40" s="675"/>
      <c r="S40" s="2979"/>
      <c r="T40" s="420"/>
      <c r="U40" s="679"/>
      <c r="V40" s="675"/>
      <c r="W40" s="2446"/>
      <c r="X40" s="2446"/>
      <c r="Y40" s="2448"/>
      <c r="Z40" s="2448"/>
      <c r="AA40" s="2456"/>
    </row>
    <row r="41" spans="2:27" ht="5.0999999999999996" customHeight="1">
      <c r="B41" s="1339"/>
      <c r="C41" s="1706"/>
      <c r="D41" s="674"/>
      <c r="E41" s="674"/>
      <c r="F41" s="674"/>
      <c r="G41" s="674"/>
      <c r="H41" s="674"/>
      <c r="I41" s="674"/>
      <c r="J41" s="1706"/>
      <c r="K41" s="674"/>
      <c r="L41" s="674"/>
      <c r="M41" s="674"/>
      <c r="N41" s="674"/>
      <c r="O41" s="2269"/>
      <c r="P41" s="1362"/>
      <c r="Q41" s="2979"/>
      <c r="R41" s="675"/>
      <c r="S41" s="2979"/>
      <c r="T41" s="420"/>
      <c r="U41" s="679"/>
      <c r="V41" s="675"/>
      <c r="W41" s="2446"/>
      <c r="X41" s="2446"/>
      <c r="Y41" s="2448"/>
      <c r="Z41" s="2448"/>
      <c r="AA41" s="2456"/>
    </row>
    <row r="42" spans="2:27" ht="18" customHeight="1">
      <c r="B42" s="1339"/>
      <c r="C42" s="674" t="str">
        <f>Texte!A2672</f>
        <v>Raps, Kartoffeln und Freiland-Konservengemüse</v>
      </c>
      <c r="D42" s="674"/>
      <c r="E42" s="674"/>
      <c r="F42" s="674"/>
      <c r="G42" s="674"/>
      <c r="H42" s="674"/>
      <c r="I42" s="674"/>
      <c r="J42" s="1706"/>
      <c r="K42" s="2770">
        <v>600</v>
      </c>
      <c r="L42" s="1362" t="s">
        <v>1045</v>
      </c>
      <c r="M42" s="2439">
        <f>V42</f>
        <v>14.182500000000001</v>
      </c>
      <c r="N42" s="1362" t="s">
        <v>4983</v>
      </c>
      <c r="O42" s="2980">
        <f>K42*M42</f>
        <v>8509.5</v>
      </c>
      <c r="P42" s="1362"/>
      <c r="Q42" s="2979"/>
      <c r="R42" s="675"/>
      <c r="S42" s="2979"/>
      <c r="T42" s="420"/>
      <c r="U42" s="679"/>
      <c r="V42" s="3052">
        <f>SUM(Fläche!Kartoffeln,Fläche!E26:E27,Fläche!E40)</f>
        <v>14.182500000000001</v>
      </c>
      <c r="W42" s="2446"/>
      <c r="X42" s="2446"/>
      <c r="Y42" s="2448"/>
      <c r="Z42" s="2448"/>
      <c r="AA42" s="2456"/>
    </row>
    <row r="43" spans="2:27" ht="18" customHeight="1">
      <c r="B43" s="1339"/>
      <c r="C43" s="674" t="str">
        <f>Texte!A2673</f>
        <v>Spezialkulturen ohne Tabak und ohne Wurzel der Treibzichorie</v>
      </c>
      <c r="D43" s="674"/>
      <c r="E43" s="674"/>
      <c r="F43" s="674"/>
      <c r="G43" s="674"/>
      <c r="H43" s="674"/>
      <c r="I43" s="674"/>
      <c r="J43" s="1706"/>
      <c r="K43" s="2770">
        <v>1000</v>
      </c>
      <c r="L43" s="1362" t="s">
        <v>1045</v>
      </c>
      <c r="M43" s="2439">
        <f>V43</f>
        <v>44.734499999999997</v>
      </c>
      <c r="N43" s="1362" t="s">
        <v>4983</v>
      </c>
      <c r="O43" s="2980">
        <f>K43*M43</f>
        <v>44734.5</v>
      </c>
      <c r="P43" s="1362"/>
      <c r="Q43" s="2979"/>
      <c r="R43" s="675"/>
      <c r="S43" s="2979"/>
      <c r="T43" s="420"/>
      <c r="U43" s="679"/>
      <c r="V43" s="2966">
        <f>SUM(Fläche!Spezialkulturen_oT)</f>
        <v>44.734499999999997</v>
      </c>
      <c r="W43" s="2446"/>
      <c r="X43" s="2446"/>
      <c r="Y43" s="2448"/>
      <c r="Z43" s="2448"/>
      <c r="AA43" s="2456"/>
    </row>
    <row r="44" spans="2:27" ht="18" customHeight="1">
      <c r="B44" s="1339"/>
      <c r="C44" s="674" t="str">
        <f>Texte!A2674</f>
        <v>Hauptkulturen der übrigen Ackerfläche</v>
      </c>
      <c r="D44" s="674"/>
      <c r="E44" s="674"/>
      <c r="F44" s="674"/>
      <c r="G44" s="674"/>
      <c r="H44" s="674"/>
      <c r="I44" s="674"/>
      <c r="J44" s="1706"/>
      <c r="K44" s="2770">
        <v>250</v>
      </c>
      <c r="L44" s="1362" t="s">
        <v>1045</v>
      </c>
      <c r="M44" s="2439">
        <f>V44</f>
        <v>16.223699999999997</v>
      </c>
      <c r="N44" s="1362" t="s">
        <v>4983</v>
      </c>
      <c r="O44" s="2980">
        <f>K44*M44</f>
        <v>4055.9249999999993</v>
      </c>
      <c r="P44" s="1362"/>
      <c r="Q44" s="2979"/>
      <c r="R44" s="675"/>
      <c r="S44" s="2979"/>
      <c r="T44" s="420"/>
      <c r="U44" s="679"/>
      <c r="V44" s="2966">
        <f>SUM(Fläche!G, Fläche!MHF, Fläche!E39:E51, Fläche!E58:E64, Fläche!E68, Fläche!FHF, -M43,  -M42 )</f>
        <v>16.223699999999997</v>
      </c>
      <c r="W44" s="2446"/>
      <c r="X44" s="2446"/>
      <c r="Y44" s="2448"/>
      <c r="Z44" s="2448"/>
      <c r="AA44" s="2456"/>
    </row>
    <row r="45" spans="2:27" ht="14.1" customHeight="1">
      <c r="B45" s="1339"/>
      <c r="C45" s="674"/>
      <c r="D45" s="674"/>
      <c r="E45" s="674"/>
      <c r="F45" s="674"/>
      <c r="G45" s="674"/>
      <c r="H45" s="674"/>
      <c r="I45" s="674"/>
      <c r="J45" s="1706"/>
      <c r="K45" s="674"/>
      <c r="L45" s="674"/>
      <c r="M45" s="674"/>
      <c r="N45" s="674"/>
      <c r="O45" s="2269"/>
      <c r="P45" s="1362"/>
      <c r="Q45" s="2979"/>
      <c r="R45" s="675"/>
      <c r="S45" s="2979"/>
      <c r="T45" s="420"/>
      <c r="U45" s="679"/>
      <c r="V45" s="675"/>
      <c r="W45" s="2446"/>
      <c r="X45" s="2446"/>
      <c r="Y45" s="2448"/>
      <c r="Z45" s="2448"/>
      <c r="AA45" s="2456"/>
    </row>
    <row r="46" spans="2:27" s="679" customFormat="1" ht="17.100000000000001" customHeight="1">
      <c r="B46" s="684"/>
      <c r="C46" s="675"/>
      <c r="D46" s="675"/>
      <c r="E46" s="675"/>
      <c r="F46" s="675"/>
      <c r="G46" s="675"/>
      <c r="H46" s="675"/>
      <c r="I46" s="675"/>
      <c r="J46" s="675"/>
      <c r="K46" s="675"/>
      <c r="L46" s="675"/>
      <c r="M46" s="2440"/>
      <c r="N46" s="675"/>
      <c r="O46" s="2981"/>
      <c r="P46" s="1362"/>
      <c r="Q46" s="2981"/>
      <c r="R46" s="2440"/>
      <c r="S46" s="2985"/>
      <c r="T46" s="420"/>
      <c r="V46" s="1699"/>
      <c r="W46" s="2446"/>
      <c r="X46" s="2446"/>
      <c r="Y46" s="2451"/>
      <c r="Z46" s="2451"/>
      <c r="AA46" s="2458"/>
    </row>
    <row r="47" spans="2:27" ht="14.1" customHeight="1">
      <c r="B47" s="1339" t="str">
        <f xml:space="preserve"> Texte!A2710&amp; " - " &amp; Texte!A2675</f>
        <v>Funktionale Biodiversität - Nützlingsstreifen</v>
      </c>
      <c r="C47" s="674"/>
      <c r="D47" s="674"/>
      <c r="E47" s="674"/>
      <c r="F47" s="674"/>
      <c r="G47" s="674"/>
      <c r="H47" s="674"/>
      <c r="I47" s="674"/>
      <c r="J47" s="1706"/>
      <c r="K47" s="674"/>
      <c r="L47" s="674"/>
      <c r="M47" s="674"/>
      <c r="N47" s="674"/>
      <c r="O47" s="2269"/>
      <c r="P47" s="1362"/>
      <c r="Q47" s="2979"/>
      <c r="R47" s="675"/>
      <c r="S47" s="2979"/>
      <c r="T47" s="420"/>
      <c r="U47" s="679"/>
      <c r="V47" s="675"/>
      <c r="W47" s="2446"/>
      <c r="X47" s="2446"/>
      <c r="Y47" s="2448"/>
      <c r="Z47" s="2448"/>
      <c r="AA47" s="2456"/>
    </row>
    <row r="48" spans="2:27" ht="5.0999999999999996" customHeight="1">
      <c r="B48" s="1339"/>
      <c r="C48" s="1706"/>
      <c r="D48" s="674"/>
      <c r="E48" s="674"/>
      <c r="F48" s="674"/>
      <c r="G48" s="674"/>
      <c r="H48" s="674"/>
      <c r="I48" s="674"/>
      <c r="J48" s="1706"/>
      <c r="K48" s="674"/>
      <c r="L48" s="674"/>
      <c r="M48" s="674"/>
      <c r="N48" s="674"/>
      <c r="O48" s="2269"/>
      <c r="P48" s="1362"/>
      <c r="Q48" s="2979"/>
      <c r="R48" s="675"/>
      <c r="S48" s="2979"/>
      <c r="T48" s="420"/>
      <c r="U48" s="679"/>
      <c r="V48" s="675"/>
      <c r="W48" s="2446"/>
      <c r="X48" s="2446"/>
      <c r="Y48" s="2448"/>
      <c r="Z48" s="2448"/>
      <c r="AA48" s="2456"/>
    </row>
    <row r="49" spans="1:27" ht="18" customHeight="1">
      <c r="B49" s="1339"/>
      <c r="C49" s="674" t="str">
        <f>Texte!A2676</f>
        <v>Nützlingsstreifen (oAF)</v>
      </c>
      <c r="D49" s="674"/>
      <c r="E49" s="674"/>
      <c r="F49" s="674"/>
      <c r="G49" s="674"/>
      <c r="H49" s="674"/>
      <c r="I49" s="674"/>
      <c r="J49" s="1706"/>
      <c r="K49" s="2770">
        <v>3300</v>
      </c>
      <c r="L49" s="1362" t="s">
        <v>1045</v>
      </c>
      <c r="M49" s="2961">
        <f>V49</f>
        <v>0</v>
      </c>
      <c r="N49" s="1362" t="s">
        <v>4983</v>
      </c>
      <c r="O49" s="2980">
        <f>K49*M49</f>
        <v>0</v>
      </c>
      <c r="P49" s="1362"/>
      <c r="Q49" s="2979"/>
      <c r="R49" s="675"/>
      <c r="S49" s="2979"/>
      <c r="T49" s="420"/>
      <c r="U49" s="679"/>
      <c r="V49" s="2966">
        <f>Fläche!E56</f>
        <v>0</v>
      </c>
      <c r="W49" s="2446"/>
      <c r="X49" s="2446"/>
      <c r="Y49" s="2448"/>
      <c r="Z49" s="2448"/>
      <c r="AA49" s="2456"/>
    </row>
    <row r="50" spans="1:27" ht="18" customHeight="1">
      <c r="B50" s="1339"/>
      <c r="C50" s="674" t="str">
        <f>Texte!A2677</f>
        <v xml:space="preserve">Nützlingsstreifen (DK) </v>
      </c>
      <c r="D50" s="674"/>
      <c r="E50" s="674"/>
      <c r="F50" s="674"/>
      <c r="G50" s="674"/>
      <c r="H50" s="674"/>
      <c r="I50" s="674"/>
      <c r="J50" s="1706"/>
      <c r="K50" s="2770">
        <v>4000</v>
      </c>
      <c r="L50" s="1362" t="s">
        <v>1045</v>
      </c>
      <c r="M50" s="2439">
        <f>V50</f>
        <v>0</v>
      </c>
      <c r="N50" s="1362" t="s">
        <v>4983</v>
      </c>
      <c r="O50" s="2980">
        <f>K50*MIN(M50,V50)</f>
        <v>0</v>
      </c>
      <c r="P50" s="1362"/>
      <c r="Q50" s="2979"/>
      <c r="R50" s="675"/>
      <c r="S50" s="2979"/>
      <c r="T50" s="420"/>
      <c r="U50" s="679"/>
      <c r="V50" s="2966">
        <f>Kennz!G40</f>
        <v>0</v>
      </c>
      <c r="W50" s="2446"/>
      <c r="X50" s="2446"/>
      <c r="Y50" s="2448"/>
      <c r="Z50" s="2448"/>
      <c r="AA50" s="2456"/>
    </row>
    <row r="51" spans="1:27" s="679" customFormat="1" ht="18" customHeight="1">
      <c r="B51" s="684"/>
      <c r="C51" s="675"/>
      <c r="D51" s="675"/>
      <c r="E51" s="675"/>
      <c r="F51" s="675"/>
      <c r="G51" s="675"/>
      <c r="H51" s="675"/>
      <c r="I51" s="675"/>
      <c r="J51" s="675"/>
      <c r="K51" s="675"/>
      <c r="L51" s="675"/>
      <c r="M51" s="2440"/>
      <c r="N51" s="675"/>
      <c r="O51" s="2981"/>
      <c r="P51" s="1362"/>
      <c r="Q51" s="2981"/>
      <c r="R51" s="2440"/>
      <c r="S51" s="2985"/>
      <c r="T51" s="420"/>
      <c r="V51" s="1699"/>
      <c r="W51" s="2446"/>
      <c r="X51" s="2446"/>
      <c r="Y51" s="2451"/>
      <c r="Z51" s="2451"/>
      <c r="AA51" s="2458"/>
    </row>
    <row r="52" spans="1:27" ht="14.1" customHeight="1">
      <c r="B52" s="1339" t="str">
        <f>Texte!A2679</f>
        <v>Verbesserung der Bodenfruchtbarkeit</v>
      </c>
      <c r="C52" s="674"/>
      <c r="D52" s="674"/>
      <c r="E52" s="674"/>
      <c r="F52" s="674"/>
      <c r="G52" s="674"/>
      <c r="H52" s="674"/>
      <c r="I52" s="674"/>
      <c r="J52" s="1706"/>
      <c r="K52" s="674"/>
      <c r="L52" s="674"/>
      <c r="M52" s="674"/>
      <c r="N52" s="674"/>
      <c r="O52" s="2269"/>
      <c r="P52" s="1362"/>
      <c r="Q52" s="2979"/>
      <c r="R52" s="675"/>
      <c r="S52" s="2979"/>
      <c r="T52" s="420"/>
      <c r="U52" s="679"/>
      <c r="V52" s="675"/>
      <c r="W52" s="2446"/>
      <c r="X52" s="2446"/>
      <c r="Y52" s="2448"/>
      <c r="Z52" s="2448"/>
      <c r="AA52" s="2456"/>
    </row>
    <row r="53" spans="1:27" ht="5.0999999999999996" customHeight="1">
      <c r="B53" s="1339"/>
      <c r="C53" s="1706"/>
      <c r="D53" s="674"/>
      <c r="E53" s="674"/>
      <c r="F53" s="674"/>
      <c r="G53" s="674"/>
      <c r="H53" s="674"/>
      <c r="I53" s="674"/>
      <c r="J53" s="1706"/>
      <c r="K53" s="674"/>
      <c r="L53" s="674"/>
      <c r="M53" s="674"/>
      <c r="N53" s="674"/>
      <c r="O53" s="2269"/>
      <c r="P53" s="1362"/>
      <c r="Q53" s="2979"/>
      <c r="R53" s="675"/>
      <c r="S53" s="2979"/>
      <c r="T53" s="420"/>
      <c r="U53" s="679"/>
      <c r="V53" s="675"/>
      <c r="W53" s="2446"/>
      <c r="X53" s="2446"/>
      <c r="Y53" s="2448"/>
      <c r="Z53" s="2448"/>
      <c r="AA53" s="2456"/>
    </row>
    <row r="54" spans="1:27" ht="14.1" customHeight="1">
      <c r="B54" s="1339"/>
      <c r="C54" s="2454" t="str">
        <f>Texte!A2680</f>
        <v>Angemessene Bedeckung des Bodens</v>
      </c>
      <c r="D54" s="674"/>
      <c r="E54" s="674"/>
      <c r="F54" s="674"/>
      <c r="G54" s="674"/>
      <c r="H54" s="674"/>
      <c r="I54" s="674"/>
      <c r="J54" s="1706"/>
      <c r="K54" s="674"/>
      <c r="L54" s="674"/>
      <c r="M54" s="674"/>
      <c r="N54" s="674"/>
      <c r="O54" s="2269"/>
      <c r="P54" s="1362"/>
      <c r="Q54" s="2979"/>
      <c r="R54" s="675"/>
      <c r="S54" s="2979"/>
      <c r="T54" s="420"/>
      <c r="U54" s="679"/>
      <c r="V54" s="675"/>
      <c r="W54" s="2446"/>
      <c r="X54" s="2446"/>
      <c r="Y54" s="2448"/>
      <c r="Z54" s="2448"/>
      <c r="AA54" s="2456"/>
    </row>
    <row r="55" spans="1:27" ht="5.0999999999999996" customHeight="1">
      <c r="B55" s="1339"/>
      <c r="C55" s="1706"/>
      <c r="D55" s="674"/>
      <c r="E55" s="674"/>
      <c r="F55" s="674"/>
      <c r="G55" s="674"/>
      <c r="H55" s="674"/>
      <c r="I55" s="674"/>
      <c r="J55" s="1706"/>
      <c r="K55" s="674"/>
      <c r="L55" s="674"/>
      <c r="M55" s="674"/>
      <c r="N55" s="674"/>
      <c r="O55" s="2269"/>
      <c r="P55" s="1362"/>
      <c r="Q55" s="2979"/>
      <c r="R55" s="675"/>
      <c r="S55" s="2979"/>
      <c r="T55" s="420"/>
      <c r="U55" s="679"/>
      <c r="V55" s="675"/>
      <c r="W55" s="2446"/>
      <c r="X55" s="2446"/>
      <c r="Y55" s="2448"/>
      <c r="Z55" s="2448"/>
      <c r="AA55" s="2456"/>
    </row>
    <row r="56" spans="1:27" ht="12.2" customHeight="1">
      <c r="B56" s="1339"/>
      <c r="C56" s="1706" t="str">
        <f>Texte!A2681</f>
        <v xml:space="preserve">Hauptkulturen auf offener Ackerfläche mit Ausnahme von einjährigem </v>
      </c>
      <c r="D56" s="674"/>
      <c r="E56" s="674"/>
      <c r="F56" s="674"/>
      <c r="G56" s="674"/>
      <c r="H56" s="674"/>
      <c r="I56" s="674"/>
      <c r="J56" s="1706"/>
      <c r="K56" s="674"/>
      <c r="L56" s="674"/>
      <c r="M56" s="674"/>
      <c r="N56" s="674"/>
      <c r="O56" s="2269"/>
      <c r="P56" s="1362"/>
      <c r="Q56" s="2979"/>
      <c r="R56" s="675"/>
      <c r="S56" s="2979"/>
      <c r="T56" s="420"/>
      <c r="U56" s="679"/>
      <c r="V56" s="675"/>
      <c r="W56" s="2446"/>
      <c r="X56" s="2446"/>
      <c r="Y56" s="2448"/>
      <c r="Z56" s="2448"/>
      <c r="AA56" s="2456"/>
    </row>
    <row r="57" spans="1:27" ht="18" customHeight="1">
      <c r="B57" s="1339"/>
      <c r="C57" s="674" t="str">
        <f>Texte!A2682</f>
        <v>Freilandgemüse, Beerenkulturen sowie Gewürz-und Medizinalpflanzen</v>
      </c>
      <c r="D57" s="674"/>
      <c r="E57" s="674"/>
      <c r="F57" s="674"/>
      <c r="G57" s="674"/>
      <c r="H57" s="674"/>
      <c r="I57" s="674"/>
      <c r="J57" s="1706"/>
      <c r="K57" s="2770">
        <f>IF(Allg!Erntejahr&gt;2023,200,250)</f>
        <v>200</v>
      </c>
      <c r="L57" s="1362" t="s">
        <v>1045</v>
      </c>
      <c r="M57" s="2439">
        <f>V57</f>
        <v>72.572000000000003</v>
      </c>
      <c r="N57" s="1362" t="s">
        <v>4983</v>
      </c>
      <c r="O57" s="2980">
        <f>K57*M57</f>
        <v>14514.400000000001</v>
      </c>
      <c r="P57" s="1362"/>
      <c r="Q57" s="2979"/>
      <c r="R57" s="675"/>
      <c r="S57" s="2979"/>
      <c r="T57" s="420"/>
      <c r="U57" s="679"/>
      <c r="V57" s="2966">
        <f>SUM(Fläche!E9,Fläche!E25,Fläche!E39,Fläche!Gem-$M$59)</f>
        <v>72.572000000000003</v>
      </c>
      <c r="W57" s="2446"/>
      <c r="X57" s="2446"/>
      <c r="Y57" s="2448"/>
      <c r="Z57" s="2448"/>
      <c r="AA57" s="2456"/>
    </row>
    <row r="58" spans="1:27" ht="12.2" customHeight="1">
      <c r="B58" s="1339"/>
      <c r="C58" s="1706" t="str">
        <f>Texte!A2683</f>
        <v>Einjährige Freilandgemüse, Beerenkulturen, Gewürz- und Medizinalpflanzen</v>
      </c>
      <c r="D58" s="674"/>
      <c r="E58" s="674"/>
      <c r="F58" s="674"/>
      <c r="G58" s="674"/>
      <c r="H58" s="674"/>
      <c r="I58" s="674"/>
      <c r="J58" s="1706"/>
      <c r="K58" s="674"/>
      <c r="L58" s="674"/>
      <c r="M58" s="674"/>
      <c r="N58" s="674"/>
      <c r="O58" s="2269"/>
      <c r="P58" s="1362"/>
      <c r="Q58" s="2979"/>
      <c r="R58" s="675"/>
      <c r="S58" s="2979"/>
      <c r="T58" s="420"/>
      <c r="U58" s="679"/>
      <c r="V58" s="675"/>
      <c r="W58" s="2446"/>
      <c r="X58" s="2446"/>
      <c r="Y58" s="2448"/>
      <c r="Z58" s="2448"/>
      <c r="AA58" s="2456"/>
    </row>
    <row r="59" spans="1:27" ht="18" customHeight="1">
      <c r="B59" s="1339"/>
      <c r="C59" s="674" t="str">
        <f>Texte!A2684</f>
        <v>(oAF) mit Ausnahme von Freiland-Konservengemüse</v>
      </c>
      <c r="D59" s="674"/>
      <c r="E59" s="674"/>
      <c r="F59" s="674"/>
      <c r="G59" s="674"/>
      <c r="H59" s="674"/>
      <c r="I59" s="674"/>
      <c r="J59" s="1706"/>
      <c r="K59" s="2770">
        <v>1000</v>
      </c>
      <c r="L59" s="1362" t="s">
        <v>1045</v>
      </c>
      <c r="M59" s="2439">
        <f>V59</f>
        <v>44.225499999999997</v>
      </c>
      <c r="N59" s="1362" t="s">
        <v>4983</v>
      </c>
      <c r="O59" s="2980">
        <f>K59*M59</f>
        <v>44225.5</v>
      </c>
      <c r="P59" s="1362"/>
      <c r="Q59" s="2979"/>
      <c r="R59" s="675"/>
      <c r="S59" s="2979"/>
      <c r="T59" s="420"/>
      <c r="U59" s="679"/>
      <c r="V59" s="2966">
        <f>SUM(Fläche!E41,Fläche!E42,Fläche!E39)</f>
        <v>44.225499999999997</v>
      </c>
      <c r="W59" s="2446"/>
      <c r="X59" s="2446"/>
      <c r="Y59" s="2448"/>
      <c r="Z59" s="2448"/>
      <c r="AA59" s="2456"/>
    </row>
    <row r="60" spans="1:27" ht="18" customHeight="1">
      <c r="B60" s="1339"/>
      <c r="C60" s="674" t="str">
        <f>Texte!A2685</f>
        <v>Reben</v>
      </c>
      <c r="D60" s="674"/>
      <c r="E60" s="674"/>
      <c r="F60" s="674"/>
      <c r="G60" s="674"/>
      <c r="H60" s="674"/>
      <c r="I60" s="674"/>
      <c r="J60" s="1706"/>
      <c r="K60" s="2770">
        <f>IF(Allg!Erntejahr&gt;2023,600,1000)</f>
        <v>600</v>
      </c>
      <c r="L60" s="1362" t="s">
        <v>1045</v>
      </c>
      <c r="M60" s="2439">
        <f>V60</f>
        <v>0</v>
      </c>
      <c r="N60" s="1362" t="s">
        <v>4983</v>
      </c>
      <c r="O60" s="2980">
        <f>K60*M60</f>
        <v>0</v>
      </c>
      <c r="P60" s="1362"/>
      <c r="Q60" s="2979"/>
      <c r="R60" s="675"/>
      <c r="S60" s="2979"/>
      <c r="T60" s="420"/>
      <c r="U60" s="679"/>
      <c r="V60" s="2966">
        <f>Fläche!Reben</f>
        <v>0</v>
      </c>
      <c r="W60" s="2446"/>
      <c r="X60" s="2446"/>
      <c r="Y60" s="2448"/>
      <c r="Z60" s="2448"/>
      <c r="AA60" s="2456"/>
    </row>
    <row r="61" spans="1:27" s="922" customFormat="1" ht="7.15" customHeight="1">
      <c r="A61" s="872"/>
      <c r="B61" s="1337"/>
      <c r="C61" s="675"/>
      <c r="D61" s="675"/>
      <c r="E61" s="675"/>
      <c r="F61" s="675"/>
      <c r="G61" s="675"/>
      <c r="H61" s="675"/>
      <c r="I61" s="675"/>
      <c r="J61" s="679"/>
      <c r="K61" s="1452"/>
      <c r="L61" s="675"/>
      <c r="M61" s="1425"/>
      <c r="N61" s="1362"/>
      <c r="O61" s="2981"/>
      <c r="P61" s="1452"/>
      <c r="Q61" s="2981"/>
      <c r="R61" s="2441"/>
      <c r="S61" s="2985"/>
      <c r="T61" s="420"/>
      <c r="U61" s="679"/>
      <c r="V61" s="679"/>
      <c r="W61" s="2446"/>
      <c r="X61" s="2446"/>
      <c r="Y61" s="2450"/>
      <c r="Z61" s="2450"/>
      <c r="AA61" s="2458"/>
    </row>
    <row r="62" spans="1:27" s="922" customFormat="1" ht="18" customHeight="1">
      <c r="A62" s="872"/>
      <c r="B62" s="1337"/>
      <c r="C62" s="675" t="str">
        <f>Texte!A2648</f>
        <v>Korrektur für Flächen im Ausland und nicht beitragsberechtigtes Bauland</v>
      </c>
      <c r="D62" s="675"/>
      <c r="E62" s="675"/>
      <c r="F62" s="675"/>
      <c r="G62" s="675"/>
      <c r="H62" s="675"/>
      <c r="I62" s="675"/>
      <c r="J62" s="679"/>
      <c r="K62" s="1452"/>
      <c r="L62" s="675"/>
      <c r="M62" s="1425"/>
      <c r="N62" s="1362"/>
      <c r="O62" s="2981"/>
      <c r="P62" s="1452"/>
      <c r="Q62" s="2981"/>
      <c r="R62" s="2441"/>
      <c r="S62" s="2982"/>
      <c r="T62" s="420"/>
      <c r="U62" s="679"/>
      <c r="V62" s="679"/>
      <c r="W62" s="2446"/>
      <c r="X62" s="2446"/>
      <c r="Y62" s="2450"/>
      <c r="Z62" s="2450"/>
      <c r="AA62" s="2458"/>
    </row>
    <row r="63" spans="1:27" ht="18" customHeight="1">
      <c r="B63" s="1326"/>
      <c r="C63" s="1327"/>
      <c r="D63" s="1328"/>
      <c r="E63" s="1328"/>
      <c r="F63" s="1328"/>
      <c r="G63" s="296"/>
      <c r="H63" s="296"/>
      <c r="I63" s="296"/>
      <c r="J63" s="1328"/>
      <c r="K63" s="690"/>
      <c r="L63" s="30"/>
      <c r="M63" s="2438"/>
      <c r="N63" s="675"/>
      <c r="O63" s="2981"/>
      <c r="P63" s="2438"/>
      <c r="Q63" s="2984" t="str">
        <f>Texte!A2642</f>
        <v>Summe der Beiträge</v>
      </c>
      <c r="R63" s="1362" t="s">
        <v>4983</v>
      </c>
      <c r="S63" s="2986">
        <f>SUM(O18:O60)</f>
        <v>176652.36500000002</v>
      </c>
      <c r="T63" s="420"/>
      <c r="U63" s="679"/>
      <c r="W63" s="2446"/>
      <c r="X63" s="2446"/>
      <c r="Y63" s="2449"/>
      <c r="Z63" s="2449"/>
      <c r="AA63" s="2456"/>
    </row>
    <row r="64" spans="1:27" ht="12.75" customHeight="1">
      <c r="B64" s="2491"/>
      <c r="C64" s="773"/>
      <c r="D64" s="773"/>
      <c r="E64" s="773"/>
      <c r="F64" s="773"/>
      <c r="G64" s="773"/>
      <c r="H64" s="773"/>
      <c r="I64" s="773"/>
      <c r="J64" s="2492"/>
      <c r="K64" s="773"/>
      <c r="L64" s="773"/>
      <c r="M64" s="773"/>
      <c r="N64" s="773"/>
      <c r="O64" s="2340"/>
      <c r="P64" s="2493"/>
      <c r="Q64" s="2986"/>
      <c r="R64" s="1351"/>
      <c r="S64" s="2986"/>
      <c r="T64" s="1416"/>
      <c r="U64" s="679"/>
      <c r="V64" s="675"/>
      <c r="W64" s="2446"/>
      <c r="X64" s="2446"/>
      <c r="Y64" s="2448"/>
      <c r="Z64" s="2448"/>
      <c r="AA64" s="2456"/>
    </row>
    <row r="65" spans="1:30" ht="9" customHeight="1">
      <c r="A65" s="874"/>
      <c r="B65" s="1346"/>
      <c r="C65" s="1706"/>
      <c r="D65" s="674"/>
      <c r="E65" s="674"/>
      <c r="F65" s="674"/>
      <c r="G65" s="674"/>
      <c r="H65" s="674"/>
      <c r="I65" s="674"/>
      <c r="J65" s="1706"/>
      <c r="K65" s="674"/>
      <c r="L65" s="674"/>
      <c r="M65" s="674"/>
      <c r="N65" s="674"/>
      <c r="O65" s="2269"/>
      <c r="P65" s="1362"/>
      <c r="Q65" s="2979"/>
      <c r="R65" s="675"/>
      <c r="S65" s="2979"/>
      <c r="T65" s="30"/>
      <c r="U65" s="679"/>
      <c r="V65" s="675"/>
      <c r="W65" s="2446"/>
      <c r="X65" s="2446"/>
      <c r="Y65" s="2448"/>
      <c r="Z65" s="2448"/>
      <c r="AA65" s="2456"/>
    </row>
    <row r="66" spans="1:30" ht="18" customHeight="1">
      <c r="B66" s="1321"/>
      <c r="C66" s="2494"/>
      <c r="D66" s="2385"/>
      <c r="E66" s="2385"/>
      <c r="F66" s="2385"/>
      <c r="G66" s="2385"/>
      <c r="H66" s="2385"/>
      <c r="I66" s="2385"/>
      <c r="J66" s="2494"/>
      <c r="K66" s="2383"/>
      <c r="L66" s="2385"/>
      <c r="M66" s="2385"/>
      <c r="N66" s="2385"/>
      <c r="O66" s="2383"/>
      <c r="P66" s="2495"/>
      <c r="Q66" s="2987"/>
      <c r="R66" s="2496"/>
      <c r="S66" s="2987"/>
      <c r="T66" s="2497"/>
      <c r="U66" s="679"/>
      <c r="V66" s="675"/>
      <c r="W66" s="2446"/>
      <c r="X66" s="2446"/>
      <c r="Y66" s="2448"/>
      <c r="Z66" s="2448"/>
      <c r="AA66" s="2456"/>
    </row>
    <row r="67" spans="1:30" ht="14.1" customHeight="1">
      <c r="B67" s="1339" t="str">
        <f>Texte!A2686</f>
        <v>Schonende Bodenbearbeitung von Hauptkulturen</v>
      </c>
      <c r="C67" s="2454"/>
      <c r="D67" s="674"/>
      <c r="E67" s="674"/>
      <c r="F67" s="674"/>
      <c r="G67" s="674"/>
      <c r="H67" s="674"/>
      <c r="I67" s="674"/>
      <c r="J67" s="1706"/>
      <c r="K67" s="2461" t="str">
        <f>Texte!$A$2638</f>
        <v>Betrag (CHF)</v>
      </c>
      <c r="L67" s="2461"/>
      <c r="M67" s="2461" t="str">
        <f>Texte!$A$2639</f>
        <v>Fläche (ha)</v>
      </c>
      <c r="N67" s="2461"/>
      <c r="O67" s="2271" t="str">
        <f>Texte!$A$2640</f>
        <v>Zwischentotal</v>
      </c>
      <c r="P67" s="1362"/>
      <c r="Q67" s="2979"/>
      <c r="R67" s="675"/>
      <c r="S67" s="2984" t="str">
        <f>Texte!$A$2641</f>
        <v>Total (CHF)</v>
      </c>
      <c r="T67" s="420"/>
      <c r="U67" s="679"/>
      <c r="V67" s="675"/>
      <c r="W67" s="2446"/>
      <c r="X67" s="2446"/>
      <c r="Y67" s="2448"/>
      <c r="Z67" s="2448"/>
      <c r="AA67" s="2456"/>
    </row>
    <row r="68" spans="1:30" ht="14.1" customHeight="1">
      <c r="B68" s="1339"/>
      <c r="C68" s="2460" t="str">
        <f>Texte!A2687</f>
        <v>auf der Ackerfläche</v>
      </c>
      <c r="D68" s="674"/>
      <c r="E68" s="674"/>
      <c r="F68" s="674"/>
      <c r="G68" s="674"/>
      <c r="H68" s="674"/>
      <c r="I68" s="674"/>
      <c r="J68" s="1706"/>
      <c r="K68" s="2269"/>
      <c r="L68" s="674"/>
      <c r="M68" s="674"/>
      <c r="N68" s="674"/>
      <c r="O68" s="2269"/>
      <c r="P68" s="1362"/>
      <c r="Q68" s="2979"/>
      <c r="R68" s="675"/>
      <c r="S68" s="2979"/>
      <c r="T68" s="420"/>
      <c r="U68" s="679"/>
      <c r="V68" s="675"/>
      <c r="W68" s="2446"/>
      <c r="X68" s="2446"/>
      <c r="Y68" s="2448"/>
      <c r="Z68" s="2448"/>
      <c r="AA68" s="2456"/>
    </row>
    <row r="69" spans="1:30" ht="5.0999999999999996" customHeight="1">
      <c r="B69" s="1339"/>
      <c r="C69" s="1706"/>
      <c r="D69" s="674"/>
      <c r="E69" s="674"/>
      <c r="F69" s="674"/>
      <c r="G69" s="674"/>
      <c r="H69" s="674"/>
      <c r="I69" s="674"/>
      <c r="J69" s="1706"/>
      <c r="K69" s="2269"/>
      <c r="L69" s="674"/>
      <c r="M69" s="674"/>
      <c r="N69" s="674"/>
      <c r="O69" s="2269"/>
      <c r="P69" s="1362"/>
      <c r="Q69" s="2979"/>
      <c r="R69" s="675"/>
      <c r="S69" s="2979"/>
      <c r="T69" s="420"/>
      <c r="U69" s="679"/>
      <c r="V69" s="675"/>
      <c r="W69" s="2446"/>
      <c r="X69" s="2446"/>
      <c r="Y69" s="2448"/>
      <c r="Z69" s="2448"/>
      <c r="AA69" s="2456"/>
    </row>
    <row r="70" spans="1:30" ht="12.2" customHeight="1">
      <c r="B70" s="1339"/>
      <c r="C70" s="1706" t="str">
        <f>Texte!A2688</f>
        <v>Ackerfläche mit Direktsaat, Streifenfrässaat, Streifensaat</v>
      </c>
      <c r="D70" s="674"/>
      <c r="E70" s="674"/>
      <c r="F70" s="674"/>
      <c r="G70" s="674"/>
      <c r="H70" s="674"/>
      <c r="I70" s="674"/>
      <c r="J70" s="1706"/>
      <c r="K70" s="2269"/>
      <c r="L70" s="674"/>
      <c r="M70" s="674"/>
      <c r="N70" s="674"/>
      <c r="O70" s="2269"/>
      <c r="P70" s="1362"/>
      <c r="Q70" s="2979"/>
      <c r="R70" s="675"/>
      <c r="S70" s="2979"/>
      <c r="T70" s="420"/>
      <c r="U70" s="679"/>
      <c r="V70" s="675"/>
      <c r="W70" s="2446"/>
      <c r="X70" s="2446"/>
      <c r="Y70" s="2448"/>
      <c r="Z70" s="2448"/>
      <c r="AA70" s="2456"/>
    </row>
    <row r="71" spans="1:30" ht="18" customHeight="1">
      <c r="B71" s="1339"/>
      <c r="C71" s="674" t="str">
        <f>Texte!A2689</f>
        <v>(Strip-Till) oder Mulchsaat</v>
      </c>
      <c r="D71" s="674"/>
      <c r="E71" s="674"/>
      <c r="F71" s="674"/>
      <c r="G71" s="674"/>
      <c r="H71" s="674"/>
      <c r="I71" s="674"/>
      <c r="J71" s="1706"/>
      <c r="K71" s="2974">
        <v>250</v>
      </c>
      <c r="L71" s="1362" t="s">
        <v>1045</v>
      </c>
      <c r="M71" s="2439"/>
      <c r="N71" s="1362" t="s">
        <v>4983</v>
      </c>
      <c r="O71" s="2980">
        <f>K71*M71</f>
        <v>0</v>
      </c>
      <c r="P71" s="1362"/>
      <c r="Q71" s="2979"/>
      <c r="R71" s="675"/>
      <c r="S71" s="2979"/>
      <c r="T71" s="420"/>
      <c r="U71" s="679"/>
      <c r="V71" s="675"/>
      <c r="W71" s="2446"/>
      <c r="X71" s="2446"/>
      <c r="Y71" s="2448"/>
      <c r="Z71" s="2448"/>
      <c r="AA71" s="2456"/>
    </row>
    <row r="72" spans="1:30" ht="14.1" customHeight="1">
      <c r="B72" s="1339"/>
      <c r="C72" s="674"/>
      <c r="D72" s="674"/>
      <c r="E72" s="674"/>
      <c r="F72" s="674"/>
      <c r="G72" s="674"/>
      <c r="H72" s="674"/>
      <c r="I72" s="674"/>
      <c r="J72" s="1706"/>
      <c r="K72" s="2269"/>
      <c r="L72" s="674"/>
      <c r="M72" s="674"/>
      <c r="N72" s="674"/>
      <c r="O72" s="2269"/>
      <c r="P72" s="1362"/>
      <c r="Q72" s="2979"/>
      <c r="R72" s="675"/>
      <c r="S72" s="2979"/>
      <c r="T72" s="420"/>
      <c r="U72" s="679"/>
      <c r="V72" s="675"/>
      <c r="W72" s="2446"/>
      <c r="X72" s="2446"/>
      <c r="Y72" s="2448"/>
      <c r="Z72" s="2448"/>
      <c r="AA72" s="2456"/>
    </row>
    <row r="73" spans="1:30" ht="14.1" customHeight="1">
      <c r="B73" s="1339" t="str">
        <f>Texte!A2711</f>
        <v>Klimamassnahmen</v>
      </c>
      <c r="C73" s="674"/>
      <c r="D73" s="674"/>
      <c r="E73" s="674"/>
      <c r="F73" s="674"/>
      <c r="G73" s="674"/>
      <c r="H73" s="674"/>
      <c r="I73" s="674"/>
      <c r="J73" s="1706"/>
      <c r="K73" s="2269"/>
      <c r="L73" s="674"/>
      <c r="M73" s="674"/>
      <c r="N73" s="674"/>
      <c r="O73" s="2269"/>
      <c r="P73" s="1362"/>
      <c r="Q73" s="2979"/>
      <c r="R73" s="675"/>
      <c r="S73" s="2979"/>
      <c r="T73" s="420"/>
      <c r="U73" s="679"/>
      <c r="V73" s="675"/>
      <c r="W73" s="2446"/>
      <c r="X73" s="2446"/>
      <c r="Y73" s="2448"/>
      <c r="Z73" s="2448"/>
      <c r="AA73" s="2456"/>
    </row>
    <row r="74" spans="1:30" ht="5.0999999999999996" customHeight="1">
      <c r="B74" s="1339"/>
      <c r="C74" s="1706"/>
      <c r="D74" s="674"/>
      <c r="E74" s="674"/>
      <c r="F74" s="674"/>
      <c r="G74" s="674"/>
      <c r="H74" s="674"/>
      <c r="I74" s="674"/>
      <c r="J74" s="1706"/>
      <c r="K74" s="2269"/>
      <c r="L74" s="674"/>
      <c r="M74" s="674"/>
      <c r="N74" s="674"/>
      <c r="O74" s="2269"/>
      <c r="P74" s="1362"/>
      <c r="Q74" s="2979"/>
      <c r="R74" s="675"/>
      <c r="S74" s="2979"/>
      <c r="T74" s="420"/>
      <c r="U74" s="679"/>
      <c r="V74" s="675"/>
      <c r="W74" s="2446"/>
      <c r="X74" s="2446"/>
      <c r="Y74" s="2448"/>
      <c r="Z74" s="2448"/>
      <c r="AA74" s="2456"/>
    </row>
    <row r="75" spans="1:30" ht="14.1" customHeight="1">
      <c r="B75" s="1339"/>
      <c r="C75" s="2454" t="str">
        <f>Texte!A2690</f>
        <v>Effizienter Stickstoffeinsatz im Ackerbau</v>
      </c>
      <c r="D75" s="674"/>
      <c r="E75" s="674"/>
      <c r="F75" s="674"/>
      <c r="G75" s="674"/>
      <c r="H75" s="674"/>
      <c r="I75" s="674"/>
      <c r="J75" s="1706"/>
      <c r="K75" s="2269"/>
      <c r="L75" s="674"/>
      <c r="M75" s="674"/>
      <c r="N75" s="674"/>
      <c r="O75" s="2269"/>
      <c r="P75" s="1362"/>
      <c r="Q75" s="2979"/>
      <c r="R75" s="675"/>
      <c r="S75" s="2979"/>
      <c r="T75" s="420"/>
      <c r="U75" s="679"/>
      <c r="V75" s="675"/>
      <c r="W75" s="2446"/>
      <c r="X75" s="2446"/>
      <c r="Y75" s="2448"/>
      <c r="Z75" s="2448"/>
      <c r="AA75" s="2456"/>
    </row>
    <row r="76" spans="1:30" ht="12.2" customHeight="1">
      <c r="B76" s="1339"/>
      <c r="C76" s="2462" t="str">
        <f>Texte!A2691</f>
        <v xml:space="preserve">Gesamtbetrieblich übersteigt die Zufuhr an Stickstoff nicht 90 % des Bedarfs </v>
      </c>
      <c r="D76" s="674"/>
      <c r="E76" s="674"/>
      <c r="F76" s="674"/>
      <c r="G76" s="674"/>
      <c r="H76" s="674"/>
      <c r="I76" s="674"/>
      <c r="J76" s="1706"/>
      <c r="K76" s="2269"/>
      <c r="L76" s="674"/>
      <c r="M76" s="674"/>
      <c r="N76" s="674"/>
      <c r="O76" s="2269"/>
      <c r="P76" s="1362"/>
      <c r="Q76" s="2979"/>
      <c r="R76" s="675"/>
      <c r="S76" s="2979"/>
      <c r="T76" s="420"/>
      <c r="U76" s="679"/>
      <c r="V76" s="675"/>
      <c r="W76" s="2446"/>
      <c r="X76" s="2446"/>
      <c r="Y76" s="2448"/>
      <c r="Z76" s="2448"/>
      <c r="AA76" s="2456"/>
    </row>
    <row r="77" spans="1:30" ht="12.2" customHeight="1">
      <c r="B77" s="1339"/>
      <c r="C77" s="2462" t="str">
        <f>Texte!A2692</f>
        <v>der Kulturen, gemäss «Suisse-Bilanz»</v>
      </c>
      <c r="D77" s="674"/>
      <c r="E77" s="674"/>
      <c r="F77" s="674"/>
      <c r="G77" s="2440" t="str">
        <f>Texte!$A$2729</f>
        <v>ja</v>
      </c>
      <c r="H77" s="674"/>
      <c r="I77" s="674"/>
      <c r="J77" s="1706"/>
      <c r="K77" s="2269"/>
      <c r="L77" s="674"/>
      <c r="M77" s="674"/>
      <c r="N77" s="674"/>
      <c r="O77" s="2269"/>
      <c r="P77" s="1362"/>
      <c r="Q77" s="2979"/>
      <c r="R77" s="675"/>
      <c r="S77" s="2979"/>
      <c r="T77" s="420"/>
      <c r="U77" s="679"/>
      <c r="V77" s="675"/>
      <c r="W77" s="2446"/>
      <c r="X77" s="2446"/>
      <c r="Y77" s="2477" t="b">
        <v>0</v>
      </c>
      <c r="AA77" s="2456"/>
      <c r="AD77" s="674"/>
    </row>
    <row r="78" spans="1:30" s="922" customFormat="1" ht="18" customHeight="1">
      <c r="A78" s="872"/>
      <c r="B78" s="1339"/>
      <c r="C78" s="675" t="str">
        <f>Texte!A2695</f>
        <v>Ackerfläche</v>
      </c>
      <c r="D78" s="680"/>
      <c r="E78" s="680"/>
      <c r="F78" s="680"/>
      <c r="G78" s="2440"/>
      <c r="H78" s="680"/>
      <c r="I78" s="2475" t="str">
        <f>IF(Y78=999,0,IF(Y78,Texte!A2693,Texte!A2694))</f>
        <v>trifft zu</v>
      </c>
      <c r="J78" s="679"/>
      <c r="K78" s="2974">
        <v>100</v>
      </c>
      <c r="L78" s="1362" t="s">
        <v>1045</v>
      </c>
      <c r="M78" s="2961">
        <f>V78</f>
        <v>74.797499999999999</v>
      </c>
      <c r="N78" s="1362" t="s">
        <v>4983</v>
      </c>
      <c r="O78" s="2980">
        <f>IF($Z$78,K78*M78,0)</f>
        <v>0</v>
      </c>
      <c r="P78" s="1320"/>
      <c r="Q78" s="2979"/>
      <c r="R78" s="1362"/>
      <c r="S78" s="2985"/>
      <c r="T78" s="420"/>
      <c r="U78" s="679"/>
      <c r="V78" s="2966">
        <f>SUM(Fläche!offeneAckerfläche)</f>
        <v>74.797499999999999</v>
      </c>
      <c r="W78" s="2446"/>
      <c r="X78" s="2446"/>
      <c r="Y78" s="2448" t="b">
        <f>IFERROR(IF('SB2'!I120 = 0, 999,IF('SB2'!I120 &lt;= 90,TRUE,FALSE)),999)</f>
        <v>1</v>
      </c>
      <c r="Z78" s="2448" t="b">
        <f>Y77</f>
        <v>0</v>
      </c>
      <c r="AA78" s="2458"/>
    </row>
    <row r="79" spans="1:30" ht="14.1" customHeight="1">
      <c r="B79" s="1339"/>
      <c r="C79" s="1706"/>
      <c r="D79" s="674"/>
      <c r="E79" s="674"/>
      <c r="F79" s="674"/>
      <c r="G79" s="674"/>
      <c r="H79" s="674"/>
      <c r="J79" s="1706"/>
      <c r="K79" s="2269"/>
      <c r="L79" s="674"/>
      <c r="M79" s="674"/>
      <c r="N79" s="674"/>
      <c r="O79" s="2269"/>
      <c r="P79" s="1362"/>
      <c r="Q79" s="2979"/>
      <c r="R79" s="675"/>
      <c r="S79" s="2979"/>
      <c r="T79" s="420"/>
      <c r="U79" s="679"/>
      <c r="V79" s="675"/>
      <c r="W79" s="2446"/>
      <c r="X79" s="2446"/>
      <c r="Y79" s="2448"/>
      <c r="Z79" s="2448"/>
      <c r="AA79" s="2456"/>
    </row>
    <row r="80" spans="1:30" ht="20.100000000000001" customHeight="1">
      <c r="B80" s="1326"/>
      <c r="C80" s="1327"/>
      <c r="D80" s="1328"/>
      <c r="E80" s="1328"/>
      <c r="F80" s="1328"/>
      <c r="G80" s="296"/>
      <c r="H80" s="296"/>
      <c r="I80" s="296"/>
      <c r="J80" s="1328"/>
      <c r="K80" s="2979"/>
      <c r="L80" s="30"/>
      <c r="M80" s="2438"/>
      <c r="N80" s="675"/>
      <c r="O80" s="2981"/>
      <c r="P80" s="2438"/>
      <c r="Q80" s="2984" t="str">
        <f>Texte!A2642</f>
        <v>Summe der Beiträge</v>
      </c>
      <c r="R80" s="1362" t="s">
        <v>4983</v>
      </c>
      <c r="S80" s="2986">
        <f>SUM(O78,O71)</f>
        <v>0</v>
      </c>
      <c r="T80" s="420"/>
      <c r="U80" s="679"/>
      <c r="W80" s="2446"/>
      <c r="X80" s="2446"/>
      <c r="Y80" s="2451"/>
      <c r="Z80" s="2451"/>
      <c r="AA80" s="2456"/>
    </row>
    <row r="81" spans="2:29" s="679" customFormat="1" ht="17.100000000000001" customHeight="1">
      <c r="B81" s="684"/>
      <c r="C81" s="675"/>
      <c r="D81" s="675"/>
      <c r="E81" s="675"/>
      <c r="F81" s="675"/>
      <c r="G81" s="675"/>
      <c r="H81" s="675"/>
      <c r="I81" s="675"/>
      <c r="J81" s="675"/>
      <c r="K81" s="2979"/>
      <c r="L81" s="675"/>
      <c r="M81" s="2440"/>
      <c r="N81" s="675"/>
      <c r="O81" s="2981"/>
      <c r="P81" s="1362"/>
      <c r="Q81" s="2985"/>
      <c r="R81" s="2440"/>
      <c r="S81" s="2985"/>
      <c r="T81" s="420"/>
      <c r="V81" s="1699"/>
      <c r="W81" s="2446"/>
      <c r="X81" s="2446"/>
      <c r="Y81" s="2451"/>
      <c r="Z81" s="2451"/>
      <c r="AA81" s="2458"/>
    </row>
    <row r="82" spans="2:29" s="922" customFormat="1" ht="18" customHeight="1">
      <c r="B82" s="1339" t="str">
        <f>Texte!A2730</f>
        <v>Graslandbasierte Milch- und Fleischproduktion (GMF)</v>
      </c>
      <c r="C82" s="680"/>
      <c r="D82" s="680"/>
      <c r="E82" s="680"/>
      <c r="F82" s="680"/>
      <c r="G82" s="680"/>
      <c r="H82" s="680"/>
      <c r="I82" s="680"/>
      <c r="J82" s="680"/>
      <c r="K82" s="2766"/>
      <c r="L82" s="2442" t="str">
        <f>IF(GMF!O163=Texte!A2492,Texte!A2732,"")</f>
        <v/>
      </c>
      <c r="M82" s="675"/>
      <c r="N82" s="675"/>
      <c r="O82" s="2981"/>
      <c r="P82" s="1362"/>
      <c r="Q82" s="2985"/>
      <c r="R82" s="675"/>
      <c r="S82" s="2985"/>
      <c r="T82" s="420"/>
      <c r="U82" s="679"/>
      <c r="V82" s="1699"/>
      <c r="W82" s="2446"/>
      <c r="X82" s="2446"/>
      <c r="Y82" s="2451" t="s">
        <v>850</v>
      </c>
      <c r="Z82" s="2451"/>
      <c r="AA82" s="2458"/>
      <c r="AB82" s="679"/>
      <c r="AC82" s="679"/>
    </row>
    <row r="83" spans="2:29" ht="18" customHeight="1">
      <c r="B83" s="1324"/>
      <c r="C83" s="675" t="str">
        <f>Texte!A2731</f>
        <v>für beitragsberechtigte Grünfläche</v>
      </c>
      <c r="D83" s="675"/>
      <c r="E83" s="675"/>
      <c r="F83" s="675"/>
      <c r="G83" s="2994">
        <f>IF(V83="",0,V83)</f>
        <v>1</v>
      </c>
      <c r="H83" s="2993" t="s">
        <v>1045</v>
      </c>
      <c r="I83" s="2980">
        <v>200</v>
      </c>
      <c r="J83" s="1325" t="s">
        <v>4983</v>
      </c>
      <c r="K83" s="2980">
        <f>G83*I83</f>
        <v>200</v>
      </c>
      <c r="L83" s="1362" t="s">
        <v>1045</v>
      </c>
      <c r="M83" s="2959">
        <f>IF(GMF!O164=Texte!A2493,Fläche!GL,0)</f>
        <v>54.972699999999989</v>
      </c>
      <c r="N83" s="1362" t="s">
        <v>4983</v>
      </c>
      <c r="O83" s="2980">
        <f>K83*M83</f>
        <v>10994.539999999997</v>
      </c>
      <c r="P83" s="1452"/>
      <c r="Q83" s="2985"/>
      <c r="R83" s="1362"/>
      <c r="S83" s="2985"/>
      <c r="T83" s="420"/>
      <c r="U83" s="679"/>
      <c r="V83" s="1700">
        <f>IF(GMF!M202="","",GMF!M202/100)</f>
        <v>1</v>
      </c>
      <c r="X83" s="2446"/>
      <c r="Y83" s="2451" t="s">
        <v>851</v>
      </c>
      <c r="Z83" s="2451"/>
      <c r="AA83" s="2456"/>
    </row>
    <row r="84" spans="2:29" ht="7.15" customHeight="1">
      <c r="B84" s="1324"/>
      <c r="C84" s="675"/>
      <c r="D84" s="675"/>
      <c r="E84" s="675"/>
      <c r="F84" s="675"/>
      <c r="G84" s="675"/>
      <c r="H84" s="675"/>
      <c r="I84" s="675"/>
      <c r="J84" s="679"/>
      <c r="K84" s="2981"/>
      <c r="L84" s="675"/>
      <c r="M84" s="1425"/>
      <c r="N84" s="1362"/>
      <c r="O84" s="2981"/>
      <c r="P84" s="1452"/>
      <c r="Q84" s="2985"/>
      <c r="R84" s="1362"/>
      <c r="S84" s="2985"/>
      <c r="T84" s="420"/>
      <c r="U84" s="679"/>
      <c r="V84" s="675"/>
      <c r="W84" s="2446"/>
      <c r="X84" s="2446"/>
      <c r="Y84" s="2451"/>
      <c r="Z84" s="2451"/>
      <c r="AA84" s="2456"/>
    </row>
    <row r="85" spans="2:29" ht="18" customHeight="1">
      <c r="B85" s="1324"/>
      <c r="C85" s="675" t="str">
        <f>Texte!A2648</f>
        <v>Korrektur für Flächen im Ausland und nicht beitragsberechtigtes Bauland</v>
      </c>
      <c r="D85" s="675"/>
      <c r="E85" s="675"/>
      <c r="F85" s="675"/>
      <c r="G85" s="675"/>
      <c r="H85" s="675"/>
      <c r="I85" s="675"/>
      <c r="J85" s="679"/>
      <c r="K85" s="1452"/>
      <c r="L85" s="675"/>
      <c r="M85" s="1425"/>
      <c r="N85" s="1362"/>
      <c r="O85" s="2981"/>
      <c r="P85" s="1452"/>
      <c r="Q85" s="2985"/>
      <c r="R85" s="1362"/>
      <c r="S85" s="2982"/>
      <c r="T85" s="420"/>
      <c r="U85" s="679"/>
      <c r="V85" s="675"/>
      <c r="W85" s="2446"/>
      <c r="X85" s="2446"/>
      <c r="Y85" s="2451"/>
      <c r="Z85" s="2451"/>
      <c r="AA85" s="2456"/>
    </row>
    <row r="86" spans="2:29" ht="20.100000000000001" customHeight="1">
      <c r="B86" s="1086"/>
      <c r="C86" s="1327"/>
      <c r="D86" s="1328"/>
      <c r="E86" s="1328"/>
      <c r="F86" s="1328"/>
      <c r="G86" s="296"/>
      <c r="H86" s="296"/>
      <c r="I86" s="296"/>
      <c r="J86" s="1328"/>
      <c r="K86" s="690"/>
      <c r="L86" s="30"/>
      <c r="M86" s="2443"/>
      <c r="N86" s="675"/>
      <c r="O86" s="2438"/>
      <c r="P86" s="2438"/>
      <c r="Q86" s="2984" t="str">
        <f>Texte!A2642</f>
        <v>Summe der Beiträge</v>
      </c>
      <c r="R86" s="1362" t="s">
        <v>4983</v>
      </c>
      <c r="S86" s="2986">
        <f>O83-S85</f>
        <v>10994.539999999997</v>
      </c>
      <c r="T86" s="420"/>
      <c r="U86" s="679"/>
      <c r="V86" s="675"/>
      <c r="W86" s="2446"/>
      <c r="X86" s="2446"/>
      <c r="Y86" s="2451"/>
      <c r="Z86" s="2451"/>
    </row>
    <row r="87" spans="2:29" ht="12.2" customHeight="1">
      <c r="B87" s="1086"/>
      <c r="C87" s="1327"/>
      <c r="D87" s="1328"/>
      <c r="E87" s="1328"/>
      <c r="F87" s="1328"/>
      <c r="G87" s="296"/>
      <c r="H87" s="296"/>
      <c r="I87" s="296"/>
      <c r="J87" s="1328"/>
      <c r="K87" s="690"/>
      <c r="L87" s="30"/>
      <c r="M87" s="2438"/>
      <c r="N87" s="675"/>
      <c r="O87" s="2438"/>
      <c r="P87" s="2438"/>
      <c r="Q87" s="2985"/>
      <c r="R87" s="1362"/>
      <c r="S87" s="2985"/>
      <c r="T87" s="420"/>
      <c r="U87" s="679"/>
      <c r="W87" s="2446"/>
      <c r="X87" s="2446"/>
      <c r="Y87" s="2449"/>
      <c r="Z87" s="2449"/>
      <c r="AA87" s="2456"/>
    </row>
    <row r="88" spans="2:29" ht="18" customHeight="1">
      <c r="B88" s="1339" t="str">
        <f>Texte!A2733</f>
        <v>Tierwohlbeiträge</v>
      </c>
      <c r="C88" s="1327"/>
      <c r="D88" s="1328"/>
      <c r="E88" s="1328"/>
      <c r="F88" s="1328"/>
      <c r="G88" s="296"/>
      <c r="H88" s="296"/>
      <c r="I88" s="296"/>
      <c r="J88" s="1328"/>
      <c r="K88" s="690"/>
      <c r="L88" s="30"/>
      <c r="M88" s="2464" t="str">
        <f>Texte!A2638</f>
        <v>Betrag (CHF)</v>
      </c>
      <c r="N88" s="874"/>
      <c r="O88" s="2463" t="str">
        <f>Texte!A2643</f>
        <v>GVE</v>
      </c>
      <c r="P88" s="2463"/>
      <c r="Q88" s="2984" t="str">
        <f>Texte!A2640</f>
        <v>Zwischentotal</v>
      </c>
      <c r="R88" s="2165"/>
      <c r="S88" s="2984"/>
      <c r="T88" s="420"/>
      <c r="V88" s="2967"/>
      <c r="Y88" s="2452"/>
      <c r="Z88" s="2452"/>
    </row>
    <row r="89" spans="2:29" s="922" customFormat="1" ht="18" customHeight="1">
      <c r="B89" s="1466" t="str">
        <f>Texte!A2734</f>
        <v>Besonders tierfreundliche Stallhaltungssysteme (BTS)</v>
      </c>
      <c r="C89" s="672"/>
      <c r="D89" s="672"/>
      <c r="E89" s="672"/>
      <c r="F89" s="672"/>
      <c r="G89" s="672"/>
      <c r="H89" s="672"/>
      <c r="I89" s="672"/>
      <c r="J89" s="672"/>
      <c r="K89" s="675"/>
      <c r="L89" s="675"/>
      <c r="M89" s="675"/>
      <c r="N89" s="675"/>
      <c r="O89" s="2995"/>
      <c r="P89" s="1362"/>
      <c r="Q89" s="2985"/>
      <c r="R89" s="675"/>
      <c r="S89" s="2985"/>
      <c r="T89" s="420"/>
      <c r="U89" s="872"/>
      <c r="V89" s="2960"/>
      <c r="W89" s="2447"/>
      <c r="X89" s="2447"/>
      <c r="Y89" s="2449"/>
      <c r="Z89" s="2449"/>
      <c r="AA89" s="2458"/>
    </row>
    <row r="90" spans="2:29" ht="5.0999999999999996" customHeight="1">
      <c r="B90" s="1339"/>
      <c r="C90" s="1706"/>
      <c r="D90" s="674"/>
      <c r="E90" s="674"/>
      <c r="F90" s="674"/>
      <c r="G90" s="674"/>
      <c r="H90" s="674"/>
      <c r="I90" s="674"/>
      <c r="J90" s="1706"/>
      <c r="K90" s="674"/>
      <c r="L90" s="674"/>
      <c r="M90" s="674"/>
      <c r="N90" s="674"/>
      <c r="O90" s="2345"/>
      <c r="P90" s="1362"/>
      <c r="Q90" s="2985"/>
      <c r="R90" s="675"/>
      <c r="S90" s="2979"/>
      <c r="T90" s="420"/>
      <c r="U90" s="679"/>
      <c r="V90" s="2968"/>
      <c r="W90" s="2446"/>
      <c r="X90" s="2446"/>
      <c r="Y90" s="2448"/>
      <c r="Z90" s="2448"/>
      <c r="AA90" s="2456"/>
    </row>
    <row r="91" spans="2:29" s="922" customFormat="1" ht="12.2" customHeight="1">
      <c r="B91" s="1466"/>
      <c r="C91" s="672" t="str">
        <f>Texte!A2735</f>
        <v xml:space="preserve">Über 160 Tage alte Tiere der Rindergattung und Wasserbüffel, über 30 Monate  </v>
      </c>
      <c r="D91" s="672"/>
      <c r="E91" s="672"/>
      <c r="F91" s="672"/>
      <c r="G91" s="672"/>
      <c r="H91" s="672"/>
      <c r="I91" s="672"/>
      <c r="J91" s="672"/>
      <c r="K91" s="675"/>
      <c r="L91" s="675"/>
      <c r="M91" s="675"/>
      <c r="N91" s="675"/>
      <c r="O91" s="2995"/>
      <c r="P91" s="1362"/>
      <c r="Q91" s="2985"/>
      <c r="R91" s="675"/>
      <c r="S91" s="2985"/>
      <c r="T91" s="420"/>
      <c r="U91" s="872"/>
      <c r="V91" s="2960"/>
      <c r="W91" s="2447"/>
      <c r="X91" s="2447"/>
      <c r="Y91" s="2449"/>
      <c r="Z91" s="2449"/>
      <c r="AA91" s="2458"/>
    </row>
    <row r="92" spans="2:29" s="922" customFormat="1" ht="18" customHeight="1">
      <c r="B92" s="1337"/>
      <c r="C92" t="str">
        <f>Texte!A2736</f>
        <v>alte Tiere der Pferdegattung und über ein Jahr alte Tiere der Ziegengattung</v>
      </c>
      <c r="D92" s="675"/>
      <c r="E92" s="675"/>
      <c r="F92" s="675"/>
      <c r="G92" s="675"/>
      <c r="H92" s="675"/>
      <c r="I92" s="675"/>
      <c r="J92" s="675"/>
      <c r="K92" s="675"/>
      <c r="L92" s="675"/>
      <c r="M92" s="2770">
        <f>IF(Allg!Erntejahr&gt;2023,75,90)</f>
        <v>75</v>
      </c>
      <c r="N92" s="1362" t="s">
        <v>1045</v>
      </c>
      <c r="O92" s="2959">
        <f>Tierb!RiGVE_BTS+SUMIF(Tierb!$X$33:$X$34,TRUE,Tierb!$I$33:$I$34)+SUMIF(Tierb!$X$36:$X$38,TRUE,Tierb!$I$36:$I$38)+SUMIF(Tierb!$X$44:$X$45,TRUE,Tierb!$I$44:$I$45)</f>
        <v>0</v>
      </c>
      <c r="P92" s="1362" t="s">
        <v>4983</v>
      </c>
      <c r="Q92" s="2980">
        <f>M92*O92</f>
        <v>0</v>
      </c>
      <c r="R92" s="675"/>
      <c r="S92" s="2985"/>
      <c r="T92" s="420"/>
      <c r="U92" s="872"/>
      <c r="V92" s="2960"/>
      <c r="W92" s="2447"/>
      <c r="X92" s="2447"/>
      <c r="Y92" s="2449"/>
      <c r="Z92" s="2449"/>
      <c r="AA92" s="2458"/>
    </row>
    <row r="93" spans="2:29" s="922" customFormat="1" ht="18" customHeight="1">
      <c r="B93" s="1337"/>
      <c r="C93" s="686" t="str">
        <f>Texte!A2738</f>
        <v>Schweine ohne Saugferkel</v>
      </c>
      <c r="D93" s="675"/>
      <c r="E93" s="675"/>
      <c r="F93" s="675"/>
      <c r="G93" s="675"/>
      <c r="H93" s="675"/>
      <c r="I93" s="675"/>
      <c r="J93" s="675"/>
      <c r="K93" s="675"/>
      <c r="L93" s="675"/>
      <c r="M93" s="2770">
        <f>IF(Allg!Erntejahr&gt;2023,130,155)</f>
        <v>130</v>
      </c>
      <c r="N93" s="1362" t="s">
        <v>1045</v>
      </c>
      <c r="O93" s="2959">
        <f>SUMIF(Tierb!$X$64:$X$71,TRUE,Tierb!$I$64:$I$71)</f>
        <v>0</v>
      </c>
      <c r="P93" s="1362" t="s">
        <v>4983</v>
      </c>
      <c r="Q93" s="2980">
        <f>M93*O93</f>
        <v>0</v>
      </c>
      <c r="R93" s="675"/>
      <c r="S93" s="2985"/>
      <c r="T93" s="420"/>
      <c r="U93" s="872"/>
      <c r="V93" s="2960"/>
      <c r="W93" s="2447"/>
      <c r="X93" s="2447"/>
      <c r="Y93" s="2449"/>
      <c r="Z93" s="2449"/>
      <c r="AA93" s="2458"/>
    </row>
    <row r="94" spans="2:29" s="922" customFormat="1" ht="18" customHeight="1">
      <c r="B94" s="1337"/>
      <c r="C94" s="686" t="str">
        <f>Texte!A2739</f>
        <v>Geflügel</v>
      </c>
      <c r="D94" s="675"/>
      <c r="E94" s="675"/>
      <c r="F94" s="675"/>
      <c r="G94" s="675"/>
      <c r="H94" s="675"/>
      <c r="I94" s="675"/>
      <c r="J94" s="675"/>
      <c r="K94" s="675"/>
      <c r="L94" s="675"/>
      <c r="M94" s="2770">
        <f>IF(Allg!Erntejahr&gt;2023,235,280)</f>
        <v>235</v>
      </c>
      <c r="N94" s="1362" t="s">
        <v>1045</v>
      </c>
      <c r="O94" s="2959">
        <f>SUMIF(Tierb!$X$73:$X$79,TRUE,Tierb!$I$73:$I$79)</f>
        <v>0</v>
      </c>
      <c r="P94" s="1362" t="s">
        <v>4983</v>
      </c>
      <c r="Q94" s="2980">
        <f>M94*O94</f>
        <v>0</v>
      </c>
      <c r="R94" s="675"/>
      <c r="S94" s="2985"/>
      <c r="T94" s="420"/>
      <c r="U94" s="872"/>
      <c r="V94" s="2960"/>
      <c r="W94" s="2447"/>
      <c r="X94" s="2447"/>
      <c r="Y94" s="2449"/>
      <c r="Z94" s="2449"/>
      <c r="AA94" s="2458"/>
    </row>
    <row r="95" spans="2:29" s="922" customFormat="1" ht="18" customHeight="1">
      <c r="B95" s="1337"/>
      <c r="C95" s="686" t="str">
        <f>Texte!A2740</f>
        <v>Kaninchen</v>
      </c>
      <c r="D95" s="675"/>
      <c r="E95" s="675"/>
      <c r="F95" s="675"/>
      <c r="G95" s="675"/>
      <c r="H95" s="675"/>
      <c r="I95" s="675"/>
      <c r="J95" s="675"/>
      <c r="K95" s="675"/>
      <c r="L95" s="675"/>
      <c r="M95" s="2770">
        <f>IF(Allg!Erntejahr&gt;2023,235,280)</f>
        <v>235</v>
      </c>
      <c r="N95" s="1362" t="s">
        <v>1045</v>
      </c>
      <c r="O95" s="2959">
        <f>SUMIF(Tierb!$X$60:$X$61,TRUE,Tierb!$I$60:$I$61)</f>
        <v>0</v>
      </c>
      <c r="P95" s="1362" t="s">
        <v>4983</v>
      </c>
      <c r="Q95" s="2980">
        <f>M95*O95</f>
        <v>0</v>
      </c>
      <c r="R95" s="675"/>
      <c r="S95" s="2985"/>
      <c r="T95" s="420"/>
      <c r="U95" s="872"/>
      <c r="V95" s="2960"/>
      <c r="W95" s="2447"/>
      <c r="X95" s="2447"/>
      <c r="Y95" s="2449"/>
      <c r="Z95" s="2449"/>
      <c r="AA95" s="2458"/>
    </row>
    <row r="96" spans="2:29" s="922" customFormat="1" ht="18" customHeight="1">
      <c r="B96" s="1337"/>
      <c r="C96" s="2444" t="str">
        <f>Texte!A3331</f>
        <v>Korrekturzeile nach Bedarf</v>
      </c>
      <c r="D96" s="723"/>
      <c r="E96" s="723"/>
      <c r="F96" s="723"/>
      <c r="G96" s="723"/>
      <c r="H96" s="723"/>
      <c r="I96" s="723"/>
      <c r="J96" s="723"/>
      <c r="K96" s="2444"/>
      <c r="L96" s="675"/>
      <c r="M96" s="1452"/>
      <c r="N96" s="1362"/>
      <c r="O96" s="2996"/>
      <c r="P96" s="675"/>
      <c r="Q96" s="2982"/>
      <c r="R96" s="675"/>
      <c r="S96" s="2985"/>
      <c r="T96" s="420"/>
      <c r="U96" s="872"/>
      <c r="V96" s="2960"/>
      <c r="W96" s="2447"/>
      <c r="X96" s="2447"/>
      <c r="Y96" s="2449"/>
      <c r="Z96" s="2449"/>
      <c r="AA96" s="2458"/>
    </row>
    <row r="97" spans="2:27" ht="9" customHeight="1">
      <c r="B97" s="1324"/>
      <c r="C97" s="1365"/>
      <c r="D97" s="1365"/>
      <c r="E97" s="675"/>
      <c r="F97" s="675"/>
      <c r="G97" s="675"/>
      <c r="H97" s="675"/>
      <c r="I97" s="675"/>
      <c r="J97" s="679"/>
      <c r="K97" s="1452"/>
      <c r="L97" s="675"/>
      <c r="M97" s="1425"/>
      <c r="N97" s="1362"/>
      <c r="O97" s="2995"/>
      <c r="P97" s="1362"/>
      <c r="Q97" s="2985"/>
      <c r="R97" s="675"/>
      <c r="S97" s="2985"/>
      <c r="T97" s="420"/>
      <c r="U97" s="679"/>
      <c r="V97" s="2969"/>
      <c r="W97" s="2446"/>
      <c r="X97" s="2446"/>
      <c r="Y97" s="2448"/>
      <c r="Z97" s="2448"/>
    </row>
    <row r="98" spans="2:27" ht="20.100000000000001" customHeight="1">
      <c r="B98" s="1326"/>
      <c r="D98" s="1328"/>
      <c r="E98" s="924"/>
      <c r="F98" s="1328"/>
      <c r="G98" s="296"/>
      <c r="H98" s="296"/>
      <c r="I98" s="296"/>
      <c r="J98" s="1372"/>
      <c r="K98" s="2437"/>
      <c r="L98" s="3431"/>
      <c r="M98" s="3431"/>
      <c r="N98" s="30"/>
      <c r="O98" s="2995"/>
      <c r="P98" s="1362"/>
      <c r="Q98" s="2984" t="str">
        <f>Texte!A2642</f>
        <v>Summe der Beiträge</v>
      </c>
      <c r="R98" s="675" t="s">
        <v>4983</v>
      </c>
      <c r="S98" s="2986">
        <f>SUM(Q92:Q96)</f>
        <v>0</v>
      </c>
      <c r="T98" s="420"/>
      <c r="V98" s="2969"/>
      <c r="Y98" s="2448"/>
      <c r="Z98" s="2448"/>
    </row>
    <row r="99" spans="2:27" s="922" customFormat="1" ht="18" customHeight="1">
      <c r="B99" s="1339" t="str">
        <f>Texte!A2741</f>
        <v>Regelmässiger Auslauf im Freien (RAUS)</v>
      </c>
      <c r="C99" s="675"/>
      <c r="D99" s="675"/>
      <c r="E99" s="675"/>
      <c r="F99" s="675"/>
      <c r="G99" s="675"/>
      <c r="H99" s="675"/>
      <c r="I99" s="675"/>
      <c r="J99" s="675"/>
      <c r="K99" s="675"/>
      <c r="L99" s="675"/>
      <c r="M99" s="675"/>
      <c r="N99" s="675"/>
      <c r="O99" s="2968"/>
      <c r="P99" s="675"/>
      <c r="Q99" s="2985"/>
      <c r="R99" s="675"/>
      <c r="S99" s="2985"/>
      <c r="T99" s="420"/>
      <c r="U99" s="872"/>
      <c r="V99" s="2970"/>
      <c r="W99" s="2447"/>
      <c r="X99" s="2447"/>
      <c r="Y99" s="2449"/>
      <c r="Z99" s="2449"/>
      <c r="AA99" s="2458"/>
    </row>
    <row r="100" spans="2:27" s="922" customFormat="1" ht="12.2" customHeight="1">
      <c r="B100" s="1337"/>
      <c r="C100" s="675" t="str">
        <f>Texte!A2742</f>
        <v xml:space="preserve">Über 160 Tage alte Tiere der Rindergattung und Wasserbüffel, Tiere der Pferdegattung, </v>
      </c>
      <c r="D100" s="675"/>
      <c r="E100" s="675"/>
      <c r="F100" s="675"/>
      <c r="G100" s="675"/>
      <c r="H100" s="675"/>
      <c r="I100" s="675"/>
      <c r="J100" s="675"/>
      <c r="K100" s="675"/>
      <c r="L100" s="675"/>
      <c r="O100" s="2960"/>
      <c r="Q100" s="2990"/>
      <c r="R100" s="675"/>
      <c r="S100" s="2985"/>
      <c r="T100" s="420"/>
      <c r="U100" s="675"/>
      <c r="V100" s="2960"/>
      <c r="W100" s="2445"/>
      <c r="X100" s="2445"/>
      <c r="Y100" s="2449"/>
      <c r="Z100" s="2449"/>
      <c r="AA100" s="2458"/>
    </row>
    <row r="101" spans="2:27" s="922" customFormat="1" ht="18" customHeight="1">
      <c r="B101" s="1337"/>
      <c r="C101" s="675" t="str">
        <f>Texte!A2743</f>
        <v>über ein Jahr alte Tiere der Schaf- und Ziegengattung</v>
      </c>
      <c r="D101" s="675"/>
      <c r="E101" s="675"/>
      <c r="F101" s="675"/>
      <c r="G101" s="675"/>
      <c r="H101" s="675"/>
      <c r="I101" s="675"/>
      <c r="J101" s="675"/>
      <c r="K101" s="675"/>
      <c r="L101" s="675"/>
      <c r="M101" s="2770">
        <v>190</v>
      </c>
      <c r="N101" s="1362" t="s">
        <v>1045</v>
      </c>
      <c r="O101" s="2959">
        <f>V101</f>
        <v>0</v>
      </c>
      <c r="P101" s="1362" t="s">
        <v>4983</v>
      </c>
      <c r="Q101" s="2991">
        <f>M101*O101</f>
        <v>0</v>
      </c>
      <c r="R101" s="675"/>
      <c r="S101" s="2985"/>
      <c r="T101" s="420"/>
      <c r="U101" s="675"/>
      <c r="V101" s="2966">
        <f>MAX(Tierb!RiGVE_RAUS-Tierb!CA18+SUMIF(Tierb!$W$33:$W$38,TRUE,Tierb!$I$33:$I$38)+SUMIF(Tierb!$W$40:$W$49,TRUE,Tierb!$I$40:$I$49)+SUMIF(Tierb!$W60:$W$61,TRUE,Tierb!$I$60:$I$61) - IF(Z113,MAX(SUM(O113,-O114),0),0),0)</f>
        <v>0</v>
      </c>
      <c r="W101" s="2445"/>
      <c r="X101" s="2445"/>
      <c r="Y101" s="2449"/>
      <c r="Z101" s="2449"/>
      <c r="AA101" s="2458"/>
    </row>
    <row r="102" spans="2:27" s="922" customFormat="1" ht="18" customHeight="1">
      <c r="B102" s="1348"/>
      <c r="C102" s="675" t="str">
        <f>Texte!A2744</f>
        <v>Tiere der Rindergattung und Wasserbüffel, bis 160 Tage</v>
      </c>
      <c r="D102" s="675"/>
      <c r="E102" s="675"/>
      <c r="F102" s="675"/>
      <c r="G102" s="675"/>
      <c r="H102" s="675"/>
      <c r="I102" s="675"/>
      <c r="J102" s="675"/>
      <c r="K102" s="675"/>
      <c r="L102" s="675"/>
      <c r="M102" s="2770">
        <v>370</v>
      </c>
      <c r="N102" s="1362" t="s">
        <v>1045</v>
      </c>
      <c r="O102" s="2959">
        <f>V102</f>
        <v>0</v>
      </c>
      <c r="P102" s="1362" t="s">
        <v>4983</v>
      </c>
      <c r="Q102" s="2991">
        <f>M102*O102</f>
        <v>0</v>
      </c>
      <c r="R102" s="675"/>
      <c r="S102" s="2985"/>
      <c r="T102" s="420"/>
      <c r="U102" s="675"/>
      <c r="V102" s="2971">
        <f>MAX(Tierb!CA18 - IF(Z115,MAX(SUM(O115,-O116),O115),0),0)</f>
        <v>0</v>
      </c>
      <c r="W102" s="2445"/>
      <c r="X102" s="2445"/>
      <c r="Y102" s="2449"/>
      <c r="Z102" s="2449"/>
      <c r="AA102" s="2458"/>
    </row>
    <row r="103" spans="2:27" s="922" customFormat="1" ht="12.2" hidden="1" customHeight="1">
      <c r="B103" s="1348"/>
      <c r="C103" s="686" t="str">
        <f>IF(Allg!Erntejahr&gt;2018,Texte!A2745,"")</f>
        <v>Zusatzbeitrag für weibliche Tiere, bis 1-jährig, sowie für alle Stiere der Rinder-</v>
      </c>
      <c r="D103" s="675"/>
      <c r="E103" s="675"/>
      <c r="F103" s="675"/>
      <c r="G103" s="675"/>
      <c r="H103" s="675"/>
      <c r="I103" s="675"/>
      <c r="J103" s="675"/>
      <c r="K103" s="675"/>
      <c r="L103" s="675"/>
      <c r="M103" s="872"/>
      <c r="O103" s="2960"/>
      <c r="Q103" s="2990"/>
      <c r="R103" s="675"/>
      <c r="S103" s="2985"/>
      <c r="T103" s="420"/>
      <c r="U103" s="675"/>
      <c r="V103" s="2960"/>
      <c r="W103" s="2445"/>
      <c r="X103" s="2445"/>
      <c r="Y103" s="2449"/>
      <c r="Z103" s="2449"/>
      <c r="AA103" s="2458"/>
    </row>
    <row r="104" spans="2:27" s="922" customFormat="1" ht="18" hidden="1" customHeight="1">
      <c r="B104" s="1348"/>
      <c r="C104" s="675" t="str">
        <f>IF(Allg!Erntejahr&gt;2018,Texte!A2746,"")</f>
        <v>gattung und Wasserbüffel, die im Sommer ausschliesslich geweidet werden.</v>
      </c>
      <c r="D104" s="675"/>
      <c r="E104" s="675"/>
      <c r="F104" s="675"/>
      <c r="G104" s="675"/>
      <c r="H104" s="675"/>
      <c r="I104" s="675"/>
      <c r="J104" s="675"/>
      <c r="K104" s="675"/>
      <c r="L104" s="675"/>
      <c r="M104" s="2770"/>
      <c r="N104" s="1362" t="s">
        <v>1045</v>
      </c>
      <c r="O104" s="2961">
        <f>V104</f>
        <v>0</v>
      </c>
      <c r="P104" s="1382" t="s">
        <v>4983</v>
      </c>
      <c r="Q104" s="2991">
        <f>M104*O104</f>
        <v>0</v>
      </c>
      <c r="R104" s="675"/>
      <c r="S104" s="2985"/>
      <c r="T104" s="420"/>
      <c r="U104" s="675"/>
      <c r="V104" s="2972">
        <f>SUM(Tierb!$CA$17:$CA$18,Tierb!$AQ$15*Tierb!$H$15,Tierb!$AQ$16*Tierb!$H$16,Tierb!$AQ$24*Tierb!$H$24)</f>
        <v>0</v>
      </c>
      <c r="W104" s="2445"/>
      <c r="X104" s="2445"/>
      <c r="Y104" s="2449"/>
      <c r="Z104" s="2449"/>
      <c r="AA104" s="2458"/>
    </row>
    <row r="105" spans="2:27" s="922" customFormat="1" ht="18" customHeight="1">
      <c r="B105" s="1337"/>
      <c r="C105" s="675" t="str">
        <f>Texte!A2747</f>
        <v>Zuchtsauen, nicht säugend</v>
      </c>
      <c r="D105" s="675"/>
      <c r="E105" s="675"/>
      <c r="F105" s="675"/>
      <c r="G105" s="675"/>
      <c r="H105" s="675"/>
      <c r="I105" s="675"/>
      <c r="J105" s="675"/>
      <c r="K105" s="675"/>
      <c r="L105" s="675"/>
      <c r="M105" s="2770">
        <v>370</v>
      </c>
      <c r="N105" s="1362" t="s">
        <v>1045</v>
      </c>
      <c r="O105" s="2959">
        <f>IF(Tierb!AFP,IF(Tierb!W64,Tierb!I64/2.82*0.74,0),IF(Tierb!$W$68,Tierb!$I$68,0))</f>
        <v>0</v>
      </c>
      <c r="P105" s="1362" t="s">
        <v>4983</v>
      </c>
      <c r="Q105" s="2991">
        <f>M105*O105</f>
        <v>0</v>
      </c>
      <c r="R105" s="675"/>
      <c r="S105" s="2985"/>
      <c r="T105" s="420"/>
      <c r="U105" s="675"/>
      <c r="V105" s="2960"/>
      <c r="W105" s="2445"/>
      <c r="X105" s="2445"/>
      <c r="Y105" s="2449"/>
      <c r="Z105" s="2449"/>
      <c r="AA105" s="2458"/>
    </row>
    <row r="106" spans="2:27" s="922" customFormat="1" ht="18" customHeight="1">
      <c r="B106" s="1337"/>
      <c r="C106" s="675" t="str">
        <f>Texte!A2748</f>
        <v>übrige Schweine ohne Saugferkel</v>
      </c>
      <c r="D106" s="675"/>
      <c r="E106" s="675"/>
      <c r="F106" s="675"/>
      <c r="G106" s="675"/>
      <c r="H106" s="675"/>
      <c r="I106" s="675"/>
      <c r="J106" s="675"/>
      <c r="K106" s="675"/>
      <c r="L106" s="675"/>
      <c r="M106" s="2770">
        <v>165</v>
      </c>
      <c r="N106" s="1362" t="s">
        <v>1045</v>
      </c>
      <c r="O106" s="2959">
        <f>IF(Tierb!AFP,IF(Tierb!W64,Tierb!I64/2.82*2.08)+SUMIF(Tierb!$W$65:$W$66,TRUE,Tierb!$I$65:$I$66)+SUMIF(Tierb!$W$70:$W$71,TRUE,Tierb!$I$70:$I$71),SUMIF(Tierb!$W$65:$W$67,TRUE,Tierb!$I$65:$I$67)+SUMIF(Tierb!$W$69:$W$71,TRUE,Tierb!$I$69:$I$71))</f>
        <v>0</v>
      </c>
      <c r="P106" s="1362" t="s">
        <v>4983</v>
      </c>
      <c r="Q106" s="2991">
        <f>M106*O106</f>
        <v>0</v>
      </c>
      <c r="R106" s="675"/>
      <c r="S106" s="2985"/>
      <c r="T106" s="420"/>
      <c r="U106" s="675"/>
      <c r="V106" s="2960"/>
      <c r="W106" s="2445"/>
      <c r="X106" s="2445"/>
      <c r="Y106" s="2449"/>
      <c r="Z106" s="2449"/>
      <c r="AA106" s="2458"/>
    </row>
    <row r="107" spans="2:27" s="922" customFormat="1" ht="18" customHeight="1">
      <c r="B107" s="1337"/>
      <c r="C107" s="675" t="str">
        <f>Texte!A2739</f>
        <v>Geflügel</v>
      </c>
      <c r="D107" s="675"/>
      <c r="E107" s="675"/>
      <c r="F107" s="675"/>
      <c r="G107" s="675"/>
      <c r="H107" s="675"/>
      <c r="I107" s="675"/>
      <c r="J107" s="675"/>
      <c r="K107" s="675"/>
      <c r="L107" s="675"/>
      <c r="M107" s="2770">
        <v>290</v>
      </c>
      <c r="N107" s="1362" t="s">
        <v>1045</v>
      </c>
      <c r="O107" s="2959">
        <f>SUMIF(Tierb!$W$73:$W$79,TRUE,Tierb!$I$73:$I$79)</f>
        <v>0</v>
      </c>
      <c r="P107" s="1362" t="s">
        <v>4983</v>
      </c>
      <c r="Q107" s="2991">
        <f>M107*O107</f>
        <v>0</v>
      </c>
      <c r="R107" s="675"/>
      <c r="S107" s="2985"/>
      <c r="T107" s="420"/>
      <c r="U107" s="675"/>
      <c r="V107" s="2960"/>
      <c r="W107" s="2445"/>
      <c r="X107" s="2445"/>
      <c r="Y107" s="2449"/>
      <c r="Z107" s="2449"/>
      <c r="AA107" s="2458"/>
    </row>
    <row r="108" spans="2:27" s="922" customFormat="1" ht="18" customHeight="1">
      <c r="B108" s="1337"/>
      <c r="C108" s="2444" t="str">
        <f>Texte!A3331</f>
        <v>Korrekturzeile nach Bedarf</v>
      </c>
      <c r="D108" s="723"/>
      <c r="E108" s="723"/>
      <c r="F108" s="723"/>
      <c r="G108" s="723"/>
      <c r="H108" s="723"/>
      <c r="I108" s="723"/>
      <c r="J108" s="723"/>
      <c r="K108" s="2444"/>
      <c r="L108" s="675"/>
      <c r="M108" s="1452"/>
      <c r="N108" s="1362"/>
      <c r="O108" s="2996"/>
      <c r="P108" s="675"/>
      <c r="Q108" s="2982"/>
      <c r="R108" s="675"/>
      <c r="S108" s="2985"/>
      <c r="T108" s="420"/>
      <c r="U108" s="675"/>
      <c r="V108" s="2960"/>
      <c r="W108" s="2445"/>
      <c r="X108" s="2445"/>
      <c r="Y108" s="2449"/>
      <c r="Z108" s="2449"/>
      <c r="AA108" s="2458"/>
    </row>
    <row r="109" spans="2:27" ht="9" customHeight="1">
      <c r="B109" s="1324"/>
      <c r="C109" s="675"/>
      <c r="D109" s="1365"/>
      <c r="E109" s="675"/>
      <c r="F109" s="675"/>
      <c r="G109" s="675"/>
      <c r="H109" s="675"/>
      <c r="I109" s="675"/>
      <c r="J109" s="679"/>
      <c r="K109" s="1452"/>
      <c r="L109" s="675"/>
      <c r="M109" s="1425"/>
      <c r="N109" s="1362"/>
      <c r="O109" s="2995"/>
      <c r="P109" s="1362"/>
      <c r="Q109" s="2985"/>
      <c r="R109" s="675"/>
      <c r="S109" s="2985"/>
      <c r="T109" s="420"/>
      <c r="U109" s="675"/>
      <c r="V109" s="2969"/>
      <c r="W109" s="2445"/>
      <c r="X109" s="2445"/>
      <c r="Y109" s="2448"/>
      <c r="Z109" s="2448"/>
    </row>
    <row r="110" spans="2:27" ht="18" customHeight="1">
      <c r="B110" s="1326"/>
      <c r="C110" s="536"/>
      <c r="D110" s="1328"/>
      <c r="E110" s="924"/>
      <c r="F110" s="1328"/>
      <c r="G110" s="296"/>
      <c r="H110" s="296"/>
      <c r="I110" s="296"/>
      <c r="J110" s="1372"/>
      <c r="K110" s="2437"/>
      <c r="L110" s="3431"/>
      <c r="M110" s="3431"/>
      <c r="N110" s="30"/>
      <c r="O110" s="2995"/>
      <c r="P110" s="1362"/>
      <c r="Q110" s="2984" t="str">
        <f>Texte!$A$2642</f>
        <v>Summe der Beiträge</v>
      </c>
      <c r="R110" s="675" t="s">
        <v>4983</v>
      </c>
      <c r="S110" s="2986">
        <f>SUM(Q101:Q103,Q105:Q108)</f>
        <v>0</v>
      </c>
      <c r="T110" s="420"/>
      <c r="U110" s="675"/>
      <c r="V110" s="2969"/>
      <c r="W110" s="2445"/>
      <c r="X110" s="2445"/>
      <c r="Y110" s="2448"/>
      <c r="Z110" s="2448"/>
    </row>
    <row r="111" spans="2:27" s="922" customFormat="1" ht="18" customHeight="1">
      <c r="B111" s="1466" t="str">
        <f>Texte!A2696</f>
        <v>Weidebeitrag</v>
      </c>
      <c r="C111" s="672"/>
      <c r="D111" s="672"/>
      <c r="E111" s="672"/>
      <c r="F111" s="672"/>
      <c r="G111" s="672"/>
      <c r="H111" s="672"/>
      <c r="I111" s="672"/>
      <c r="J111" s="672"/>
      <c r="K111" s="675"/>
      <c r="L111" s="675"/>
      <c r="M111" s="675"/>
      <c r="N111" s="675"/>
      <c r="O111" s="2995"/>
      <c r="P111" s="1362"/>
      <c r="Q111" s="2985"/>
      <c r="R111" s="675"/>
      <c r="S111" s="2985"/>
      <c r="T111" s="420"/>
      <c r="U111" s="872"/>
      <c r="V111" s="2960"/>
      <c r="W111" s="2963"/>
      <c r="X111" s="2447"/>
      <c r="Y111" s="2449">
        <f>Tierb!RiAlle_Raus</f>
        <v>1</v>
      </c>
      <c r="Z111" s="2449"/>
      <c r="AA111" s="2458"/>
    </row>
    <row r="112" spans="2:27" s="922" customFormat="1" ht="5.0999999999999996" customHeight="1">
      <c r="B112" s="1466"/>
      <c r="C112" s="672"/>
      <c r="D112" s="672"/>
      <c r="E112" s="672"/>
      <c r="F112" s="672"/>
      <c r="G112" s="672"/>
      <c r="H112" s="672"/>
      <c r="I112" s="672"/>
      <c r="J112" s="672"/>
      <c r="K112" s="675"/>
      <c r="L112" s="675"/>
      <c r="M112" s="675"/>
      <c r="N112" s="675"/>
      <c r="O112" s="2995"/>
      <c r="P112" s="1362"/>
      <c r="Q112" s="2985"/>
      <c r="R112" s="675"/>
      <c r="S112" s="2985"/>
      <c r="T112" s="420"/>
      <c r="U112" s="872"/>
      <c r="V112" s="2960"/>
      <c r="W112" s="2447"/>
      <c r="X112" s="2447"/>
      <c r="Y112" s="2449"/>
      <c r="Z112" s="2449"/>
      <c r="AA112" s="2458"/>
    </row>
    <row r="113" spans="2:27" s="922" customFormat="1" ht="18" customHeight="1">
      <c r="B113" s="1337"/>
      <c r="C113" t="str">
        <f>Texte!A2749</f>
        <v>Über 160 Tage alte Tiere der Rindergattung und Wasserbüffel</v>
      </c>
      <c r="D113" s="675"/>
      <c r="E113" s="675"/>
      <c r="F113" s="675"/>
      <c r="G113" s="675"/>
      <c r="H113" s="675"/>
      <c r="I113" s="2440" t="str">
        <f>Texte!$A$2729</f>
        <v>ja</v>
      </c>
      <c r="J113" s="675"/>
      <c r="K113" s="675"/>
      <c r="L113" s="675"/>
      <c r="M113" s="2770">
        <v>350</v>
      </c>
      <c r="N113" s="1362" t="s">
        <v>1045</v>
      </c>
      <c r="O113" s="2959">
        <f>IF(Z113,V113,0)</f>
        <v>0</v>
      </c>
      <c r="P113" s="1362" t="s">
        <v>4983</v>
      </c>
      <c r="Q113" s="2980">
        <f>IF($Z$113,M113*O113,0)</f>
        <v>0</v>
      </c>
      <c r="R113" s="675"/>
      <c r="S113" s="2985"/>
      <c r="T113" s="420"/>
      <c r="U113" s="872"/>
      <c r="V113" s="2966">
        <f>IF(RiAlle_Raus=1,Tierb!RiGVE_RAUS - V115,0)</f>
        <v>0</v>
      </c>
      <c r="W113" s="2447"/>
      <c r="X113" s="2447"/>
      <c r="Y113" s="2478"/>
      <c r="Z113" s="2478" t="b">
        <v>0</v>
      </c>
      <c r="AA113" s="2458"/>
    </row>
    <row r="114" spans="2:27" s="922" customFormat="1" ht="18" customHeight="1">
      <c r="B114" s="1337"/>
      <c r="C114" t="str">
        <f>Texte!A2750</f>
        <v>Abzug für Tiere über 160 Tage, die keinen Weidebeitrag erhalten</v>
      </c>
      <c r="D114" s="675"/>
      <c r="E114" s="675"/>
      <c r="F114" s="675"/>
      <c r="G114" s="675"/>
      <c r="H114" s="675"/>
      <c r="I114" s="2440"/>
      <c r="J114" s="675"/>
      <c r="K114" s="675"/>
      <c r="L114" s="675"/>
      <c r="M114" s="2964"/>
      <c r="N114" s="1362"/>
      <c r="O114" s="2997"/>
      <c r="P114" s="1362"/>
      <c r="Q114" s="2980">
        <f>IF($Z$113,-M113*MIN(MAX(O114,0),V113),0)</f>
        <v>0</v>
      </c>
      <c r="R114" s="675"/>
      <c r="S114" s="2985"/>
      <c r="T114" s="420"/>
      <c r="U114" s="872"/>
      <c r="V114" s="2973"/>
      <c r="W114" s="2447"/>
      <c r="X114" s="2447"/>
      <c r="Y114" s="2478"/>
      <c r="Z114" s="2478"/>
      <c r="AA114" s="2458"/>
    </row>
    <row r="115" spans="2:27" s="922" customFormat="1" ht="18" customHeight="1">
      <c r="B115" s="1337"/>
      <c r="C115" s="675" t="str">
        <f>C102</f>
        <v>Tiere der Rindergattung und Wasserbüffel, bis 160 Tage</v>
      </c>
      <c r="D115" s="675"/>
      <c r="E115" s="675"/>
      <c r="F115" s="675"/>
      <c r="G115" s="675"/>
      <c r="H115" s="675"/>
      <c r="I115" s="2440" t="str">
        <f>Texte!$A$2729</f>
        <v>ja</v>
      </c>
      <c r="J115" s="675"/>
      <c r="K115" s="675"/>
      <c r="L115" s="675"/>
      <c r="M115" s="2770">
        <v>530</v>
      </c>
      <c r="N115" s="1362" t="s">
        <v>1045</v>
      </c>
      <c r="O115" s="2959">
        <f>IF(Z115,V115,0)</f>
        <v>0</v>
      </c>
      <c r="P115" s="1362" t="s">
        <v>4983</v>
      </c>
      <c r="Q115" s="2980">
        <f>IF($Z$115,M115*O115,0)</f>
        <v>0</v>
      </c>
      <c r="R115" s="675"/>
      <c r="S115" s="2985"/>
      <c r="T115" s="420"/>
      <c r="U115" s="872"/>
      <c r="V115" s="2966">
        <f>IF(RiAlle_Raus=1,Tierb!CA18,0)</f>
        <v>0</v>
      </c>
      <c r="W115" s="2447"/>
      <c r="X115" s="2447"/>
      <c r="Y115" s="2478"/>
      <c r="Z115" s="2478" t="b">
        <v>0</v>
      </c>
      <c r="AA115" s="2458"/>
    </row>
    <row r="116" spans="2:27" s="922" customFormat="1" ht="18" customHeight="1">
      <c r="B116" s="1337"/>
      <c r="C116" t="str">
        <f>Texte!A2751</f>
        <v>Abzug für Tiere bis 160 Tage, die keinen Weidebeitrag erhalten</v>
      </c>
      <c r="D116" s="675"/>
      <c r="E116" s="675"/>
      <c r="F116" s="675"/>
      <c r="G116" s="675"/>
      <c r="H116" s="675"/>
      <c r="I116" s="2440"/>
      <c r="J116" s="675"/>
      <c r="K116" s="675"/>
      <c r="L116" s="675"/>
      <c r="M116" s="1452"/>
      <c r="N116" s="1362"/>
      <c r="O116" s="2997"/>
      <c r="P116" s="675"/>
      <c r="Q116" s="2980">
        <f>IF($Z$115,-M115*MIN(MAX(O116,0),V115),0)</f>
        <v>0</v>
      </c>
      <c r="R116" s="675"/>
      <c r="S116" s="2985"/>
      <c r="T116" s="420"/>
      <c r="U116" s="872"/>
      <c r="V116" s="2960"/>
      <c r="W116" s="2447"/>
      <c r="X116" s="2447"/>
      <c r="Y116" s="2449"/>
      <c r="Z116" s="2449"/>
      <c r="AA116" s="2458"/>
    </row>
    <row r="117" spans="2:27" ht="9" customHeight="1">
      <c r="B117" s="1324"/>
      <c r="C117" s="1365"/>
      <c r="D117" s="1365"/>
      <c r="E117" s="675"/>
      <c r="F117" s="675"/>
      <c r="G117" s="675"/>
      <c r="H117" s="675"/>
      <c r="I117" s="675"/>
      <c r="J117" s="679"/>
      <c r="K117" s="1452"/>
      <c r="L117" s="675"/>
      <c r="M117" s="1425"/>
      <c r="N117" s="1362"/>
      <c r="O117" s="2995"/>
      <c r="P117" s="1362"/>
      <c r="Q117" s="2985"/>
      <c r="R117" s="675"/>
      <c r="S117" s="2985"/>
      <c r="T117" s="420"/>
      <c r="U117" s="679"/>
      <c r="V117" s="2969"/>
      <c r="W117" s="2446"/>
      <c r="X117" s="2446"/>
      <c r="Y117" s="2448"/>
      <c r="Z117" s="2448"/>
    </row>
    <row r="118" spans="2:27" ht="20.100000000000001" customHeight="1">
      <c r="B118" s="1326"/>
      <c r="D118" s="1328"/>
      <c r="E118" s="924"/>
      <c r="F118" s="1328"/>
      <c r="G118" s="296"/>
      <c r="H118" s="296"/>
      <c r="I118" s="296"/>
      <c r="J118" s="1372"/>
      <c r="K118" s="2437"/>
      <c r="L118" s="3431"/>
      <c r="M118" s="3431"/>
      <c r="N118" s="30"/>
      <c r="O118" s="2995"/>
      <c r="P118" s="1362"/>
      <c r="Q118" s="2984" t="str">
        <f>Texte!$A$2642</f>
        <v>Summe der Beiträge</v>
      </c>
      <c r="R118" s="675" t="s">
        <v>4983</v>
      </c>
      <c r="S118" s="2986">
        <f>SUM(Q113:Q116)</f>
        <v>0</v>
      </c>
      <c r="T118" s="420"/>
      <c r="V118" s="2969"/>
      <c r="Y118" s="2448"/>
      <c r="Z118" s="2448"/>
    </row>
    <row r="119" spans="2:27" ht="5.0999999999999996" customHeight="1">
      <c r="B119" s="1324"/>
      <c r="C119" s="675"/>
      <c r="D119" s="675"/>
      <c r="E119" s="1340"/>
      <c r="F119" s="691"/>
      <c r="G119" s="691"/>
      <c r="H119" s="691"/>
      <c r="I119" s="691"/>
      <c r="J119" s="1327"/>
      <c r="K119" s="2438"/>
      <c r="L119" s="2438"/>
      <c r="M119" s="2438"/>
      <c r="N119" s="1344"/>
      <c r="O119" s="2995"/>
      <c r="P119" s="675"/>
      <c r="Q119" s="2985"/>
      <c r="R119" s="675"/>
      <c r="S119" s="2985"/>
      <c r="T119" s="420"/>
      <c r="U119" s="675"/>
      <c r="V119" s="2969"/>
      <c r="W119" s="2445"/>
      <c r="X119" s="2445"/>
      <c r="Y119" s="2449"/>
      <c r="Z119" s="2449"/>
      <c r="AA119" s="2456"/>
    </row>
    <row r="120" spans="2:27" s="922" customFormat="1" ht="18" customHeight="1">
      <c r="B120" s="1466" t="str">
        <f>Texte!A2752</f>
        <v>Längere Nutzungsdauer von Kühen</v>
      </c>
      <c r="C120" s="672"/>
      <c r="D120" s="672"/>
      <c r="E120" s="672"/>
      <c r="F120" s="672"/>
      <c r="G120" s="672"/>
      <c r="H120" s="672"/>
      <c r="I120" s="672"/>
      <c r="J120" s="672"/>
      <c r="K120" s="2440" t="str">
        <f>Texte!A2755</f>
        <v>durchschnittliche Anzahl</v>
      </c>
      <c r="L120" s="675"/>
      <c r="M120" s="675"/>
      <c r="N120" s="675"/>
      <c r="O120" s="2995"/>
      <c r="P120" s="1362"/>
      <c r="Q120" s="2985"/>
      <c r="R120" s="675"/>
      <c r="S120" s="2985"/>
      <c r="T120" s="420"/>
      <c r="U120" s="872"/>
      <c r="V120" s="2960"/>
      <c r="W120" s="2447"/>
      <c r="X120" s="2447"/>
      <c r="Y120" s="2449"/>
      <c r="Z120" s="2449"/>
      <c r="AA120" s="2458"/>
    </row>
    <row r="121" spans="2:27" s="922" customFormat="1" ht="15.75">
      <c r="B121" s="1466"/>
      <c r="C121" s="672"/>
      <c r="D121" s="672"/>
      <c r="E121" s="672"/>
      <c r="F121" s="672"/>
      <c r="G121" s="672"/>
      <c r="H121" s="672"/>
      <c r="I121" s="672"/>
      <c r="J121" s="672"/>
      <c r="K121" s="2440" t="str">
        <f>Texte!A2756</f>
        <v>Abkalbungen</v>
      </c>
      <c r="L121" s="675"/>
      <c r="M121" s="675"/>
      <c r="N121" s="675"/>
      <c r="O121" s="2995"/>
      <c r="P121" s="1362"/>
      <c r="Q121" s="2985"/>
      <c r="R121" s="675"/>
      <c r="S121" s="2985"/>
      <c r="T121" s="420"/>
      <c r="U121" s="872"/>
      <c r="V121" s="2960"/>
      <c r="W121" s="2447"/>
      <c r="X121" s="2447"/>
      <c r="Y121" s="2449"/>
      <c r="Z121" s="2449"/>
      <c r="AA121" s="2458"/>
    </row>
    <row r="122" spans="2:27" s="922" customFormat="1" ht="18" customHeight="1">
      <c r="B122" s="1337"/>
      <c r="C122" t="str">
        <f>Texte!A2753</f>
        <v>Milchkühe</v>
      </c>
      <c r="D122" s="675"/>
      <c r="E122" s="675"/>
      <c r="F122" s="675"/>
      <c r="G122" s="675"/>
      <c r="H122" s="675"/>
      <c r="I122" s="2440"/>
      <c r="J122" s="675"/>
      <c r="K122" s="2439"/>
      <c r="L122" s="675"/>
      <c r="M122" s="3318">
        <f>IF(Allg!Erntejahr&gt;2023,IF(K122&lt;3,0,IF(K122&gt;=7,100,10+((100-10)/(7-3)*(K122-3)))),IF(K122&lt;3,0,IF(K122&gt;=7,200,10+((200-10)/(7-3)*(K122-3)))))</f>
        <v>0</v>
      </c>
      <c r="N122" s="1362" t="s">
        <v>1045</v>
      </c>
      <c r="O122" s="2961">
        <f>V122</f>
        <v>0</v>
      </c>
      <c r="P122" s="1362" t="s">
        <v>4983</v>
      </c>
      <c r="Q122" s="2980">
        <f>M122*O122</f>
        <v>0</v>
      </c>
      <c r="R122" s="675"/>
      <c r="S122" s="2985"/>
      <c r="T122" s="420"/>
      <c r="U122" s="872"/>
      <c r="V122" s="2966">
        <f>Tierb!MKGVE_eff</f>
        <v>0</v>
      </c>
      <c r="W122" s="2447"/>
      <c r="X122" s="2447"/>
      <c r="Y122" s="2478"/>
      <c r="Z122" s="2478" t="b">
        <v>0</v>
      </c>
      <c r="AA122" s="2458"/>
    </row>
    <row r="123" spans="2:27" s="922" customFormat="1" ht="18" customHeight="1">
      <c r="B123" s="1337"/>
      <c r="C123" t="str">
        <f>Texte!A2754</f>
        <v>Andere Kühe</v>
      </c>
      <c r="D123" s="675"/>
      <c r="E123" s="675"/>
      <c r="F123" s="675"/>
      <c r="G123" s="675"/>
      <c r="H123" s="675"/>
      <c r="I123" s="2440"/>
      <c r="J123" s="675"/>
      <c r="K123" s="2439"/>
      <c r="L123" s="675"/>
      <c r="M123" s="3318">
        <f>IF(Allg!Erntejahr&gt;2023,IF(K123&lt;4,0,IF(K123&gt;=8,100,10+((100-10)/(8-4)*(K123-4)))),IF(K123&lt;4,0,IF(K123&gt;=8,200,10+((200-10)/(8-4)*(K123-4)))))</f>
        <v>0</v>
      </c>
      <c r="N123" s="1362" t="s">
        <v>1045</v>
      </c>
      <c r="O123" s="2961">
        <f>V123</f>
        <v>0</v>
      </c>
      <c r="P123" s="1362" t="s">
        <v>4983</v>
      </c>
      <c r="Q123" s="2980">
        <f>M123*O123</f>
        <v>0</v>
      </c>
      <c r="R123" s="675"/>
      <c r="S123" s="2985"/>
      <c r="T123" s="420"/>
      <c r="U123" s="872"/>
      <c r="V123" s="2971">
        <f>Tierb!OKGVE_eff</f>
        <v>0</v>
      </c>
      <c r="W123" s="2447"/>
      <c r="X123" s="2447"/>
      <c r="Y123" s="2478"/>
      <c r="Z123" s="2478" t="b">
        <v>0</v>
      </c>
      <c r="AA123" s="2458"/>
    </row>
    <row r="124" spans="2:27" ht="9" customHeight="1">
      <c r="B124" s="1324"/>
      <c r="C124" s="1365"/>
      <c r="D124" s="1365"/>
      <c r="E124" s="675"/>
      <c r="F124" s="675"/>
      <c r="G124" s="675"/>
      <c r="H124" s="675"/>
      <c r="I124" s="675"/>
      <c r="J124" s="679"/>
      <c r="K124" s="1452"/>
      <c r="L124" s="675"/>
      <c r="M124" s="1425"/>
      <c r="N124" s="1362"/>
      <c r="O124" s="2995"/>
      <c r="P124" s="1362"/>
      <c r="Q124" s="2985"/>
      <c r="R124" s="675"/>
      <c r="S124" s="2985"/>
      <c r="T124" s="420"/>
      <c r="U124" s="679"/>
      <c r="V124" s="2969"/>
      <c r="W124" s="2446"/>
      <c r="X124" s="2446"/>
      <c r="Y124" s="2448"/>
      <c r="Z124" s="2448"/>
    </row>
    <row r="125" spans="2:27" ht="20.100000000000001" customHeight="1">
      <c r="B125" s="1326"/>
      <c r="D125" s="1328"/>
      <c r="E125" s="924"/>
      <c r="F125" s="1328"/>
      <c r="G125" s="296"/>
      <c r="H125" s="296"/>
      <c r="I125" s="296"/>
      <c r="J125" s="1372"/>
      <c r="K125" s="2437"/>
      <c r="L125" s="3431"/>
      <c r="M125" s="3431"/>
      <c r="N125" s="30"/>
      <c r="O125" s="2995"/>
      <c r="P125" s="1362"/>
      <c r="Q125" s="2984" t="str">
        <f>Texte!$A$2642</f>
        <v>Summe der Beiträge</v>
      </c>
      <c r="R125" s="675" t="s">
        <v>4983</v>
      </c>
      <c r="S125" s="2986">
        <f>SUM(Q122:Q123)</f>
        <v>0</v>
      </c>
      <c r="T125" s="420"/>
      <c r="V125" s="2969"/>
      <c r="Y125" s="2448"/>
      <c r="Z125" s="2448"/>
    </row>
    <row r="126" spans="2:27" ht="5.0999999999999996" customHeight="1">
      <c r="B126" s="1324"/>
      <c r="C126" s="675"/>
      <c r="D126" s="675"/>
      <c r="E126" s="1340"/>
      <c r="F126" s="691"/>
      <c r="G126" s="691"/>
      <c r="H126" s="691"/>
      <c r="I126" s="691"/>
      <c r="J126" s="1327"/>
      <c r="K126" s="2438"/>
      <c r="L126" s="2438"/>
      <c r="M126" s="2438"/>
      <c r="N126" s="1344"/>
      <c r="O126" s="2995"/>
      <c r="P126" s="675"/>
      <c r="Q126" s="2985"/>
      <c r="R126" s="675"/>
      <c r="S126" s="2985"/>
      <c r="T126" s="420"/>
      <c r="U126" s="675"/>
      <c r="V126" s="2969"/>
      <c r="W126" s="2445"/>
      <c r="X126" s="2445"/>
      <c r="Y126" s="2449"/>
      <c r="Z126" s="2449"/>
      <c r="AA126" s="2456"/>
    </row>
    <row r="127" spans="2:27" ht="12.2" customHeight="1">
      <c r="B127" s="1324"/>
      <c r="C127" s="675"/>
      <c r="D127" s="675"/>
      <c r="E127" s="1340"/>
      <c r="F127" s="691"/>
      <c r="G127" s="691"/>
      <c r="H127" s="691"/>
      <c r="I127" s="691"/>
      <c r="J127" s="1327"/>
      <c r="K127" s="2438"/>
      <c r="L127" s="2438"/>
      <c r="M127" s="2438"/>
      <c r="N127" s="1344"/>
      <c r="O127" s="2995"/>
      <c r="P127" s="675"/>
      <c r="Q127" s="2985"/>
      <c r="R127" s="675"/>
      <c r="S127" s="2985"/>
      <c r="T127" s="420"/>
      <c r="U127" s="675"/>
      <c r="V127" s="2969"/>
      <c r="W127" s="2445"/>
      <c r="X127" s="2445"/>
      <c r="Y127" s="2449"/>
      <c r="Z127" s="2449"/>
      <c r="AA127" s="2456"/>
    </row>
    <row r="128" spans="2:27" s="922" customFormat="1" ht="17.100000000000001" customHeight="1">
      <c r="B128" s="1343" t="str">
        <f>Texte!A2757</f>
        <v>Total Produktionssystembeiträge</v>
      </c>
      <c r="C128" s="675"/>
      <c r="D128" s="675"/>
      <c r="E128" s="675"/>
      <c r="F128" s="675"/>
      <c r="G128" s="675"/>
      <c r="H128" s="675"/>
      <c r="I128" s="675"/>
      <c r="J128" s="675"/>
      <c r="K128" s="675"/>
      <c r="L128" s="675"/>
      <c r="M128" s="675"/>
      <c r="N128" s="675"/>
      <c r="O128" s="2968"/>
      <c r="P128" s="675"/>
      <c r="Q128" s="2992"/>
      <c r="R128" s="675"/>
      <c r="S128" s="2988">
        <f>SUM(S14,S63,S80,S86,S98,S110,S118,S125)</f>
        <v>309938.72500000003</v>
      </c>
      <c r="T128" s="420"/>
      <c r="U128" s="675"/>
      <c r="V128" s="2960"/>
      <c r="W128" s="2445"/>
      <c r="X128" s="2445"/>
      <c r="Y128" s="2449"/>
      <c r="Z128" s="2449"/>
      <c r="AA128" s="2458"/>
    </row>
    <row r="129" spans="2:27" s="922" customFormat="1" ht="6" customHeight="1">
      <c r="B129" s="1367"/>
      <c r="C129" s="1351"/>
      <c r="D129" s="1351"/>
      <c r="E129" s="1351"/>
      <c r="F129" s="1351"/>
      <c r="G129" s="1351"/>
      <c r="H129" s="1351"/>
      <c r="I129" s="1351"/>
      <c r="J129" s="678"/>
      <c r="K129" s="678"/>
      <c r="L129" s="678"/>
      <c r="M129" s="1351"/>
      <c r="N129" s="1351"/>
      <c r="O129" s="2998"/>
      <c r="P129" s="1351"/>
      <c r="Q129" s="2965"/>
      <c r="R129" s="1351"/>
      <c r="S129" s="2989"/>
      <c r="T129" s="1329"/>
      <c r="U129" s="675"/>
      <c r="V129" s="2960"/>
      <c r="W129" s="2445"/>
      <c r="X129" s="2445"/>
      <c r="Y129" s="2449"/>
      <c r="Z129" s="2449"/>
      <c r="AA129" s="2458"/>
    </row>
    <row r="130" spans="2:27" s="922" customFormat="1" ht="6" customHeight="1">
      <c r="B130" s="679"/>
      <c r="C130" s="675"/>
      <c r="D130" s="675"/>
      <c r="E130" s="675"/>
      <c r="F130" s="675"/>
      <c r="G130" s="675"/>
      <c r="H130" s="675"/>
      <c r="I130" s="675"/>
      <c r="J130" s="679"/>
      <c r="K130" s="679"/>
      <c r="L130" s="679"/>
      <c r="M130" s="675"/>
      <c r="N130" s="675"/>
      <c r="O130" s="675"/>
      <c r="P130" s="675"/>
      <c r="Q130" s="675"/>
      <c r="R130" s="675"/>
      <c r="S130" s="1338"/>
      <c r="T130" s="1320"/>
      <c r="U130" s="675"/>
      <c r="V130" s="2960"/>
      <c r="W130" s="2445"/>
      <c r="X130" s="2445"/>
      <c r="Y130" s="2449"/>
      <c r="Z130" s="2449"/>
      <c r="AA130" s="2458"/>
    </row>
    <row r="131" spans="2:27" ht="12.75" customHeight="1">
      <c r="B131" s="1465" t="str">
        <f>Texte!A20</f>
        <v>Stand der Bestimmungen gültig ab 1.1.2025 oder 1.1.2026 oder 1.1.2027, gemäss den vorgeschlagenen Verordnungen des</v>
      </c>
      <c r="D131" s="675"/>
      <c r="E131" s="675"/>
      <c r="F131" s="675"/>
      <c r="G131" s="675"/>
      <c r="H131" s="675"/>
      <c r="I131" s="675"/>
      <c r="J131" s="675"/>
      <c r="K131" s="675"/>
      <c r="L131" s="675"/>
      <c r="M131" s="675"/>
      <c r="N131" s="675"/>
      <c r="O131" s="675"/>
      <c r="P131" s="675"/>
      <c r="Q131" s="675"/>
      <c r="R131" s="675"/>
      <c r="S131" s="675"/>
      <c r="T131" s="675"/>
      <c r="U131" s="675"/>
      <c r="V131" s="2969"/>
      <c r="W131" s="2445"/>
      <c r="X131" s="2445"/>
      <c r="Y131" s="2448"/>
      <c r="Z131" s="2448"/>
    </row>
    <row r="132" spans="2:27" ht="12.75" customHeight="1">
      <c r="B132" s="1465" t="str">
        <f>Texte!A18</f>
        <v xml:space="preserve">Bundesrates vor der Wintersession. Die Berechnung erfolgt für das im Blatt "Allg" eingestellte Jahr. </v>
      </c>
      <c r="D132" s="675"/>
      <c r="E132" s="675"/>
      <c r="F132" s="675"/>
      <c r="G132" s="675"/>
      <c r="H132" s="675"/>
      <c r="I132" s="675"/>
      <c r="J132" s="675"/>
      <c r="K132" s="675"/>
      <c r="L132" s="675"/>
      <c r="M132" s="675"/>
      <c r="N132" s="675"/>
      <c r="O132" s="675"/>
      <c r="P132" s="675"/>
      <c r="Q132" s="675"/>
      <c r="R132" s="675"/>
      <c r="S132" s="675"/>
      <c r="T132" s="675"/>
      <c r="U132" s="675"/>
      <c r="V132" s="2969"/>
      <c r="W132" s="2445"/>
      <c r="X132" s="2445"/>
      <c r="Y132" s="2448"/>
      <c r="Z132" s="2448"/>
    </row>
    <row r="133" spans="2:27" ht="12.75" customHeight="1">
      <c r="B133" s="1465" t="str">
        <f>Texte!A22</f>
        <v>AGRIDEA lehnt jede Haftung und Gewährleistung ab, die aus Berechnungen mit diesem Instrument abgeleitet werden.</v>
      </c>
      <c r="C133" s="675"/>
      <c r="D133" s="675"/>
      <c r="E133" s="675"/>
      <c r="F133" s="675"/>
      <c r="G133" s="675"/>
      <c r="H133" s="675"/>
      <c r="I133" s="675"/>
      <c r="J133" s="675"/>
      <c r="K133" s="675"/>
      <c r="L133" s="675"/>
      <c r="M133" s="675"/>
      <c r="N133" s="675"/>
      <c r="O133" s="675"/>
      <c r="P133" s="675"/>
      <c r="Q133" s="675"/>
      <c r="R133" s="675"/>
      <c r="S133" s="675"/>
      <c r="T133" s="675"/>
      <c r="U133" s="675"/>
      <c r="V133" s="2967"/>
      <c r="W133" s="2445"/>
      <c r="X133" s="2445"/>
      <c r="Y133" s="2448"/>
      <c r="Z133" s="2448"/>
      <c r="AA133" s="2456"/>
    </row>
    <row r="134" spans="2:27" ht="14.1" customHeight="1">
      <c r="B134" s="675"/>
      <c r="C134" s="675"/>
      <c r="D134" s="675"/>
      <c r="E134" s="675"/>
      <c r="F134" s="675"/>
      <c r="G134" s="675"/>
      <c r="H134" s="675"/>
      <c r="I134" s="675"/>
      <c r="J134" s="675"/>
      <c r="K134" s="675"/>
      <c r="L134" s="675"/>
      <c r="M134" s="675"/>
      <c r="N134" s="675"/>
      <c r="O134" s="675"/>
      <c r="P134" s="675"/>
      <c r="Q134" s="675"/>
      <c r="R134" s="675"/>
      <c r="S134" s="675"/>
      <c r="T134" s="675"/>
      <c r="U134" s="675"/>
      <c r="V134" s="2967"/>
      <c r="W134" s="2445"/>
      <c r="X134" s="2445"/>
      <c r="Y134" s="2448"/>
      <c r="Z134" s="2448"/>
      <c r="AA134" s="2456"/>
    </row>
    <row r="135" spans="2:27" ht="14.1" customHeight="1">
      <c r="B135" s="675"/>
      <c r="C135" s="675"/>
      <c r="D135" s="675"/>
      <c r="E135" s="675"/>
      <c r="F135" s="675"/>
      <c r="G135" s="675"/>
      <c r="H135" s="675"/>
      <c r="I135" s="675"/>
      <c r="J135" s="675"/>
      <c r="K135" s="675"/>
      <c r="L135" s="675"/>
      <c r="M135" s="675"/>
      <c r="N135" s="675"/>
      <c r="O135" s="675"/>
      <c r="P135" s="675"/>
      <c r="Q135" s="675"/>
      <c r="R135" s="675"/>
      <c r="S135" s="675"/>
      <c r="T135" s="675"/>
      <c r="U135" s="675"/>
      <c r="V135" s="2967"/>
      <c r="W135" s="2445"/>
      <c r="X135" s="2445"/>
      <c r="Y135" s="2448"/>
      <c r="Z135" s="2448"/>
      <c r="AA135" s="2456"/>
    </row>
    <row r="136" spans="2:27" ht="14.1" customHeight="1">
      <c r="B136" s="675"/>
      <c r="C136" s="675"/>
      <c r="D136" s="675"/>
      <c r="E136" s="675"/>
      <c r="F136" s="675"/>
      <c r="G136" s="675"/>
      <c r="H136" s="675"/>
      <c r="I136" s="675"/>
      <c r="J136" s="675"/>
      <c r="K136" s="675"/>
      <c r="L136" s="675"/>
      <c r="M136" s="675"/>
      <c r="N136" s="675"/>
      <c r="O136" s="675"/>
      <c r="P136" s="675"/>
      <c r="Q136" s="675"/>
      <c r="R136" s="675"/>
      <c r="S136" s="675"/>
      <c r="T136" s="675"/>
      <c r="U136" s="675"/>
      <c r="V136" s="2967"/>
      <c r="W136" s="2445"/>
      <c r="X136" s="2445"/>
      <c r="Y136" s="2448"/>
      <c r="Z136" s="2448"/>
      <c r="AA136" s="2456"/>
    </row>
    <row r="137" spans="2:27" ht="14.1" customHeight="1">
      <c r="B137" s="675"/>
      <c r="C137" s="675"/>
      <c r="D137" s="675"/>
      <c r="E137" s="675"/>
      <c r="F137" s="675"/>
      <c r="G137" s="675"/>
      <c r="H137" s="675"/>
      <c r="I137" s="675"/>
      <c r="J137" s="675"/>
      <c r="K137" s="675"/>
      <c r="L137" s="675"/>
      <c r="M137" s="675"/>
      <c r="N137" s="675"/>
      <c r="O137" s="675"/>
      <c r="P137" s="675"/>
      <c r="Q137" s="675"/>
      <c r="R137" s="675"/>
      <c r="S137" s="675"/>
      <c r="T137" s="675"/>
      <c r="U137" s="675"/>
      <c r="V137" s="2967"/>
      <c r="W137" s="2445"/>
      <c r="X137" s="2445"/>
      <c r="Y137" s="2448"/>
      <c r="Z137" s="2448"/>
      <c r="AA137" s="2456"/>
    </row>
    <row r="138" spans="2:27" ht="14.1" customHeight="1">
      <c r="V138" s="2969"/>
    </row>
  </sheetData>
  <sheetProtection algorithmName="SHA-512" hashValue="Sg6AAirY9E0jF4iLzJIfOS3YjL4Y8BbdgIx8P2B9MiA0FxwQPrW/899oYvWpVJ96cPHDVE9hl/BBf1/NVkfo3g==" saltValue="zPHlSOwPlN5tUZH6/0/P7A==" spinCount="100000" sheet="1" objects="1" scenarios="1"/>
  <mergeCells count="4">
    <mergeCell ref="L110:M110"/>
    <mergeCell ref="L98:M98"/>
    <mergeCell ref="L118:M118"/>
    <mergeCell ref="L125:M125"/>
  </mergeCells>
  <phoneticPr fontId="0" type="noConversion"/>
  <printOptions horizontalCentered="1"/>
  <pageMargins left="0.51181102362204722" right="0.43307086614173229" top="0.51181102362204722" bottom="0.55118110236220474" header="0.31496062992125984" footer="0.39370078740157483"/>
  <pageSetup paperSize="9" scale="83" fitToHeight="0"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7559" r:id="rId4" name="chk_ExtBGetr">
              <controlPr defaultSize="0" autoFill="0" autoLine="0" autoPict="0">
                <anchor moveWithCells="1">
                  <from>
                    <xdr:col>7</xdr:col>
                    <xdr:colOff>19050</xdr:colOff>
                    <xdr:row>75</xdr:row>
                    <xdr:rowOff>123825</xdr:rowOff>
                  </from>
                  <to>
                    <xdr:col>8</xdr:col>
                    <xdr:colOff>85725</xdr:colOff>
                    <xdr:row>77</xdr:row>
                    <xdr:rowOff>47625</xdr:rowOff>
                  </to>
                </anchor>
              </controlPr>
            </control>
          </mc:Choice>
        </mc:AlternateContent>
        <mc:AlternateContent xmlns:mc="http://schemas.openxmlformats.org/markup-compatibility/2006">
          <mc:Choice Requires="x14">
            <control shapeId="407561" r:id="rId5" name="Check Box 9">
              <controlPr defaultSize="0" autoFill="0" autoLine="0" autoPict="0">
                <anchor moveWithCells="1">
                  <from>
                    <xdr:col>9</xdr:col>
                    <xdr:colOff>19050</xdr:colOff>
                    <xdr:row>114</xdr:row>
                    <xdr:rowOff>0</xdr:rowOff>
                  </from>
                  <to>
                    <xdr:col>10</xdr:col>
                    <xdr:colOff>114300</xdr:colOff>
                    <xdr:row>114</xdr:row>
                    <xdr:rowOff>219075</xdr:rowOff>
                  </to>
                </anchor>
              </controlPr>
            </control>
          </mc:Choice>
        </mc:AlternateContent>
        <mc:AlternateContent xmlns:mc="http://schemas.openxmlformats.org/markup-compatibility/2006">
          <mc:Choice Requires="x14">
            <control shapeId="407560" r:id="rId6" name="Check Box 8">
              <controlPr defaultSize="0" autoFill="0" autoLine="0" autoPict="0">
                <anchor moveWithCells="1">
                  <from>
                    <xdr:col>9</xdr:col>
                    <xdr:colOff>19050</xdr:colOff>
                    <xdr:row>112</xdr:row>
                    <xdr:rowOff>0</xdr:rowOff>
                  </from>
                  <to>
                    <xdr:col>10</xdr:col>
                    <xdr:colOff>114300</xdr:colOff>
                    <xdr:row>112</xdr:row>
                    <xdr:rowOff>219075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1">
    <tabColor indexed="27"/>
    <pageSetUpPr fitToPage="1"/>
  </sheetPr>
  <dimension ref="A1:W89"/>
  <sheetViews>
    <sheetView showGridLines="0" showRowColHeaders="0" showZeros="0" workbookViewId="0">
      <selection activeCell="K10" sqref="K10"/>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2003" customWidth="1"/>
    <col min="2" max="2" width="1.7109375" style="2003" customWidth="1"/>
    <col min="3" max="3" width="10.7109375" style="2003" customWidth="1"/>
    <col min="4" max="4" width="7.5703125" style="2003" customWidth="1"/>
    <col min="5" max="5" width="11" style="2003" customWidth="1"/>
    <col min="6" max="6" width="7.42578125" style="2003" customWidth="1"/>
    <col min="7" max="7" width="11.7109375" style="2003" customWidth="1"/>
    <col min="8" max="8" width="12.85546875" style="2003" customWidth="1"/>
    <col min="9" max="9" width="11.140625" style="2003" customWidth="1"/>
    <col min="10" max="10" width="4.5703125" style="2003" customWidth="1"/>
    <col min="11" max="11" width="11.28515625" style="2003" customWidth="1"/>
    <col min="12" max="12" width="3.28515625" style="2003" customWidth="1"/>
    <col min="13" max="13" width="10.28515625" style="2003" customWidth="1"/>
    <col min="14" max="14" width="3.7109375" style="2003" customWidth="1"/>
    <col min="15" max="15" width="5.7109375" style="2003" customWidth="1"/>
    <col min="16" max="16" width="2.28515625" style="2003" customWidth="1"/>
    <col min="17" max="17" width="14.42578125" style="2003" customWidth="1"/>
    <col min="18" max="18" width="0.85546875" style="2003" customWidth="1"/>
    <col min="19" max="19" width="11.42578125" style="2003"/>
    <col min="20" max="20" width="16.42578125" style="2472" hidden="1" customWidth="1"/>
    <col min="21" max="21" width="15.140625" style="2472" hidden="1" customWidth="1"/>
    <col min="22" max="16384" width="11.42578125" style="2003"/>
  </cols>
  <sheetData>
    <row r="1" spans="2:21" ht="42" customHeight="1">
      <c r="B1" s="1378" t="str">
        <f>Q!NW_Tit</f>
        <v xml:space="preserve">                                   Nachweis</v>
      </c>
      <c r="F1" s="2020"/>
      <c r="P1" s="2021"/>
      <c r="Q1" s="20" t="str">
        <f>Q!F48</f>
        <v>Ressourceneffizienz</v>
      </c>
      <c r="R1" s="20"/>
      <c r="S1" s="686"/>
      <c r="T1" s="2474"/>
      <c r="U1" s="2474"/>
    </row>
    <row r="2" spans="2:21" s="2023" customFormat="1" ht="11.1" customHeight="1" thickBot="1">
      <c r="B2" s="2022"/>
      <c r="C2" s="2022"/>
      <c r="D2" s="2022"/>
      <c r="E2" s="2022"/>
      <c r="F2" s="2022"/>
      <c r="G2" s="2022"/>
      <c r="H2" s="2022"/>
      <c r="I2" s="2022"/>
      <c r="J2" s="2022"/>
      <c r="K2" s="2022"/>
      <c r="L2" s="2022"/>
      <c r="M2" s="2022"/>
      <c r="N2" s="2022"/>
      <c r="O2" s="2022"/>
      <c r="P2" s="2022"/>
      <c r="Q2" s="44"/>
      <c r="R2" s="44"/>
      <c r="S2" s="686"/>
      <c r="T2" s="2474"/>
      <c r="U2" s="2474"/>
    </row>
    <row r="3" spans="2:21" s="2024" customFormat="1" ht="21.95" customHeight="1">
      <c r="B3" s="1861" t="str">
        <f>Texte!A13</f>
        <v>Betrieb:</v>
      </c>
      <c r="C3" s="569"/>
      <c r="D3" s="569" t="str">
        <f>Allg!$C$9&amp;""</f>
        <v>Imhof &amp; Zaehner Betriebsgemeinschaft</v>
      </c>
      <c r="E3" s="569"/>
      <c r="F3" s="569"/>
      <c r="G3" s="1862"/>
      <c r="H3" s="569"/>
      <c r="I3" s="569"/>
      <c r="J3" s="1863" t="str">
        <f>Texte!A14</f>
        <v>Variante:</v>
      </c>
      <c r="K3" s="1433" t="str">
        <f>Allg!$G$7&amp;""</f>
        <v/>
      </c>
      <c r="L3" s="1863"/>
      <c r="M3" s="1433"/>
      <c r="N3" s="569"/>
      <c r="O3" s="569"/>
      <c r="P3" s="1863" t="str">
        <f>Texte!A15</f>
        <v>Jahr:</v>
      </c>
      <c r="Q3" s="1859" t="str">
        <f>Allg!$G$6&amp;""</f>
        <v>2026</v>
      </c>
      <c r="R3" s="1859"/>
      <c r="S3" s="1"/>
      <c r="T3" s="2474"/>
      <c r="U3" s="2474"/>
    </row>
    <row r="4" spans="2:21" ht="39.75" customHeight="1">
      <c r="B4" s="686"/>
      <c r="C4" s="686"/>
      <c r="D4" s="686"/>
      <c r="E4" s="686"/>
      <c r="F4" s="686"/>
      <c r="G4" s="686"/>
      <c r="H4" s="686"/>
      <c r="I4" s="686"/>
      <c r="J4" s="686"/>
      <c r="K4" s="686"/>
      <c r="L4" s="686"/>
      <c r="M4" s="686"/>
      <c r="N4" s="686"/>
      <c r="O4" s="686"/>
      <c r="P4" s="686"/>
      <c r="Q4" s="686"/>
      <c r="R4" s="686"/>
      <c r="S4" s="686"/>
      <c r="T4" s="2474"/>
      <c r="U4" s="2474"/>
    </row>
    <row r="5" spans="2:21" ht="17.100000000000001" customHeight="1">
      <c r="B5" s="2025" t="str">
        <f>Texte!A2759</f>
        <v>Ressourceneffizienzbeiträge (nationale: REB, Art. 77 bis 83 und Anhang 7 DZV)</v>
      </c>
      <c r="C5" s="686"/>
      <c r="D5" s="686"/>
      <c r="E5" s="686"/>
      <c r="F5" s="686"/>
      <c r="G5" s="686"/>
      <c r="H5" s="686"/>
      <c r="I5" s="686"/>
      <c r="J5" s="686"/>
      <c r="K5" s="686"/>
      <c r="L5" s="686"/>
      <c r="M5" s="686"/>
      <c r="N5" s="686"/>
      <c r="O5" s="686"/>
      <c r="P5" s="686"/>
      <c r="Q5" s="686"/>
      <c r="R5" s="686"/>
      <c r="S5" s="686"/>
      <c r="T5" s="2474"/>
      <c r="U5" s="2474"/>
    </row>
    <row r="6" spans="2:21" ht="7.15" customHeight="1">
      <c r="B6" s="2026"/>
      <c r="C6" s="2027"/>
      <c r="D6" s="2027"/>
      <c r="E6" s="2027"/>
      <c r="F6" s="2027"/>
      <c r="G6" s="2027"/>
      <c r="H6" s="2027"/>
      <c r="I6" s="1460"/>
      <c r="J6" s="1323"/>
      <c r="K6" s="1323"/>
      <c r="L6" s="1323"/>
      <c r="M6" s="1460"/>
      <c r="N6" s="1323"/>
      <c r="O6" s="1460"/>
      <c r="P6" s="1460"/>
      <c r="Q6" s="1460"/>
      <c r="R6" s="528"/>
      <c r="S6" s="686"/>
      <c r="T6" s="2474"/>
      <c r="U6" s="2474"/>
    </row>
    <row r="7" spans="2:21" ht="16.5" customHeight="1">
      <c r="B7" s="1466"/>
      <c r="C7" s="2028"/>
      <c r="D7" s="2028"/>
      <c r="E7" s="2028"/>
      <c r="F7" s="2028"/>
      <c r="G7" s="2028"/>
      <c r="H7" s="2028"/>
      <c r="I7" s="686" t="str">
        <f>Texte!A2760</f>
        <v>Betrag (CHF)</v>
      </c>
      <c r="J7" s="1325"/>
      <c r="K7" s="1325"/>
      <c r="L7" s="1325"/>
      <c r="M7" s="686" t="str">
        <f>Texte!A2763</f>
        <v>Zwischentotal</v>
      </c>
      <c r="N7" s="1325"/>
      <c r="O7" s="686"/>
      <c r="P7" s="686"/>
      <c r="Q7" s="686" t="str">
        <f>Texte!A2764</f>
        <v>Total (CHF)</v>
      </c>
      <c r="R7" s="481"/>
      <c r="S7" s="686"/>
      <c r="T7" s="2474"/>
      <c r="U7" s="2474"/>
    </row>
    <row r="8" spans="2:21" ht="12.2" hidden="1" customHeight="1">
      <c r="B8" s="1466"/>
      <c r="C8" s="2028"/>
      <c r="D8" s="2028"/>
      <c r="E8" s="2028"/>
      <c r="F8" s="2028"/>
      <c r="G8" s="2028"/>
      <c r="H8" s="2028"/>
      <c r="I8" s="686"/>
      <c r="J8" s="1325"/>
      <c r="K8" s="1325" t="str">
        <f>Texte!A2761</f>
        <v xml:space="preserve">Anz. Gaben x </v>
      </c>
      <c r="L8" s="1325"/>
      <c r="M8" s="686"/>
      <c r="N8" s="1325"/>
      <c r="O8" s="686"/>
      <c r="P8" s="686"/>
      <c r="Q8" s="686"/>
      <c r="R8" s="481"/>
      <c r="S8" s="686"/>
      <c r="T8" s="2474"/>
      <c r="U8" s="2474"/>
    </row>
    <row r="9" spans="2:21" ht="13.7" hidden="1" customHeight="1">
      <c r="B9" s="1466" t="str">
        <f>Texte!A2765</f>
        <v>Emissionsmindernde Ausbringverfahren*</v>
      </c>
      <c r="C9" s="2029"/>
      <c r="D9" s="2029"/>
      <c r="E9" s="2029"/>
      <c r="F9" s="2029"/>
      <c r="G9" s="2029"/>
      <c r="H9" s="686"/>
      <c r="I9" s="686"/>
      <c r="J9" s="1325"/>
      <c r="K9" s="1325" t="str">
        <f>Texte!A2762</f>
        <v>Fläche (ha)</v>
      </c>
      <c r="L9" s="1325"/>
      <c r="M9" s="686"/>
      <c r="N9" s="686"/>
      <c r="O9" s="686"/>
      <c r="P9" s="1325"/>
      <c r="Q9" s="1327"/>
      <c r="R9" s="481"/>
      <c r="S9" s="686"/>
      <c r="T9" s="2471" t="s">
        <v>11501</v>
      </c>
      <c r="U9" s="2473" t="s">
        <v>11502</v>
      </c>
    </row>
    <row r="10" spans="2:21" ht="17.100000000000001" hidden="1" customHeight="1">
      <c r="B10" s="2030"/>
      <c r="C10" s="686" t="str">
        <f>Texte!A2766</f>
        <v>zu Beiträgen berechtigende Ausbringfläche (ha x Anz. Gaben)</v>
      </c>
      <c r="D10" s="686"/>
      <c r="E10" s="686"/>
      <c r="F10" s="686"/>
      <c r="G10" s="686"/>
      <c r="H10" s="686"/>
      <c r="I10" s="557">
        <v>30</v>
      </c>
      <c r="J10" s="1325" t="s">
        <v>1045</v>
      </c>
      <c r="K10" s="1906"/>
      <c r="L10" s="1325"/>
      <c r="N10" s="1338"/>
      <c r="O10" s="1338"/>
      <c r="P10" s="1325" t="s">
        <v>4983</v>
      </c>
      <c r="Q10" s="1920">
        <v>0</v>
      </c>
      <c r="R10" s="481"/>
      <c r="S10" s="2031"/>
      <c r="T10" s="2472" t="str">
        <f>ADDRESS(ROW(Q10),COLUMN(Q10))</f>
        <v>$Q$10</v>
      </c>
      <c r="U10" s="2473"/>
    </row>
    <row r="11" spans="2:21" ht="3.75" hidden="1" customHeight="1">
      <c r="B11" s="2030"/>
      <c r="C11" s="2032"/>
      <c r="D11" s="2032"/>
      <c r="E11" s="2032"/>
      <c r="F11" s="2032"/>
      <c r="G11" s="2032"/>
      <c r="H11" s="2032"/>
      <c r="I11" s="552"/>
      <c r="J11" s="686"/>
      <c r="K11" s="296"/>
      <c r="L11" s="1325"/>
      <c r="M11" s="1338"/>
      <c r="N11" s="1338"/>
      <c r="O11" s="1338"/>
      <c r="P11" s="1325"/>
      <c r="Q11" s="1327"/>
      <c r="R11" s="481"/>
      <c r="S11" s="2031"/>
      <c r="U11" s="2474"/>
    </row>
    <row r="12" spans="2:21" ht="12.75" hidden="1">
      <c r="B12" s="2030"/>
      <c r="C12" s="362" t="str">
        <f>Texte!A2767</f>
        <v>* Schleppschlauch, Schleppschuh, Gülledrill, tiefe Gülleinjektion;</v>
      </c>
      <c r="D12" s="686"/>
      <c r="E12" s="296"/>
      <c r="F12" s="686"/>
      <c r="G12" s="296"/>
      <c r="H12" s="2031"/>
      <c r="I12" s="296"/>
      <c r="J12" s="2031"/>
      <c r="K12" s="296"/>
      <c r="L12" s="686"/>
      <c r="M12" s="1371"/>
      <c r="N12" s="552"/>
      <c r="O12" s="552"/>
      <c r="P12" s="1325"/>
      <c r="Q12" s="1327"/>
      <c r="R12" s="481"/>
      <c r="S12" s="2031"/>
      <c r="U12" s="2474"/>
    </row>
    <row r="13" spans="2:21" ht="12.75" hidden="1">
      <c r="B13" s="1771"/>
      <c r="C13" s="362" t="str">
        <f>" " &amp; Texte!A2768</f>
        <v xml:space="preserve">  maximal 4 Gaben pro Jahr sind beitragsberechtigt</v>
      </c>
      <c r="D13" s="1328"/>
      <c r="E13" s="1328"/>
      <c r="F13" s="1328"/>
      <c r="G13" s="296"/>
      <c r="H13" s="1328"/>
      <c r="I13" s="2033"/>
      <c r="J13" s="1"/>
      <c r="K13" s="691"/>
      <c r="L13" s="686"/>
      <c r="M13" s="691"/>
      <c r="N13" s="691"/>
      <c r="O13" s="691"/>
      <c r="Q13" s="2003">
        <f>SUM(Q10:Q10)</f>
        <v>0</v>
      </c>
      <c r="R13" s="481"/>
      <c r="S13" s="2031"/>
      <c r="U13" s="2474"/>
    </row>
    <row r="14" spans="2:21" ht="8.4499999999999993" hidden="1" customHeight="1">
      <c r="B14" s="1771"/>
      <c r="C14" s="362">
        <f>Texte!A2769</f>
        <v>0</v>
      </c>
      <c r="D14" s="1328"/>
      <c r="E14" s="1328"/>
      <c r="F14" s="1328"/>
      <c r="G14" s="296"/>
      <c r="H14" s="1328"/>
      <c r="I14" s="2033"/>
      <c r="J14" s="1"/>
      <c r="K14" s="691"/>
      <c r="L14" s="686"/>
      <c r="M14" s="691"/>
      <c r="N14" s="691"/>
      <c r="O14" s="691"/>
      <c r="P14" s="1325"/>
      <c r="Q14" s="1325"/>
      <c r="R14" s="481"/>
      <c r="S14" s="2031"/>
      <c r="U14" s="2474"/>
    </row>
    <row r="15" spans="2:21" ht="17.100000000000001" hidden="1" customHeight="1">
      <c r="B15" s="1771"/>
      <c r="C15" s="1327"/>
      <c r="D15" s="1328"/>
      <c r="E15" s="1328"/>
      <c r="F15" s="1328"/>
      <c r="G15" s="296"/>
      <c r="H15" s="1328"/>
      <c r="I15" s="2033"/>
      <c r="J15" s="1"/>
      <c r="K15" s="691"/>
      <c r="L15" s="686"/>
      <c r="M15" s="691"/>
      <c r="N15" s="691"/>
      <c r="O15" s="691"/>
      <c r="P15" s="1325"/>
      <c r="Q15" s="1327"/>
      <c r="R15" s="481"/>
      <c r="S15" s="2031"/>
      <c r="U15" s="2474"/>
    </row>
    <row r="16" spans="2:21" ht="17.100000000000001" hidden="1" customHeight="1">
      <c r="B16" s="1466" t="str">
        <f>Texte!A2771</f>
        <v>Schonende Bodenbearbeitung**</v>
      </c>
      <c r="C16" s="2029"/>
      <c r="D16" s="2029"/>
      <c r="E16" s="2029"/>
      <c r="F16" s="2029"/>
      <c r="G16" s="2029"/>
      <c r="H16" s="2031"/>
      <c r="I16" s="2031"/>
      <c r="J16" s="2031"/>
      <c r="K16" s="1325" t="str">
        <f>Texte!A2772</f>
        <v>Fläche (ha)</v>
      </c>
      <c r="L16" s="686"/>
      <c r="M16" s="2034"/>
      <c r="N16" s="2034"/>
      <c r="O16" s="2034"/>
      <c r="P16" s="1325"/>
      <c r="Q16" s="1327"/>
      <c r="R16" s="481"/>
      <c r="T16" s="2474"/>
      <c r="U16" s="2474"/>
    </row>
    <row r="17" spans="1:21" ht="17.100000000000001" hidden="1" customHeight="1">
      <c r="B17" s="2030"/>
      <c r="C17" s="686" t="str">
        <f>Texte!A2773</f>
        <v>Direktsaat</v>
      </c>
      <c r="D17" s="686"/>
      <c r="E17" s="686"/>
      <c r="F17" s="686"/>
      <c r="G17" s="686"/>
      <c r="H17" s="1334"/>
      <c r="I17" s="557">
        <v>250</v>
      </c>
      <c r="J17" s="1325" t="s">
        <v>1045</v>
      </c>
      <c r="K17" s="1906"/>
      <c r="L17" s="1325" t="s">
        <v>4983</v>
      </c>
      <c r="M17" s="1920">
        <f>I17*K17</f>
        <v>0</v>
      </c>
      <c r="N17" s="1338"/>
      <c r="O17" s="1338"/>
      <c r="P17" s="1342"/>
      <c r="Q17" s="1327"/>
      <c r="R17" s="481"/>
      <c r="S17" s="2035"/>
      <c r="T17" s="2474"/>
      <c r="U17" s="2474"/>
    </row>
    <row r="18" spans="1:21" s="2036" customFormat="1" ht="17.100000000000001" hidden="1" customHeight="1">
      <c r="A18" s="2003"/>
      <c r="B18" s="2030"/>
      <c r="C18" s="686" t="str">
        <f>Texte!A2774</f>
        <v>Streifensaat</v>
      </c>
      <c r="D18" s="686"/>
      <c r="E18" s="686"/>
      <c r="F18" s="686"/>
      <c r="G18" s="686"/>
      <c r="H18" s="1334"/>
      <c r="I18" s="557">
        <v>200</v>
      </c>
      <c r="J18" s="1325" t="s">
        <v>1045</v>
      </c>
      <c r="K18" s="1906"/>
      <c r="L18" s="1325" t="s">
        <v>4983</v>
      </c>
      <c r="M18" s="1920">
        <f>I18*K18</f>
        <v>0</v>
      </c>
      <c r="N18" s="1338"/>
      <c r="O18" s="1338"/>
      <c r="P18" s="1342"/>
      <c r="Q18" s="1327"/>
      <c r="R18" s="481"/>
      <c r="S18" s="2035"/>
      <c r="T18" s="2474"/>
      <c r="U18" s="2474"/>
    </row>
    <row r="19" spans="1:21" s="2036" customFormat="1" ht="16.5" hidden="1" customHeight="1">
      <c r="A19" s="2003"/>
      <c r="B19" s="2030"/>
      <c r="C19" s="686" t="str">
        <f>Texte!A2775</f>
        <v>Mulchsaat</v>
      </c>
      <c r="D19" s="686"/>
      <c r="E19" s="686"/>
      <c r="F19" s="686"/>
      <c r="G19" s="686"/>
      <c r="H19" s="2031"/>
      <c r="I19" s="557">
        <v>150</v>
      </c>
      <c r="J19" s="1325" t="s">
        <v>1045</v>
      </c>
      <c r="K19" s="1906"/>
      <c r="L19" s="1325" t="s">
        <v>4983</v>
      </c>
      <c r="M19" s="1920">
        <f>I19*K19</f>
        <v>0</v>
      </c>
      <c r="N19" s="1338"/>
      <c r="O19" s="1338"/>
      <c r="P19" s="1342"/>
      <c r="Q19" s="1327"/>
      <c r="R19" s="481"/>
      <c r="S19" s="2035"/>
      <c r="T19" s="2474"/>
      <c r="U19" s="2474"/>
    </row>
    <row r="20" spans="1:21" s="2036" customFormat="1" ht="17.100000000000001" hidden="1" customHeight="1">
      <c r="A20" s="2003"/>
      <c r="B20" s="2037"/>
      <c r="C20" s="686" t="str">
        <f>Texte!A2776</f>
        <v>Zusatzbeitrag für herbizidlose, schonende Bodenbearbeitung</v>
      </c>
      <c r="D20" s="686"/>
      <c r="E20" s="686"/>
      <c r="F20" s="686"/>
      <c r="G20" s="686"/>
      <c r="H20" s="686"/>
      <c r="I20" s="557">
        <f>IF(Allg!Erntejahr&gt;2018,IF(Allg!Erntejahr&lt;2022,200,0),400)</f>
        <v>0</v>
      </c>
      <c r="J20" s="1325" t="s">
        <v>1045</v>
      </c>
      <c r="K20" s="1906"/>
      <c r="L20" s="1325" t="s">
        <v>4983</v>
      </c>
      <c r="M20" s="1920">
        <f>I20*K20</f>
        <v>0</v>
      </c>
      <c r="N20" s="2034"/>
      <c r="O20" s="2034"/>
      <c r="P20" s="2031"/>
      <c r="Q20" s="1327"/>
      <c r="R20" s="481"/>
      <c r="S20" s="2035"/>
      <c r="T20" s="2473" t="s">
        <v>11503</v>
      </c>
      <c r="U20" s="2473" t="s">
        <v>11502</v>
      </c>
    </row>
    <row r="21" spans="1:21" s="2036" customFormat="1" ht="8.4499999999999993" hidden="1" customHeight="1">
      <c r="A21" s="2003"/>
      <c r="B21" s="2037"/>
      <c r="C21" s="2032"/>
      <c r="D21" s="2032"/>
      <c r="E21" s="2032"/>
      <c r="F21" s="2032"/>
      <c r="G21" s="2032"/>
      <c r="H21" s="2032"/>
      <c r="I21" s="1338"/>
      <c r="J21" s="686"/>
      <c r="K21" s="296"/>
      <c r="L21" s="1325"/>
      <c r="M21" s="1338"/>
      <c r="N21" s="1338"/>
      <c r="O21" s="1338"/>
      <c r="P21" s="1342"/>
      <c r="Q21" s="1327"/>
      <c r="R21" s="481"/>
      <c r="S21" s="2035"/>
      <c r="T21" s="2471"/>
      <c r="U21" s="2474"/>
    </row>
    <row r="22" spans="1:21" ht="17.100000000000001" hidden="1" customHeight="1">
      <c r="B22" s="2030"/>
      <c r="C22" s="686" t="str">
        <f>Texte!A2777</f>
        <v>** Keine Beiträge werden ausgerichtet für das Anlegen von Weizen oder Triticale nach Mais</v>
      </c>
      <c r="D22" s="686"/>
      <c r="E22" s="296"/>
      <c r="F22" s="686"/>
      <c r="G22" s="296"/>
      <c r="H22" s="2031"/>
      <c r="I22" s="296"/>
      <c r="J22" s="2031"/>
      <c r="K22" s="296"/>
      <c r="L22" s="686"/>
      <c r="M22" s="1371" t="str">
        <f>Texte!A2770</f>
        <v>Summe der Beiträge</v>
      </c>
      <c r="N22" s="552"/>
      <c r="O22" s="552"/>
      <c r="P22" s="1325" t="s">
        <v>4983</v>
      </c>
      <c r="Q22" s="1920"/>
      <c r="R22" s="481"/>
      <c r="S22" s="2031"/>
      <c r="T22" s="2472" t="str">
        <f>ADDRESS(ROW(Q22),COLUMN(Q22))</f>
        <v>$Q$22</v>
      </c>
      <c r="U22" s="2473"/>
    </row>
    <row r="23" spans="1:21" ht="8.4499999999999993" hidden="1" customHeight="1">
      <c r="B23" s="2030"/>
      <c r="C23" s="686"/>
      <c r="D23" s="686"/>
      <c r="E23" s="296"/>
      <c r="F23" s="686"/>
      <c r="G23" s="296"/>
      <c r="H23" s="2031"/>
      <c r="I23" s="296"/>
      <c r="J23" s="2031"/>
      <c r="K23" s="296"/>
      <c r="L23" s="686"/>
      <c r="M23" s="1371"/>
      <c r="N23" s="552"/>
      <c r="O23" s="552"/>
      <c r="P23" s="1325"/>
      <c r="Q23" s="2034"/>
      <c r="R23" s="481"/>
      <c r="S23" s="2031"/>
      <c r="U23" s="2473"/>
    </row>
    <row r="24" spans="1:21" ht="17.100000000000001" customHeight="1">
      <c r="B24" s="2030"/>
      <c r="C24" s="686"/>
      <c r="D24" s="686"/>
      <c r="E24" s="296"/>
      <c r="F24" s="686"/>
      <c r="G24" s="296"/>
      <c r="H24" s="2031"/>
      <c r="I24" s="296"/>
      <c r="J24" s="2031"/>
      <c r="K24" s="296"/>
      <c r="L24" s="686"/>
      <c r="M24" s="1371"/>
      <c r="N24" s="552"/>
      <c r="O24" s="552"/>
      <c r="P24" s="1325"/>
      <c r="Q24" s="2034"/>
      <c r="R24" s="481"/>
      <c r="S24" s="2031"/>
      <c r="U24" s="2474"/>
    </row>
    <row r="25" spans="1:21" ht="17.100000000000001" customHeight="1">
      <c r="B25" s="1466" t="str">
        <f>Texte!A2800</f>
        <v>Beitrag für stickstoffreduzierte Phasenfütterung von Schweinen</v>
      </c>
      <c r="C25" s="686"/>
      <c r="D25" s="686"/>
      <c r="E25" s="296"/>
      <c r="F25" s="686"/>
      <c r="G25" s="296"/>
      <c r="H25" s="2031"/>
      <c r="I25" s="296"/>
      <c r="J25" s="2031"/>
      <c r="K25" s="1325" t="str">
        <f>Texte!A2815</f>
        <v>GVE</v>
      </c>
      <c r="L25" s="686"/>
      <c r="M25" s="1371"/>
      <c r="N25" s="552"/>
      <c r="O25" s="552"/>
      <c r="P25" s="1325"/>
      <c r="Q25" s="2034"/>
      <c r="R25" s="481"/>
      <c r="S25" s="2031"/>
      <c r="U25" s="2474"/>
    </row>
    <row r="26" spans="1:21" ht="17.100000000000001" customHeight="1">
      <c r="B26" s="2030"/>
      <c r="C26" s="686"/>
      <c r="D26" s="686"/>
      <c r="E26" s="296"/>
      <c r="F26" s="686"/>
      <c r="G26" s="296"/>
      <c r="H26" s="2031"/>
      <c r="I26" s="557">
        <v>35</v>
      </c>
      <c r="J26" s="1325" t="s">
        <v>1045</v>
      </c>
      <c r="K26" s="1906"/>
      <c r="L26" s="686"/>
      <c r="M26" s="1371"/>
      <c r="N26" s="552"/>
      <c r="O26" s="552"/>
      <c r="P26" s="1359" t="s">
        <v>4983</v>
      </c>
      <c r="Q26" s="1920">
        <f>K26*I26</f>
        <v>0</v>
      </c>
      <c r="R26" s="481"/>
      <c r="S26" s="2031"/>
      <c r="U26" s="2474"/>
    </row>
    <row r="27" spans="1:21" ht="8.4499999999999993" customHeight="1">
      <c r="B27" s="2030"/>
      <c r="C27" s="686"/>
      <c r="D27" s="686"/>
      <c r="E27" s="296"/>
      <c r="F27" s="686"/>
      <c r="G27" s="296"/>
      <c r="H27" s="2031"/>
      <c r="I27" s="296"/>
      <c r="J27" s="2031"/>
      <c r="K27" s="296"/>
      <c r="L27" s="686"/>
      <c r="M27" s="1371"/>
      <c r="N27" s="552"/>
      <c r="O27" s="552"/>
      <c r="P27" s="1325"/>
      <c r="Q27" s="2034"/>
      <c r="R27" s="481"/>
      <c r="S27" s="2031"/>
      <c r="U27" s="2474"/>
    </row>
    <row r="28" spans="1:21" ht="17.100000000000001" hidden="1" customHeight="1">
      <c r="B28" s="2030"/>
      <c r="C28" s="686"/>
      <c r="D28" s="686"/>
      <c r="E28" s="296"/>
      <c r="F28" s="686"/>
      <c r="G28" s="296"/>
      <c r="H28" s="2031"/>
      <c r="I28" s="296"/>
      <c r="J28" s="2031"/>
      <c r="K28" s="296"/>
      <c r="L28" s="686"/>
      <c r="M28" s="1371"/>
      <c r="N28" s="552"/>
      <c r="O28" s="552"/>
      <c r="P28" s="1325"/>
      <c r="Q28" s="2034"/>
      <c r="R28" s="481"/>
      <c r="S28" s="2031"/>
      <c r="U28" s="2474"/>
    </row>
    <row r="29" spans="1:21" ht="17.100000000000001" hidden="1" customHeight="1">
      <c r="B29" s="1466" t="str">
        <f>Texte!A2803</f>
        <v>Beitrag für Reduktion von Pflanzenschutzmittel***</v>
      </c>
      <c r="C29" s="686"/>
      <c r="D29" s="686"/>
      <c r="E29" s="296"/>
      <c r="F29" s="686"/>
      <c r="G29" s="296"/>
      <c r="H29" s="2031"/>
      <c r="I29" s="296"/>
      <c r="J29" s="2031"/>
      <c r="K29" s="296" t="str">
        <f>Texte!A2772</f>
        <v>Fläche (ha)</v>
      </c>
      <c r="L29" s="686"/>
      <c r="M29" s="1371"/>
      <c r="N29" s="552"/>
      <c r="O29" s="552"/>
      <c r="P29" s="1325"/>
      <c r="Q29" s="2034"/>
      <c r="R29" s="481"/>
      <c r="S29" s="2031"/>
      <c r="U29" s="2474"/>
    </row>
    <row r="30" spans="1:21" ht="17.100000000000001" hidden="1" customHeight="1">
      <c r="B30" s="2030"/>
      <c r="C30" s="686" t="str">
        <f>Texte!A2804</f>
        <v>Obstbau, Rebbau: Teilverzicht auf Herbizide</v>
      </c>
      <c r="D30" s="686"/>
      <c r="E30" s="686"/>
      <c r="F30" s="686"/>
      <c r="G30" s="686"/>
      <c r="H30" s="1334"/>
      <c r="I30" s="557">
        <v>200</v>
      </c>
      <c r="J30" s="1325" t="s">
        <v>1045</v>
      </c>
      <c r="K30" s="1906"/>
      <c r="L30" s="1359" t="s">
        <v>4983</v>
      </c>
      <c r="M30" s="1920">
        <f>I30*K30</f>
        <v>0</v>
      </c>
      <c r="N30" s="1338"/>
      <c r="O30" s="1338"/>
      <c r="P30" s="1342"/>
      <c r="Q30" s="1327"/>
      <c r="R30" s="481"/>
      <c r="S30" s="2035"/>
      <c r="T30" s="2474"/>
      <c r="U30" s="2474"/>
    </row>
    <row r="31" spans="1:21" ht="17.100000000000001" hidden="1" customHeight="1">
      <c r="B31" s="2030"/>
      <c r="C31" s="686" t="str">
        <f>Texte!A2805</f>
        <v>Obstbau, Rebbau: Vollständiger Verzicht auf Herbizide</v>
      </c>
      <c r="D31" s="686"/>
      <c r="E31" s="686"/>
      <c r="F31" s="686"/>
      <c r="G31" s="686"/>
      <c r="H31" s="1334"/>
      <c r="I31" s="557">
        <v>600</v>
      </c>
      <c r="J31" s="1325" t="s">
        <v>1045</v>
      </c>
      <c r="K31" s="1906"/>
      <c r="L31" s="1359" t="s">
        <v>4983</v>
      </c>
      <c r="M31" s="1920">
        <f t="shared" ref="M31:M37" si="0">I31*K31</f>
        <v>0</v>
      </c>
      <c r="N31" s="1338"/>
      <c r="O31" s="1338"/>
      <c r="P31" s="1342"/>
      <c r="Q31" s="1327"/>
      <c r="R31" s="481"/>
      <c r="S31" s="2035"/>
      <c r="T31" s="2474"/>
      <c r="U31" s="2474"/>
    </row>
    <row r="32" spans="1:21" ht="17.100000000000001" hidden="1" customHeight="1">
      <c r="B32" s="2030"/>
      <c r="C32" s="686" t="str">
        <f>Texte!A2806</f>
        <v>Obstbau, Rebbau: Teilverzicht auf Fungizide</v>
      </c>
      <c r="D32" s="686"/>
      <c r="E32" s="686"/>
      <c r="F32" s="686"/>
      <c r="G32" s="686"/>
      <c r="H32" s="1334"/>
      <c r="I32" s="557">
        <v>200</v>
      </c>
      <c r="J32" s="1325" t="s">
        <v>1045</v>
      </c>
      <c r="K32" s="1906"/>
      <c r="L32" s="1359" t="s">
        <v>4983</v>
      </c>
      <c r="M32" s="1920">
        <f t="shared" si="0"/>
        <v>0</v>
      </c>
      <c r="N32" s="1338"/>
      <c r="O32" s="1338"/>
      <c r="P32" s="1342"/>
      <c r="Q32" s="1327"/>
      <c r="R32" s="481"/>
      <c r="S32" s="2035"/>
      <c r="T32" s="2474"/>
      <c r="U32" s="2474"/>
    </row>
    <row r="33" spans="2:23" ht="17.100000000000001" hidden="1" customHeight="1">
      <c r="B33" s="2030"/>
      <c r="C33" s="686" t="str">
        <f>Texte!A2807</f>
        <v>Rebbau: Verzicht auf Fungizide</v>
      </c>
      <c r="D33" s="686"/>
      <c r="E33" s="686"/>
      <c r="F33" s="686"/>
      <c r="G33" s="686"/>
      <c r="H33" s="1334"/>
      <c r="I33" s="557">
        <v>300</v>
      </c>
      <c r="J33" s="1325" t="s">
        <v>1045</v>
      </c>
      <c r="K33" s="1906"/>
      <c r="L33" s="1359" t="s">
        <v>4983</v>
      </c>
      <c r="M33" s="1920">
        <f t="shared" si="0"/>
        <v>0</v>
      </c>
      <c r="N33" s="1338"/>
      <c r="O33" s="1338"/>
      <c r="P33" s="1342"/>
      <c r="Q33" s="1327"/>
      <c r="R33" s="481"/>
      <c r="S33" s="2035"/>
      <c r="T33" s="2474"/>
      <c r="U33" s="2474"/>
    </row>
    <row r="34" spans="2:23" ht="17.100000000000001" hidden="1" customHeight="1">
      <c r="B34" s="2030"/>
      <c r="C34" s="686" t="str">
        <f>Texte!A2808</f>
        <v>Zuckerrüben: Mechanische Unkrautbekämpfung ab 4-Blatt-Stadium</v>
      </c>
      <c r="D34" s="686"/>
      <c r="E34" s="686"/>
      <c r="F34" s="686"/>
      <c r="G34" s="686"/>
      <c r="H34" s="1334"/>
      <c r="I34" s="557">
        <v>200</v>
      </c>
      <c r="J34" s="1325" t="s">
        <v>1045</v>
      </c>
      <c r="K34" s="1906"/>
      <c r="L34" s="1359" t="s">
        <v>4983</v>
      </c>
      <c r="M34" s="1920">
        <f t="shared" si="0"/>
        <v>0</v>
      </c>
      <c r="N34" s="1338"/>
      <c r="O34" s="1338"/>
      <c r="P34" s="1342"/>
      <c r="Q34" s="1327"/>
      <c r="R34" s="481"/>
      <c r="S34" s="2035"/>
      <c r="T34" s="2474"/>
      <c r="U34" s="2474"/>
    </row>
    <row r="35" spans="2:23" ht="17.100000000000001" hidden="1" customHeight="1">
      <c r="B35" s="2030"/>
      <c r="C35" s="686" t="str">
        <f>Texte!A2809</f>
        <v>Zuckerrüben: Mechanische Unkrautbekämpfung ab Saat</v>
      </c>
      <c r="D35" s="686"/>
      <c r="E35" s="686"/>
      <c r="F35" s="686"/>
      <c r="G35" s="686"/>
      <c r="H35" s="1334"/>
      <c r="I35" s="557">
        <v>400</v>
      </c>
      <c r="J35" s="1325" t="s">
        <v>1045</v>
      </c>
      <c r="K35" s="1906"/>
      <c r="L35" s="1359" t="s">
        <v>4983</v>
      </c>
      <c r="M35" s="1920">
        <f t="shared" si="0"/>
        <v>0</v>
      </c>
      <c r="N35" s="1338"/>
      <c r="O35" s="1338"/>
      <c r="P35" s="1342"/>
      <c r="Q35" s="1327"/>
      <c r="R35" s="481"/>
      <c r="S35" s="2035"/>
      <c r="T35" s="2474"/>
      <c r="U35" s="2474"/>
    </row>
    <row r="36" spans="2:23" ht="17.100000000000001" hidden="1" customHeight="1">
      <c r="B36" s="2030"/>
      <c r="C36" s="686" t="str">
        <f>Texte!A2810</f>
        <v>Zuckerrüben: Vollständiger Verzicht auf Herbizide</v>
      </c>
      <c r="D36" s="686"/>
      <c r="E36" s="686"/>
      <c r="F36" s="686"/>
      <c r="G36" s="686"/>
      <c r="H36" s="1334"/>
      <c r="I36" s="557">
        <v>800</v>
      </c>
      <c r="J36" s="1325" t="s">
        <v>1045</v>
      </c>
      <c r="K36" s="1906"/>
      <c r="L36" s="1359" t="s">
        <v>4983</v>
      </c>
      <c r="M36" s="1920">
        <f t="shared" si="0"/>
        <v>0</v>
      </c>
      <c r="N36" s="1338"/>
      <c r="O36" s="1338"/>
      <c r="P36" s="1342"/>
      <c r="Q36" s="1327"/>
      <c r="R36" s="481"/>
      <c r="S36" s="2035"/>
      <c r="T36" s="2474"/>
      <c r="U36" s="2474"/>
    </row>
    <row r="37" spans="2:23" ht="17.100000000000001" hidden="1" customHeight="1">
      <c r="B37" s="2030"/>
      <c r="C37" s="686" t="str">
        <f>Texte!A2811</f>
        <v>Zuckerrüben: Funghizid- und Insektizidverzicht</v>
      </c>
      <c r="D37" s="686"/>
      <c r="E37" s="686"/>
      <c r="F37" s="686"/>
      <c r="G37" s="686"/>
      <c r="H37" s="1334"/>
      <c r="I37" s="557">
        <v>400</v>
      </c>
      <c r="J37" s="1325" t="s">
        <v>1045</v>
      </c>
      <c r="K37" s="1906"/>
      <c r="L37" s="1359" t="s">
        <v>4983</v>
      </c>
      <c r="M37" s="1920">
        <f t="shared" si="0"/>
        <v>0</v>
      </c>
      <c r="N37" s="1338"/>
      <c r="O37" s="1338"/>
      <c r="P37" s="1342"/>
      <c r="Q37" s="1327"/>
      <c r="R37" s="481"/>
      <c r="S37" s="2035"/>
      <c r="T37" s="2474"/>
      <c r="U37" s="2474"/>
    </row>
    <row r="38" spans="2:23" ht="17.100000000000001" hidden="1" customHeight="1">
      <c r="B38" s="2030"/>
      <c r="C38" s="686" t="str">
        <f>IF(Allg!Erntejahr&gt;2018,Texte!A2812,"")</f>
        <v>Offene Ackerfläche: Voll- oder Teilverzicht auf Herbizide,</v>
      </c>
      <c r="D38" s="686"/>
      <c r="E38" s="686"/>
      <c r="F38" s="686"/>
      <c r="G38" s="686"/>
      <c r="H38" s="1334"/>
      <c r="I38" s="558"/>
      <c r="J38" s="1325"/>
      <c r="K38" s="296"/>
      <c r="L38" s="1359"/>
      <c r="M38" s="2034"/>
      <c r="N38" s="1338"/>
      <c r="O38" s="1338"/>
      <c r="P38" s="1342"/>
      <c r="Q38" s="1327"/>
      <c r="R38" s="481"/>
      <c r="S38" s="2035"/>
      <c r="T38" s="2474"/>
      <c r="U38" s="2474"/>
    </row>
    <row r="39" spans="2:23" ht="17.100000000000001" hidden="1" customHeight="1">
      <c r="B39" s="2030"/>
      <c r="C39" s="686" t="str">
        <f>IF(Allg!Erntejahr&gt;2018,Texte!A2813,"")</f>
        <v>ab der Saat bzw. der Pflanzung bis zur Ernte der Hauptkultur</v>
      </c>
      <c r="D39" s="686"/>
      <c r="E39" s="686"/>
      <c r="F39" s="686"/>
      <c r="G39" s="686"/>
      <c r="H39" s="1334"/>
      <c r="I39" s="557">
        <f>IF(Allg!Erntejahr&gt;2018,250,0)</f>
        <v>250</v>
      </c>
      <c r="J39" s="1325" t="s">
        <v>1045</v>
      </c>
      <c r="K39" s="1906"/>
      <c r="L39" s="1359" t="s">
        <v>4983</v>
      </c>
      <c r="M39" s="1920">
        <f>I39*K39</f>
        <v>0</v>
      </c>
      <c r="N39" s="1338"/>
      <c r="O39" s="1338"/>
      <c r="P39" s="1342"/>
      <c r="Q39" s="1327"/>
      <c r="R39" s="481"/>
      <c r="S39" s="2035"/>
      <c r="T39" s="2473" t="s">
        <v>11503</v>
      </c>
      <c r="U39" s="2473" t="s">
        <v>11502</v>
      </c>
    </row>
    <row r="40" spans="2:23" ht="8.4499999999999993" hidden="1" customHeight="1">
      <c r="B40" s="2030"/>
      <c r="D40" s="686"/>
      <c r="E40" s="296"/>
      <c r="F40" s="686"/>
      <c r="G40" s="296"/>
      <c r="H40" s="2031"/>
      <c r="I40" s="296"/>
      <c r="J40" s="2031"/>
      <c r="K40" s="296"/>
      <c r="L40" s="686"/>
      <c r="M40" s="1371"/>
      <c r="N40" s="552"/>
      <c r="O40" s="552"/>
      <c r="P40" s="1325"/>
      <c r="Q40" s="2034"/>
      <c r="R40" s="481"/>
      <c r="S40" s="2031"/>
      <c r="T40" s="2473"/>
      <c r="U40" s="2473"/>
    </row>
    <row r="41" spans="2:23" ht="17.100000000000001" hidden="1" customHeight="1">
      <c r="B41" s="2030"/>
      <c r="C41" s="686" t="str">
        <f>Texte!A2814</f>
        <v>*** Es sind Auflagen nach Artikel 82e der DZV zu erfüllen</v>
      </c>
      <c r="D41" s="686"/>
      <c r="E41" s="296"/>
      <c r="F41" s="686"/>
      <c r="G41" s="296"/>
      <c r="H41" s="2031"/>
      <c r="I41" s="296"/>
      <c r="J41" s="2031"/>
      <c r="K41" s="296"/>
      <c r="L41" s="686"/>
      <c r="M41" s="1371" t="str">
        <f>Texte!A2770</f>
        <v>Summe der Beiträge</v>
      </c>
      <c r="N41" s="552"/>
      <c r="O41" s="552"/>
      <c r="P41" s="1325" t="s">
        <v>4983</v>
      </c>
      <c r="Q41" s="1920">
        <v>0</v>
      </c>
      <c r="R41" s="481"/>
      <c r="S41" s="2031"/>
      <c r="T41" s="2473" t="str">
        <f>ADDRESS(ROW(Q41),COLUMN(Q41))</f>
        <v>$Q$41</v>
      </c>
      <c r="U41" s="2473"/>
    </row>
    <row r="42" spans="2:23" ht="8.4499999999999993" hidden="1" customHeight="1">
      <c r="B42" s="1326"/>
      <c r="C42" s="1327"/>
      <c r="D42" s="1328"/>
      <c r="E42" s="1328"/>
      <c r="F42" s="1328"/>
      <c r="G42" s="296"/>
      <c r="H42" s="1328"/>
      <c r="I42" s="2033"/>
      <c r="J42" s="1"/>
      <c r="K42" s="691"/>
      <c r="L42" s="686"/>
      <c r="M42" s="691"/>
      <c r="N42" s="691"/>
      <c r="O42" s="691"/>
      <c r="P42" s="1325"/>
      <c r="Q42" s="691"/>
      <c r="R42" s="481"/>
      <c r="S42" s="2031"/>
      <c r="T42" s="2473"/>
      <c r="U42" s="2473"/>
    </row>
    <row r="43" spans="2:23" ht="17.100000000000001" customHeight="1">
      <c r="B43" s="1466" t="str">
        <f>Texte!A2778</f>
        <v>Total Ressourceneffizienzbeiträge (jährlich)</v>
      </c>
      <c r="C43" s="1327"/>
      <c r="D43" s="1328"/>
      <c r="E43" s="1328"/>
      <c r="F43" s="1328"/>
      <c r="G43" s="296"/>
      <c r="H43" s="1328"/>
      <c r="I43" s="2033"/>
      <c r="J43" s="1"/>
      <c r="K43" s="691"/>
      <c r="L43" s="686"/>
      <c r="M43" s="691"/>
      <c r="N43" s="691"/>
      <c r="O43" s="691"/>
      <c r="P43" s="1325"/>
      <c r="Q43" s="2038">
        <f>Q26</f>
        <v>0</v>
      </c>
      <c r="R43" s="481"/>
      <c r="S43" s="2031"/>
      <c r="T43" s="2473" t="str">
        <f>ADDRESS(ROW(Q43),COLUMN(Q43))</f>
        <v>$Q$43</v>
      </c>
      <c r="U43" s="2473" t="s">
        <v>11504</v>
      </c>
    </row>
    <row r="44" spans="2:23" ht="8.4499999999999993" customHeight="1">
      <c r="B44" s="2039"/>
      <c r="C44" s="2040"/>
      <c r="D44" s="2040"/>
      <c r="E44" s="2040"/>
      <c r="F44" s="2040"/>
      <c r="G44" s="2040"/>
      <c r="H44" s="2040"/>
      <c r="I44" s="2040"/>
      <c r="J44" s="2040"/>
      <c r="K44" s="2040"/>
      <c r="L44" s="2040"/>
      <c r="M44" s="2040"/>
      <c r="N44" s="2040"/>
      <c r="O44" s="2040"/>
      <c r="P44" s="2040"/>
      <c r="Q44" s="2041"/>
      <c r="R44" s="2042"/>
      <c r="S44" s="2031"/>
      <c r="T44" s="2473"/>
      <c r="U44" s="2473"/>
    </row>
    <row r="45" spans="2:23" s="2031" customFormat="1" ht="17.100000000000001" customHeight="1">
      <c r="B45" s="2043"/>
      <c r="C45" s="686"/>
      <c r="D45" s="686"/>
      <c r="E45" s="686"/>
      <c r="F45" s="686"/>
      <c r="G45" s="686"/>
      <c r="H45" s="686"/>
      <c r="I45" s="686"/>
      <c r="J45" s="686"/>
      <c r="K45" s="1334"/>
      <c r="L45" s="686"/>
      <c r="M45" s="1325"/>
      <c r="N45" s="1325"/>
      <c r="O45" s="1325"/>
      <c r="P45" s="1334"/>
      <c r="Q45" s="1327"/>
      <c r="R45" s="528"/>
      <c r="S45" s="1334"/>
      <c r="T45" s="2473" t="s">
        <v>11505</v>
      </c>
      <c r="U45" s="2473"/>
    </row>
    <row r="46" spans="2:23" s="2036" customFormat="1" ht="17.100000000000001" customHeight="1">
      <c r="B46" s="1466" t="str">
        <f>Texte!A2782</f>
        <v>Präzise Applikationstechniken*</v>
      </c>
      <c r="C46" s="2029"/>
      <c r="D46" s="2029"/>
      <c r="E46" s="2029"/>
      <c r="F46" s="2029"/>
      <c r="G46" s="2029"/>
      <c r="H46" s="2029"/>
      <c r="I46" s="2029"/>
      <c r="J46" s="686"/>
      <c r="K46" s="1325" t="str">
        <f>Texte!A2784</f>
        <v>Einmaliger Beitrag pro Maschine</v>
      </c>
      <c r="L46" s="686"/>
      <c r="M46" s="1325"/>
      <c r="N46" s="1325"/>
      <c r="O46" s="1325"/>
      <c r="P46" s="686"/>
      <c r="Q46" s="1327"/>
      <c r="R46" s="481"/>
      <c r="S46" s="1325"/>
      <c r="T46" s="2473"/>
      <c r="U46" s="2473"/>
      <c r="V46" s="2031"/>
      <c r="W46" s="2031"/>
    </row>
    <row r="47" spans="2:23" s="2036" customFormat="1" ht="17.100000000000001" customHeight="1">
      <c r="B47" s="1466"/>
      <c r="C47" s="2029" t="str">
        <f>Texte!A2783</f>
        <v>Ab 2025 gibt es für präzise Applikationstechniken keine Beiträge mehr.</v>
      </c>
      <c r="D47" s="2029"/>
      <c r="E47" s="2029"/>
      <c r="F47" s="2029"/>
      <c r="G47" s="2029"/>
      <c r="H47" s="2029"/>
      <c r="I47" s="2029"/>
      <c r="J47" s="686"/>
      <c r="K47" s="1732" t="str">
        <f>Texte!A2793</f>
        <v>Betrag (CHF)</v>
      </c>
      <c r="L47" s="686"/>
      <c r="M47" s="1325"/>
      <c r="N47" s="1325"/>
      <c r="O47" s="1325"/>
      <c r="P47" s="686"/>
      <c r="Q47" s="1327"/>
      <c r="R47" s="481"/>
      <c r="S47" s="1325"/>
      <c r="T47" s="2473"/>
      <c r="U47" s="2473"/>
      <c r="V47" s="2031"/>
      <c r="W47" s="2031"/>
    </row>
    <row r="48" spans="2:23" ht="17.100000000000001" customHeight="1">
      <c r="B48" s="2030"/>
      <c r="C48" s="686" t="str">
        <f>Texte!A2785</f>
        <v>1. Unterblattspritztechnik: pro Spritzbalken 75 % der Anschaffungskosten,</v>
      </c>
      <c r="D48" s="686"/>
      <c r="E48" s="686"/>
      <c r="F48" s="686"/>
      <c r="G48" s="686"/>
      <c r="H48" s="2031"/>
      <c r="I48" s="2029"/>
      <c r="J48" s="686"/>
      <c r="K48" s="712"/>
      <c r="N48" s="1338"/>
      <c r="O48" s="1338"/>
      <c r="P48" s="1325"/>
      <c r="Q48" s="1327"/>
      <c r="R48" s="481"/>
      <c r="S48" s="2031"/>
      <c r="T48" s="2473"/>
      <c r="U48" s="2473"/>
    </row>
    <row r="49" spans="1:21" ht="12.75">
      <c r="B49" s="2030"/>
      <c r="C49" s="686" t="str">
        <f xml:space="preserve"> "    " &amp; Texte!A2786</f>
        <v xml:space="preserve">    jedoch maximal CHF 170.- pro Spritzeinheit</v>
      </c>
      <c r="D49" s="686"/>
      <c r="E49" s="686"/>
      <c r="F49" s="686"/>
      <c r="G49" s="686"/>
      <c r="H49" s="2031"/>
      <c r="I49" s="2029"/>
      <c r="J49" s="686"/>
      <c r="L49" s="1325"/>
      <c r="M49" s="1338"/>
      <c r="N49" s="1338"/>
      <c r="O49" s="1338"/>
      <c r="P49" s="1325"/>
      <c r="Q49" s="1327"/>
      <c r="R49" s="481"/>
      <c r="S49" s="2031"/>
      <c r="T49" s="2473"/>
      <c r="U49" s="2473"/>
    </row>
    <row r="50" spans="1:21" ht="17.100000000000001" customHeight="1">
      <c r="B50" s="2030"/>
      <c r="C50" s="686" t="str">
        <f>Texte!A2779</f>
        <v>2. Driftreduzierende Spritzgeräte in Dauerkulturen:</v>
      </c>
      <c r="D50" s="686"/>
      <c r="E50" s="686"/>
      <c r="F50" s="686"/>
      <c r="G50" s="686"/>
      <c r="H50" s="2031"/>
      <c r="I50" s="2029"/>
      <c r="J50" s="686"/>
      <c r="L50" s="1325"/>
      <c r="M50" s="1338"/>
      <c r="N50" s="1338"/>
      <c r="O50" s="1338"/>
      <c r="P50" s="1325"/>
      <c r="Q50" s="1327"/>
      <c r="R50" s="481"/>
      <c r="S50" s="2031"/>
      <c r="T50" s="2473"/>
      <c r="U50" s="2473"/>
    </row>
    <row r="51" spans="1:21" ht="17.100000000000001" customHeight="1">
      <c r="B51" s="2030"/>
      <c r="C51" s="686" t="str">
        <f xml:space="preserve"> "    " &amp; Texte!A2780</f>
        <v xml:space="preserve">    pro Spritzgebläse mit horizontaler Luftstromlenkung</v>
      </c>
      <c r="D51" s="686"/>
      <c r="E51" s="686"/>
      <c r="F51" s="686"/>
      <c r="G51" s="686"/>
      <c r="H51" s="2031"/>
      <c r="I51" s="2029"/>
      <c r="J51" s="686"/>
      <c r="K51" s="712"/>
      <c r="L51" s="1325"/>
      <c r="M51" s="1338"/>
      <c r="N51" s="1338"/>
      <c r="O51" s="1338"/>
      <c r="P51" s="1325"/>
      <c r="Q51" s="1327"/>
      <c r="R51" s="481"/>
      <c r="S51" s="2031"/>
      <c r="T51" s="2473"/>
      <c r="U51" s="2473"/>
    </row>
    <row r="52" spans="1:21" ht="12.75">
      <c r="B52" s="2030"/>
      <c r="C52" s="686" t="str">
        <f xml:space="preserve"> "    " &amp; Texte!A2781</f>
        <v xml:space="preserve">    25 % der Anschaffungskosten, jedoch maximal CHF 6'000.-</v>
      </c>
      <c r="D52" s="686"/>
      <c r="E52" s="686"/>
      <c r="F52" s="686"/>
      <c r="G52" s="686"/>
      <c r="H52" s="2031"/>
      <c r="I52" s="2029"/>
      <c r="J52" s="686"/>
      <c r="L52" s="1325"/>
      <c r="M52" s="1338"/>
      <c r="N52" s="1338"/>
      <c r="O52" s="1338"/>
      <c r="P52" s="1325"/>
      <c r="Q52" s="1327"/>
      <c r="R52" s="481"/>
      <c r="S52" s="2031"/>
      <c r="T52" s="2473"/>
      <c r="U52" s="2473"/>
    </row>
    <row r="53" spans="1:21" ht="17.100000000000001" customHeight="1">
      <c r="B53" s="2030"/>
      <c r="C53" s="686" t="str">
        <f xml:space="preserve"> "    " &amp;Texte!A2787</f>
        <v xml:space="preserve">    pro Spritzgebläse mit horizontaler Luftstromlenkung und Vegetationsdetektor oder</v>
      </c>
      <c r="D53" s="686"/>
      <c r="E53" s="686"/>
      <c r="F53" s="686"/>
      <c r="G53" s="686"/>
      <c r="H53" s="2031"/>
      <c r="I53" s="2029"/>
      <c r="J53" s="686"/>
      <c r="K53" s="712"/>
      <c r="L53" s="1325"/>
      <c r="M53" s="1338"/>
      <c r="N53" s="1338"/>
      <c r="O53" s="1338"/>
      <c r="P53" s="1325"/>
      <c r="Q53" s="1327"/>
      <c r="R53" s="481"/>
      <c r="S53" s="2031"/>
      <c r="T53" s="2473"/>
      <c r="U53" s="2473"/>
    </row>
    <row r="54" spans="1:21" ht="12.75" customHeight="1">
      <c r="B54" s="2030"/>
      <c r="C54" s="686" t="str">
        <f>"    "&amp;Texte!A2788</f>
        <v xml:space="preserve">    pro Tunnelrecycling-Sprühgerät  </v>
      </c>
      <c r="D54" s="686"/>
      <c r="E54" s="686"/>
      <c r="F54" s="686"/>
      <c r="G54" s="686"/>
      <c r="H54" s="2031"/>
      <c r="I54" s="1338"/>
      <c r="J54" s="686"/>
      <c r="L54" s="1325"/>
      <c r="M54" s="1338"/>
      <c r="N54" s="1338"/>
      <c r="O54" s="1338"/>
      <c r="P54" s="1325"/>
      <c r="Q54" s="1327"/>
      <c r="R54" s="481"/>
      <c r="S54" s="2031"/>
      <c r="T54" s="2473"/>
      <c r="U54" s="2473"/>
    </row>
    <row r="55" spans="1:21" ht="12.75">
      <c r="B55" s="2030"/>
      <c r="C55" s="686" t="str">
        <f>"    "&amp;Texte!A2789</f>
        <v xml:space="preserve">    25 % der Anschaffungskosten, jedoch maximal CHF 10'000.-</v>
      </c>
      <c r="D55" s="686"/>
      <c r="E55" s="686"/>
      <c r="F55" s="686"/>
      <c r="G55" s="686"/>
      <c r="H55" s="2031"/>
      <c r="I55" s="1338"/>
      <c r="J55" s="686"/>
      <c r="K55" s="296"/>
      <c r="R55" s="481"/>
      <c r="S55" s="2031"/>
      <c r="T55" s="2473"/>
      <c r="U55" s="2473"/>
    </row>
    <row r="56" spans="1:21" ht="3.2" customHeight="1">
      <c r="B56" s="2030"/>
      <c r="C56" s="686"/>
      <c r="D56" s="686"/>
      <c r="E56" s="686"/>
      <c r="F56" s="686"/>
      <c r="G56" s="686"/>
      <c r="H56" s="2031"/>
      <c r="I56" s="1338"/>
      <c r="J56" s="686"/>
      <c r="K56" s="691"/>
      <c r="L56" s="1325"/>
      <c r="M56" s="1338"/>
      <c r="N56" s="1338"/>
      <c r="O56" s="1338"/>
      <c r="P56" s="1325"/>
      <c r="Q56" s="1327"/>
      <c r="R56" s="481"/>
      <c r="S56" s="2031"/>
      <c r="T56" s="2473"/>
      <c r="U56" s="2473"/>
    </row>
    <row r="57" spans="1:21" ht="17.100000000000001" customHeight="1">
      <c r="B57" s="2030"/>
      <c r="C57" s="686" t="str">
        <f>Texte!A2790</f>
        <v>* Unterblattspritztechnik (Dropleg), driftreduzierende Spritzgeräte im Obst- und Weinbau</v>
      </c>
      <c r="D57" s="686"/>
      <c r="E57" s="686"/>
      <c r="F57" s="686"/>
      <c r="G57" s="686"/>
      <c r="H57" s="2031"/>
      <c r="I57" s="1338"/>
      <c r="J57" s="686"/>
      <c r="K57" s="296"/>
      <c r="M57" s="1371" t="str">
        <f>Texte!A2770</f>
        <v>Summe der Beiträge</v>
      </c>
      <c r="N57" s="1338"/>
      <c r="O57" s="1338"/>
      <c r="P57" s="1325" t="s">
        <v>4983</v>
      </c>
      <c r="Q57" s="1920">
        <f>IF(Allg!Erntejahr&gt; 2024,0,SUM(K48,K51,K53))</f>
        <v>0</v>
      </c>
      <c r="R57" s="481"/>
      <c r="S57" s="2031"/>
      <c r="T57" s="2473"/>
      <c r="U57" s="2473"/>
    </row>
    <row r="58" spans="1:21" ht="17.100000000000001" hidden="1" customHeight="1">
      <c r="B58" s="2030"/>
      <c r="C58" s="686"/>
      <c r="D58" s="686"/>
      <c r="E58" s="686"/>
      <c r="F58" s="686"/>
      <c r="G58" s="686"/>
      <c r="H58" s="686"/>
      <c r="I58" s="296"/>
      <c r="J58" s="2031"/>
      <c r="K58" s="296"/>
      <c r="L58" s="686"/>
      <c r="N58" s="552"/>
      <c r="O58" s="552"/>
      <c r="P58" s="1325"/>
      <c r="Q58" s="1327"/>
      <c r="R58" s="481"/>
      <c r="S58" s="2034"/>
      <c r="T58" s="2473"/>
      <c r="U58" s="2473"/>
    </row>
    <row r="59" spans="1:21" ht="17.100000000000001" hidden="1" customHeight="1">
      <c r="B59" s="1466" t="str">
        <f>Texte!A2796</f>
        <v>Beitrag für Spritzen mit separatem Spülwasserkreislauf</v>
      </c>
      <c r="C59" s="686"/>
      <c r="D59" s="686"/>
      <c r="E59" s="686"/>
      <c r="F59" s="686"/>
      <c r="G59" s="686"/>
      <c r="H59" s="686"/>
      <c r="I59" s="296"/>
      <c r="J59" s="2031"/>
      <c r="K59" s="296"/>
      <c r="L59" s="686"/>
      <c r="N59" s="552"/>
      <c r="O59" s="552"/>
      <c r="P59" s="1325"/>
      <c r="Q59" s="1327"/>
      <c r="R59" s="481"/>
      <c r="S59" s="2034"/>
      <c r="T59" s="2473" t="s">
        <v>11508</v>
      </c>
      <c r="U59" s="2473" t="s">
        <v>11502</v>
      </c>
    </row>
    <row r="60" spans="1:21" ht="17.100000000000001" hidden="1" customHeight="1">
      <c r="B60" s="1771"/>
      <c r="C60" s="686" t="str">
        <f>Texte!A2797</f>
        <v>pro Spülsystem 50 % der Anschaffungskosten,</v>
      </c>
      <c r="D60" s="686"/>
      <c r="E60" s="686"/>
      <c r="F60" s="686"/>
      <c r="G60" s="686"/>
      <c r="H60" s="686"/>
      <c r="I60" s="2033"/>
      <c r="J60" s="1"/>
      <c r="K60" s="712"/>
      <c r="L60" s="686"/>
      <c r="M60" s="691"/>
      <c r="N60" s="691"/>
      <c r="O60" s="691"/>
      <c r="P60" s="1325" t="s">
        <v>4983</v>
      </c>
      <c r="Q60" s="1920"/>
      <c r="R60" s="481"/>
      <c r="S60" s="2034"/>
      <c r="T60" s="2473" t="str">
        <f>ADDRESS(ROW(Q60),COLUMN(Q60))</f>
        <v>$Q$60</v>
      </c>
      <c r="U60" s="2473"/>
    </row>
    <row r="61" spans="1:21" ht="12.75" hidden="1">
      <c r="B61" s="2030"/>
      <c r="C61" s="686" t="str">
        <f>Texte!A2798</f>
        <v>jedoch maximal CHF 2‘000.-</v>
      </c>
      <c r="D61" s="686"/>
      <c r="E61" s="1340"/>
      <c r="F61" s="691"/>
      <c r="G61" s="691"/>
      <c r="H61" s="1327"/>
      <c r="I61" s="691"/>
      <c r="J61" s="691"/>
      <c r="K61" s="691"/>
      <c r="L61" s="2044"/>
      <c r="M61" s="691"/>
      <c r="N61" s="686"/>
      <c r="O61" s="691"/>
      <c r="P61" s="686"/>
      <c r="Q61" s="1327"/>
      <c r="R61" s="481"/>
      <c r="S61" s="2031"/>
      <c r="T61" s="2473"/>
      <c r="U61" s="2473"/>
    </row>
    <row r="62" spans="1:21" ht="8.4499999999999993" customHeight="1">
      <c r="B62" s="2030"/>
      <c r="C62" s="686"/>
      <c r="D62" s="686"/>
      <c r="E62" s="1340"/>
      <c r="F62" s="691"/>
      <c r="G62" s="691"/>
      <c r="H62" s="1327"/>
      <c r="I62" s="691"/>
      <c r="J62" s="691"/>
      <c r="K62" s="691"/>
      <c r="L62" s="2044"/>
      <c r="M62" s="691"/>
      <c r="N62" s="686"/>
      <c r="O62" s="691"/>
      <c r="P62" s="686"/>
      <c r="Q62" s="1327"/>
      <c r="R62" s="481"/>
      <c r="S62" s="2031"/>
      <c r="T62" s="2473"/>
      <c r="U62" s="2473"/>
    </row>
    <row r="63" spans="1:21" ht="17.100000000000001" customHeight="1">
      <c r="A63" s="2036"/>
      <c r="B63" s="1466" t="str">
        <f>Texte!A2791</f>
        <v>Total Ressourceneffizienzbeiträge nationale (einmalig)</v>
      </c>
      <c r="C63" s="686"/>
      <c r="D63" s="686"/>
      <c r="E63" s="686"/>
      <c r="F63" s="686"/>
      <c r="G63" s="686"/>
      <c r="H63" s="686"/>
      <c r="I63" s="686"/>
      <c r="J63" s="686"/>
      <c r="K63" s="686"/>
      <c r="L63" s="686"/>
      <c r="M63" s="686"/>
      <c r="N63" s="686"/>
      <c r="O63" s="2025"/>
      <c r="P63" s="686"/>
      <c r="Q63" s="2038">
        <f>Q57</f>
        <v>0</v>
      </c>
      <c r="R63" s="481"/>
      <c r="S63" s="2031"/>
      <c r="T63" s="2473" t="str">
        <f>ADDRESS(ROW(Q63),COLUMN(Q63))</f>
        <v>$Q$63</v>
      </c>
      <c r="U63" s="2473" t="s">
        <v>11506</v>
      </c>
    </row>
    <row r="64" spans="1:21" s="2036" customFormat="1" ht="8.4499999999999993" customHeight="1">
      <c r="B64" s="2039"/>
      <c r="C64" s="2045"/>
      <c r="D64" s="2045"/>
      <c r="E64" s="2045"/>
      <c r="F64" s="2045"/>
      <c r="G64" s="2045"/>
      <c r="H64" s="2040"/>
      <c r="I64" s="2040"/>
      <c r="J64" s="2040"/>
      <c r="K64" s="2045"/>
      <c r="L64" s="2045"/>
      <c r="M64" s="2045"/>
      <c r="N64" s="2045"/>
      <c r="O64" s="2045"/>
      <c r="P64" s="2045"/>
      <c r="Q64" s="1922"/>
      <c r="R64" s="2042"/>
      <c r="S64" s="2031"/>
      <c r="T64" s="2473"/>
      <c r="U64" s="2473"/>
    </row>
    <row r="65" spans="2:21" ht="14.1" customHeight="1">
      <c r="B65" s="686"/>
      <c r="C65" s="686"/>
      <c r="D65" s="686"/>
      <c r="E65" s="686"/>
      <c r="F65" s="686"/>
      <c r="G65" s="686"/>
      <c r="H65" s="686"/>
      <c r="I65" s="686"/>
      <c r="J65" s="686"/>
      <c r="K65" s="686"/>
      <c r="L65" s="686"/>
      <c r="M65" s="686"/>
      <c r="N65" s="686"/>
      <c r="O65" s="686"/>
      <c r="P65" s="686"/>
      <c r="Q65" s="686"/>
      <c r="R65" s="686"/>
      <c r="S65" s="686"/>
      <c r="T65" s="2473" t="s">
        <v>11507</v>
      </c>
      <c r="U65" s="2473"/>
    </row>
    <row r="66" spans="2:21" ht="17.100000000000001" customHeight="1">
      <c r="B66" s="2025" t="str">
        <f>Texte!A2792</f>
        <v>Ressourceneffizienzbeiträge (regionale, Art. 77 a/b LwG und Art. 62a GSchG)</v>
      </c>
      <c r="C66" s="686"/>
      <c r="D66" s="686"/>
      <c r="E66" s="686"/>
      <c r="F66" s="686"/>
      <c r="G66" s="686"/>
      <c r="H66" s="686"/>
      <c r="I66" s="686"/>
      <c r="J66" s="686"/>
      <c r="K66" s="686"/>
      <c r="L66" s="686"/>
      <c r="M66" s="686"/>
      <c r="N66" s="686"/>
      <c r="O66" s="686"/>
      <c r="P66" s="686"/>
      <c r="Q66" s="686"/>
      <c r="R66" s="686"/>
      <c r="S66" s="686"/>
      <c r="T66" s="2473"/>
      <c r="U66" s="2473"/>
    </row>
    <row r="67" spans="2:21" ht="7.15" customHeight="1">
      <c r="B67" s="2046"/>
      <c r="C67" s="1460"/>
      <c r="D67" s="1460"/>
      <c r="E67" s="1460"/>
      <c r="F67" s="1460"/>
      <c r="G67" s="1460"/>
      <c r="H67" s="1460"/>
      <c r="I67" s="1460"/>
      <c r="J67" s="1460"/>
      <c r="K67" s="1460"/>
      <c r="L67" s="1460"/>
      <c r="M67" s="1460"/>
      <c r="N67" s="1323"/>
      <c r="O67" s="1460"/>
      <c r="P67" s="1460"/>
      <c r="Q67" s="1460"/>
      <c r="R67" s="528"/>
      <c r="S67" s="686"/>
      <c r="T67" s="2473"/>
      <c r="U67" s="2473"/>
    </row>
    <row r="68" spans="2:21" ht="17.100000000000001" customHeight="1">
      <c r="B68" s="2047"/>
      <c r="C68" s="686"/>
      <c r="D68" s="686"/>
      <c r="E68" s="686"/>
      <c r="F68" s="686"/>
      <c r="G68" s="686"/>
      <c r="H68" s="686"/>
      <c r="I68" s="686"/>
      <c r="J68" s="686"/>
      <c r="K68" s="686" t="str">
        <f>Texte!A2793</f>
        <v>Betrag (CHF)</v>
      </c>
      <c r="L68" s="686"/>
      <c r="N68" s="1325"/>
      <c r="O68" s="686"/>
      <c r="P68" s="686"/>
      <c r="Q68" s="686" t="str">
        <f>Texte!A2764</f>
        <v>Total (CHF)</v>
      </c>
      <c r="R68" s="481"/>
      <c r="S68" s="686"/>
      <c r="T68" s="2473"/>
      <c r="U68" s="2473"/>
    </row>
    <row r="69" spans="2:21" ht="17.100000000000001" customHeight="1">
      <c r="B69" s="2030"/>
      <c r="C69" s="686" t="str">
        <f>Texte!A2794</f>
        <v>Beitrag für die nachhaltige Nutzung der Ressourcen Art. 77a und 77b LwG</v>
      </c>
      <c r="D69" s="686"/>
      <c r="E69" s="686"/>
      <c r="F69" s="686"/>
      <c r="G69" s="686"/>
      <c r="H69" s="686"/>
      <c r="I69" s="552"/>
      <c r="J69" s="686"/>
      <c r="K69" s="712"/>
      <c r="L69" s="1325"/>
      <c r="N69" s="1338"/>
      <c r="O69" s="1338"/>
      <c r="P69" s="1325"/>
      <c r="Q69" s="1327"/>
      <c r="R69" s="481"/>
      <c r="S69" s="2031"/>
      <c r="T69" s="2473"/>
      <c r="U69" s="2473"/>
    </row>
    <row r="70" spans="2:21" ht="8.4499999999999993" customHeight="1">
      <c r="B70" s="2030"/>
      <c r="C70" s="686"/>
      <c r="D70" s="686"/>
      <c r="E70" s="686"/>
      <c r="F70" s="686"/>
      <c r="G70" s="686"/>
      <c r="H70" s="686"/>
      <c r="I70" s="552"/>
      <c r="J70" s="686"/>
      <c r="L70" s="1325"/>
      <c r="N70" s="1338"/>
      <c r="O70" s="1338"/>
      <c r="P70" s="1325"/>
      <c r="Q70" s="1327"/>
      <c r="R70" s="481"/>
      <c r="S70" s="2031"/>
      <c r="T70" s="2473"/>
      <c r="U70" s="2473"/>
    </row>
    <row r="71" spans="2:21" ht="17.100000000000001" customHeight="1">
      <c r="B71" s="2030"/>
      <c r="C71" s="686" t="str">
        <f>Texte!A2795</f>
        <v>Beitrag für den Gewässerschutz Art. 62a GSchG</v>
      </c>
      <c r="D71" s="686"/>
      <c r="E71" s="686"/>
      <c r="F71" s="686"/>
      <c r="G71" s="686"/>
      <c r="H71" s="686"/>
      <c r="I71" s="552"/>
      <c r="J71" s="686"/>
      <c r="K71" s="712"/>
      <c r="L71" s="1325"/>
      <c r="N71" s="1338"/>
      <c r="O71" s="1338"/>
      <c r="P71" s="1325"/>
      <c r="Q71" s="1327"/>
      <c r="R71" s="481"/>
      <c r="S71" s="2031"/>
      <c r="U71" s="2474"/>
    </row>
    <row r="72" spans="2:21" ht="17.100000000000001" customHeight="1">
      <c r="B72" s="2030"/>
      <c r="C72" s="686"/>
      <c r="D72" s="686"/>
      <c r="E72" s="686"/>
      <c r="F72" s="686"/>
      <c r="G72" s="686"/>
      <c r="H72" s="686"/>
      <c r="I72" s="552"/>
      <c r="J72" s="686"/>
      <c r="K72" s="296"/>
      <c r="L72" s="1325"/>
      <c r="M72" s="1338"/>
      <c r="N72" s="1338"/>
      <c r="O72" s="1338"/>
      <c r="P72" s="1325"/>
      <c r="Q72" s="1327"/>
      <c r="R72" s="481"/>
      <c r="S72" s="2031"/>
      <c r="U72" s="2474"/>
    </row>
    <row r="73" spans="2:21" ht="7.15" customHeight="1">
      <c r="B73" s="2030"/>
      <c r="C73" s="296"/>
      <c r="D73" s="686"/>
      <c r="E73" s="296"/>
      <c r="F73" s="686"/>
      <c r="G73" s="296"/>
      <c r="H73" s="2031"/>
      <c r="I73" s="296"/>
      <c r="J73" s="2031"/>
      <c r="K73" s="296"/>
      <c r="L73" s="686"/>
      <c r="M73" s="1371"/>
      <c r="N73" s="552"/>
      <c r="O73" s="552"/>
      <c r="P73" s="1325"/>
      <c r="Q73" s="1327"/>
      <c r="R73" s="481"/>
      <c r="S73" s="2031"/>
      <c r="U73" s="2474"/>
    </row>
    <row r="74" spans="2:21" ht="17.100000000000001" customHeight="1">
      <c r="B74" s="1466" t="str">
        <f>Texte!A2819</f>
        <v>Total Ressourceneffizienzbeiträge regional</v>
      </c>
      <c r="C74" s="686"/>
      <c r="D74" s="1328"/>
      <c r="E74" s="1328"/>
      <c r="F74" s="1328"/>
      <c r="G74" s="296"/>
      <c r="H74" s="1328"/>
      <c r="I74" s="2033"/>
      <c r="J74" s="1"/>
      <c r="K74" s="691"/>
      <c r="L74" s="686"/>
      <c r="M74" s="691"/>
      <c r="N74" s="691"/>
      <c r="O74" s="2025"/>
      <c r="P74" s="1325" t="s">
        <v>4983</v>
      </c>
      <c r="Q74" s="2038">
        <f>SUM(K69,K71)</f>
        <v>0</v>
      </c>
      <c r="R74" s="481"/>
      <c r="S74" s="2031"/>
      <c r="U74" s="2474"/>
    </row>
    <row r="75" spans="2:21" s="2036" customFormat="1" ht="6" customHeight="1">
      <c r="B75" s="2039"/>
      <c r="C75" s="2045"/>
      <c r="D75" s="2045"/>
      <c r="E75" s="2045"/>
      <c r="F75" s="2045"/>
      <c r="G75" s="2045"/>
      <c r="H75" s="2040"/>
      <c r="I75" s="2040"/>
      <c r="J75" s="2040"/>
      <c r="K75" s="2045"/>
      <c r="L75" s="2045"/>
      <c r="M75" s="2045"/>
      <c r="N75" s="2045"/>
      <c r="O75" s="2045"/>
      <c r="P75" s="2045"/>
      <c r="Q75" s="1922"/>
      <c r="R75" s="2042"/>
      <c r="S75" s="2031"/>
      <c r="T75" s="2474"/>
      <c r="U75" s="2474"/>
    </row>
    <row r="76" spans="2:21" s="2036" customFormat="1" ht="6" customHeight="1">
      <c r="B76" s="2031"/>
      <c r="C76" s="686"/>
      <c r="D76" s="686"/>
      <c r="E76" s="686"/>
      <c r="F76" s="686"/>
      <c r="G76" s="686"/>
      <c r="H76" s="2031"/>
      <c r="I76" s="2031"/>
      <c r="J76" s="2031"/>
      <c r="K76" s="686"/>
      <c r="L76" s="686"/>
      <c r="M76" s="686"/>
      <c r="N76" s="686"/>
      <c r="O76" s="686"/>
      <c r="P76" s="686"/>
      <c r="Q76" s="1338"/>
      <c r="R76" s="2034"/>
      <c r="S76" s="2031"/>
      <c r="T76" s="2474"/>
      <c r="U76" s="2474"/>
    </row>
    <row r="77" spans="2:21" ht="12.75" customHeight="1">
      <c r="B77" s="1902" t="str">
        <f>Texte!A20</f>
        <v>Stand der Bestimmungen gültig ab 1.1.2025 oder 1.1.2026 oder 1.1.2027, gemäss den vorgeschlagenen Verordnungen des</v>
      </c>
      <c r="D77" s="686"/>
      <c r="E77" s="686"/>
      <c r="F77" s="686"/>
      <c r="G77" s="686"/>
      <c r="H77" s="686"/>
      <c r="I77" s="686"/>
      <c r="J77" s="686"/>
      <c r="K77" s="686"/>
      <c r="L77" s="686"/>
      <c r="M77" s="686"/>
      <c r="N77" s="686"/>
      <c r="O77" s="686"/>
      <c r="P77" s="686"/>
      <c r="Q77" s="686"/>
      <c r="R77" s="686"/>
      <c r="S77" s="686"/>
    </row>
    <row r="78" spans="2:21" ht="12.75" customHeight="1">
      <c r="B78" s="1902" t="str">
        <f>Texte!A18</f>
        <v xml:space="preserve">Bundesrates vor der Wintersession. Die Berechnung erfolgt für das im Blatt "Allg" eingestellte Jahr. </v>
      </c>
      <c r="D78" s="686"/>
      <c r="E78" s="686"/>
      <c r="F78" s="686"/>
      <c r="G78" s="686"/>
      <c r="H78" s="686"/>
      <c r="I78" s="686"/>
      <c r="J78" s="686"/>
      <c r="K78" s="686"/>
      <c r="L78" s="686"/>
      <c r="M78" s="686"/>
      <c r="N78" s="686"/>
      <c r="O78" s="686"/>
      <c r="P78" s="686"/>
      <c r="Q78" s="686"/>
      <c r="R78" s="686"/>
      <c r="S78" s="686"/>
    </row>
    <row r="79" spans="2:21" ht="12.75" customHeight="1">
      <c r="B79" s="1902" t="str">
        <f>Texte!A22</f>
        <v>AGRIDEA lehnt jede Haftung und Gewährleistung ab, die aus Berechnungen mit diesem Instrument abgeleitet werden.</v>
      </c>
      <c r="C79" s="686"/>
      <c r="D79" s="686"/>
      <c r="E79" s="686"/>
      <c r="F79" s="686"/>
      <c r="G79" s="686"/>
      <c r="H79" s="686"/>
      <c r="I79" s="686"/>
      <c r="J79" s="686"/>
      <c r="K79" s="686"/>
      <c r="L79" s="686"/>
      <c r="M79" s="686"/>
      <c r="N79" s="686"/>
      <c r="O79" s="686"/>
      <c r="P79" s="686"/>
      <c r="Q79" s="686"/>
      <c r="R79" s="686"/>
      <c r="S79" s="686"/>
      <c r="T79" s="2474"/>
      <c r="U79" s="2474"/>
    </row>
    <row r="80" spans="2:21" ht="14.1" customHeight="1">
      <c r="B80" s="686"/>
      <c r="C80" s="686"/>
      <c r="D80" s="686"/>
      <c r="E80" s="686"/>
      <c r="F80" s="686"/>
      <c r="G80" s="686"/>
      <c r="H80" s="686"/>
      <c r="I80" s="686"/>
      <c r="J80" s="686"/>
      <c r="K80" s="686"/>
      <c r="L80" s="686"/>
      <c r="M80" s="686"/>
      <c r="N80" s="686"/>
      <c r="O80" s="686"/>
      <c r="P80" s="686"/>
      <c r="Q80" s="686"/>
      <c r="R80" s="686"/>
      <c r="S80" s="686"/>
      <c r="T80" s="2474"/>
      <c r="U80" s="2474"/>
    </row>
    <row r="81" spans="2:21" ht="14.1" customHeight="1">
      <c r="B81" s="686"/>
      <c r="C81" s="686"/>
      <c r="D81" s="686"/>
      <c r="E81" s="686"/>
      <c r="F81" s="686"/>
      <c r="G81" s="686"/>
      <c r="H81" s="686"/>
      <c r="I81" s="686"/>
      <c r="J81" s="686"/>
      <c r="K81" s="686"/>
      <c r="L81" s="686"/>
      <c r="M81" s="686"/>
      <c r="N81" s="686"/>
      <c r="O81" s="686"/>
      <c r="P81" s="686"/>
      <c r="Q81" s="686"/>
      <c r="R81" s="686"/>
      <c r="S81" s="686"/>
      <c r="T81" s="2474"/>
      <c r="U81" s="2474"/>
    </row>
    <row r="82" spans="2:21" ht="14.1" customHeight="1">
      <c r="B82" s="686"/>
      <c r="C82" s="686"/>
      <c r="D82" s="686"/>
      <c r="E82" s="686"/>
      <c r="F82" s="686"/>
      <c r="G82" s="686"/>
      <c r="H82" s="686"/>
      <c r="I82" s="686"/>
      <c r="J82" s="686"/>
      <c r="K82" s="686"/>
      <c r="L82" s="686"/>
      <c r="M82" s="686"/>
      <c r="N82" s="686"/>
      <c r="O82" s="686"/>
      <c r="P82" s="686"/>
      <c r="Q82" s="686"/>
      <c r="R82" s="686"/>
      <c r="S82" s="686"/>
      <c r="T82" s="2474"/>
      <c r="U82" s="2474"/>
    </row>
    <row r="83" spans="2:21" ht="14.1" customHeight="1">
      <c r="B83" s="686"/>
      <c r="C83" s="686"/>
      <c r="D83" s="686"/>
      <c r="E83" s="686"/>
      <c r="F83" s="686"/>
      <c r="G83" s="686"/>
      <c r="H83" s="686"/>
      <c r="I83" s="686"/>
      <c r="J83" s="686"/>
      <c r="K83" s="686"/>
      <c r="L83" s="686"/>
      <c r="M83" s="686"/>
      <c r="N83" s="686"/>
      <c r="O83" s="686"/>
      <c r="P83" s="686"/>
      <c r="Q83" s="686"/>
      <c r="R83" s="686"/>
      <c r="S83" s="686"/>
      <c r="T83" s="2474"/>
      <c r="U83" s="2474"/>
    </row>
    <row r="84" spans="2:21" ht="14.1" customHeight="1">
      <c r="B84" s="686"/>
      <c r="C84" s="686"/>
      <c r="D84" s="686"/>
      <c r="E84" s="686"/>
      <c r="F84" s="686"/>
      <c r="G84" s="686"/>
      <c r="H84" s="686"/>
      <c r="I84" s="686"/>
      <c r="J84" s="686"/>
      <c r="K84" s="686"/>
      <c r="L84" s="686"/>
      <c r="M84" s="686"/>
      <c r="N84" s="686"/>
      <c r="O84" s="686"/>
      <c r="P84" s="686"/>
      <c r="Q84" s="686"/>
      <c r="R84" s="686"/>
      <c r="S84" s="686"/>
      <c r="T84" s="2474"/>
      <c r="U84" s="2474"/>
    </row>
    <row r="85" spans="2:21" ht="14.1" customHeight="1">
      <c r="B85" s="686"/>
      <c r="C85" s="686"/>
      <c r="D85" s="686"/>
      <c r="E85" s="686"/>
      <c r="F85" s="686"/>
      <c r="G85" s="686"/>
      <c r="H85" s="686"/>
      <c r="I85" s="686"/>
      <c r="J85" s="686"/>
      <c r="K85" s="686"/>
      <c r="L85" s="686"/>
      <c r="M85" s="686"/>
      <c r="N85" s="686"/>
      <c r="O85" s="686"/>
      <c r="P85" s="686"/>
      <c r="Q85" s="686"/>
      <c r="R85" s="686"/>
      <c r="S85" s="686"/>
      <c r="T85" s="2474"/>
      <c r="U85" s="2474"/>
    </row>
    <row r="86" spans="2:21" ht="14.1" customHeight="1">
      <c r="B86" s="686"/>
      <c r="C86" s="686"/>
      <c r="D86" s="686"/>
      <c r="E86" s="686"/>
      <c r="F86" s="686"/>
      <c r="G86" s="686"/>
      <c r="H86" s="686"/>
      <c r="I86" s="686"/>
      <c r="J86" s="686"/>
      <c r="K86" s="686"/>
      <c r="L86" s="686"/>
      <c r="M86" s="686"/>
      <c r="N86" s="686"/>
      <c r="O86" s="686"/>
      <c r="P86" s="686"/>
      <c r="Q86" s="686"/>
      <c r="R86" s="686"/>
      <c r="S86" s="686"/>
      <c r="T86" s="2474"/>
      <c r="U86" s="2474"/>
    </row>
    <row r="87" spans="2:21" ht="14.1" customHeight="1">
      <c r="B87" s="686"/>
      <c r="C87" s="686"/>
      <c r="D87" s="686"/>
      <c r="E87" s="686"/>
      <c r="F87" s="686"/>
      <c r="G87" s="686"/>
      <c r="H87" s="686"/>
      <c r="I87" s="686"/>
      <c r="J87" s="686"/>
      <c r="K87" s="686"/>
      <c r="L87" s="686"/>
      <c r="M87" s="686"/>
      <c r="N87" s="686"/>
      <c r="O87" s="686"/>
      <c r="P87" s="686"/>
      <c r="Q87" s="686"/>
      <c r="R87" s="686"/>
      <c r="S87" s="686"/>
      <c r="T87" s="2474"/>
      <c r="U87" s="2474"/>
    </row>
    <row r="88" spans="2:21" ht="14.1" customHeight="1">
      <c r="B88" s="686"/>
      <c r="C88" s="686"/>
      <c r="D88" s="686"/>
      <c r="E88" s="686"/>
      <c r="F88" s="686"/>
      <c r="G88" s="686"/>
      <c r="H88" s="686"/>
      <c r="I88" s="686"/>
      <c r="J88" s="686"/>
      <c r="K88" s="686"/>
      <c r="L88" s="686"/>
      <c r="M88" s="686"/>
      <c r="N88" s="686"/>
      <c r="O88" s="686"/>
      <c r="P88" s="686"/>
      <c r="Q88" s="686"/>
      <c r="R88" s="686"/>
      <c r="S88" s="686"/>
      <c r="T88" s="2474"/>
      <c r="U88" s="2474"/>
    </row>
    <row r="89" spans="2:21" ht="14.1" customHeight="1">
      <c r="B89" s="686"/>
      <c r="C89" s="686"/>
      <c r="D89" s="686"/>
      <c r="E89" s="686"/>
      <c r="F89" s="686"/>
      <c r="G89" s="686"/>
      <c r="H89" s="686"/>
      <c r="I89" s="686"/>
      <c r="J89" s="686"/>
      <c r="K89" s="686"/>
      <c r="L89" s="686"/>
      <c r="M89" s="686"/>
      <c r="N89" s="686"/>
      <c r="O89" s="686"/>
      <c r="P89" s="686"/>
      <c r="Q89" s="686"/>
      <c r="R89" s="686"/>
      <c r="S89" s="686"/>
      <c r="T89" s="2474"/>
    </row>
  </sheetData>
  <sheetProtection algorithmName="SHA-512" hashValue="kTSQ15NYYSTVJu5L9yK5ANUhfCEw5QcUZ39XrTgsTxeB2vEWufhhEgU4VntXsCo0pc2BRreh+8nQbpZmkbZpbQ==" saltValue="nTJ7AMdaCTfUwB5xujYjKQ==" spinCount="100000" sheet="1" objects="1" scenarios="1"/>
  <phoneticPr fontId="65" type="noConversion"/>
  <printOptions horizontalCentered="1"/>
  <pageMargins left="0.62992125984251968" right="0.43307086614173229" top="0.74803149606299213" bottom="0.74803149606299213" header="0.31496062992125984" footer="0.31496062992125984"/>
  <pageSetup paperSize="9" scale="78" orientation="portrait" r:id="rId1"/>
  <headerFooter alignWithMargins="0">
    <oddFooter>&amp;C&amp;9&amp;F&amp;R&amp;"Arial,Standard"&amp;9Seite &amp;P&amp;L&amp;"Arial,Fett"&amp;11AGRIDEA &amp;"Arial,Standard"&amp;9 Nachweis Version 9.9</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2">
    <tabColor indexed="27"/>
    <pageSetUpPr fitToPage="1"/>
  </sheetPr>
  <dimension ref="A1:AR67"/>
  <sheetViews>
    <sheetView showGridLines="0" showRowColHeaders="0" showZeros="0" workbookViewId="0">
      <selection activeCell="M8" sqref="M8"/>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1.140625" style="872" customWidth="1"/>
    <col min="2" max="2" width="1.7109375" style="872" customWidth="1"/>
    <col min="3" max="3" width="11.140625" style="872" customWidth="1"/>
    <col min="4" max="4" width="7.85546875" style="872" customWidth="1"/>
    <col min="5" max="5" width="9.42578125" style="872" customWidth="1"/>
    <col min="6" max="6" width="10.85546875" style="872" customWidth="1"/>
    <col min="7" max="7" width="10.7109375" style="872" customWidth="1"/>
    <col min="8" max="8" width="2.7109375" style="872" customWidth="1"/>
    <col min="9" max="9" width="14.42578125" style="872" customWidth="1"/>
    <col min="10" max="10" width="2.5703125" style="872" customWidth="1"/>
    <col min="11" max="11" width="11.140625" style="872" customWidth="1"/>
    <col min="12" max="12" width="3.85546875" style="872" customWidth="1"/>
    <col min="13" max="13" width="17.140625" style="872" customWidth="1"/>
    <col min="14" max="14" width="3.42578125" style="872" customWidth="1"/>
    <col min="15" max="15" width="11.28515625" style="872" customWidth="1"/>
    <col min="16" max="16" width="0.85546875" style="872" customWidth="1"/>
    <col min="17" max="17" width="11.42578125" style="872"/>
    <col min="18" max="26" width="11.42578125" style="872" hidden="1" customWidth="1"/>
    <col min="27" max="16384" width="11.42578125" style="872"/>
  </cols>
  <sheetData>
    <row r="1" spans="1:44" ht="42" customHeight="1">
      <c r="B1" s="685" t="str">
        <f>Q!NW_Tit</f>
        <v xml:space="preserve">                                   Nachweis</v>
      </c>
      <c r="C1" s="874"/>
      <c r="D1" s="874"/>
      <c r="E1" s="874"/>
      <c r="F1" s="1315"/>
      <c r="G1" s="874"/>
      <c r="H1" s="874"/>
      <c r="I1" s="874"/>
      <c r="J1" s="874"/>
      <c r="K1" s="874"/>
      <c r="L1" s="874"/>
      <c r="M1" s="874"/>
      <c r="N1" s="874"/>
      <c r="O1" s="20" t="str">
        <f>Q!F49</f>
        <v>Übergang</v>
      </c>
      <c r="P1" s="20"/>
      <c r="Q1" s="675"/>
      <c r="R1" s="675"/>
      <c r="S1" s="675"/>
    </row>
    <row r="2" spans="1:44" s="692" customFormat="1" ht="11.1" customHeight="1" thickBot="1">
      <c r="B2" s="687"/>
      <c r="C2" s="687"/>
      <c r="D2" s="687"/>
      <c r="E2" s="687"/>
      <c r="F2" s="687"/>
      <c r="G2" s="687"/>
      <c r="H2" s="687"/>
      <c r="I2" s="687"/>
      <c r="J2" s="687"/>
      <c r="K2" s="687"/>
      <c r="L2" s="687"/>
      <c r="M2" s="687"/>
      <c r="N2" s="687"/>
      <c r="O2" s="44"/>
      <c r="P2" s="44"/>
      <c r="Q2" s="675"/>
      <c r="R2" s="675"/>
      <c r="S2" s="675"/>
    </row>
    <row r="3" spans="1:44" s="1195" customFormat="1" ht="21.95" customHeight="1">
      <c r="B3" s="1861" t="str">
        <f>Texte!A13</f>
        <v>Betrieb:</v>
      </c>
      <c r="C3" s="1873"/>
      <c r="D3" s="1873" t="str">
        <f>Allg!$C$9&amp;""</f>
        <v>Imhof &amp; Zaehner Betriebsgemeinschaft</v>
      </c>
      <c r="E3" s="1873"/>
      <c r="F3" s="1873"/>
      <c r="G3" s="1874"/>
      <c r="H3" s="1873"/>
      <c r="I3" s="1873"/>
      <c r="J3" s="1863" t="str">
        <f>Texte!A14</f>
        <v>Variante:</v>
      </c>
      <c r="K3" s="1433" t="str">
        <f>Allg!$G$7&amp;""</f>
        <v/>
      </c>
      <c r="L3" s="1873"/>
      <c r="M3" s="1873"/>
      <c r="N3" s="1863" t="str">
        <f>Texte!A15</f>
        <v>Jahr:</v>
      </c>
      <c r="O3" s="1859" t="str">
        <f>Allg!$G$6&amp;""</f>
        <v>2026</v>
      </c>
      <c r="P3" s="1859"/>
      <c r="Q3" s="30"/>
      <c r="R3" s="30"/>
      <c r="S3" s="30"/>
    </row>
    <row r="4" spans="1:44" ht="12.75" customHeight="1">
      <c r="B4" s="1318"/>
      <c r="C4" s="675"/>
      <c r="D4" s="675"/>
      <c r="E4" s="675"/>
      <c r="F4" s="675"/>
      <c r="G4" s="675"/>
      <c r="H4" s="675"/>
      <c r="I4" s="675"/>
      <c r="J4" s="675"/>
      <c r="K4" s="675"/>
      <c r="L4" s="675"/>
      <c r="M4" s="675"/>
      <c r="N4" s="675"/>
      <c r="O4" s="675"/>
      <c r="P4" s="675"/>
      <c r="Q4" s="675"/>
      <c r="R4" s="675"/>
      <c r="S4" s="675"/>
    </row>
    <row r="5" spans="1:44" ht="18.75" customHeight="1">
      <c r="B5" s="1396" t="str">
        <f>Texte!A2821</f>
        <v>Übergangsbeitrag (ÜGB, Art. 84 bis 96 DZV)</v>
      </c>
      <c r="C5" s="675"/>
      <c r="D5" s="675"/>
      <c r="E5" s="675"/>
      <c r="F5" s="675"/>
      <c r="G5" s="675"/>
      <c r="H5" s="675"/>
      <c r="I5" s="675"/>
      <c r="J5" s="675"/>
      <c r="K5" s="675"/>
      <c r="L5" s="675"/>
      <c r="M5" s="675"/>
      <c r="N5" s="675"/>
      <c r="O5" s="675"/>
      <c r="P5" s="675"/>
      <c r="Q5" s="675"/>
      <c r="R5" s="675"/>
      <c r="S5" s="675"/>
    </row>
    <row r="6" spans="1:44" ht="9.9499999999999993" customHeight="1">
      <c r="B6" s="1352"/>
      <c r="C6" s="1322"/>
      <c r="D6" s="1322"/>
      <c r="E6" s="1322"/>
      <c r="F6" s="1322"/>
      <c r="G6" s="1322"/>
      <c r="H6" s="1322"/>
      <c r="I6" s="1323"/>
      <c r="J6" s="1353"/>
      <c r="K6" s="1323"/>
      <c r="L6" s="1353"/>
      <c r="M6" s="1323"/>
      <c r="N6" s="1323"/>
      <c r="O6" s="1323"/>
      <c r="P6" s="528"/>
      <c r="Q6" s="675"/>
      <c r="R6" s="675"/>
      <c r="S6" s="675"/>
    </row>
    <row r="7" spans="1:44" ht="17.100000000000001" customHeight="1">
      <c r="B7" s="1354"/>
      <c r="C7" s="675"/>
      <c r="D7" s="675"/>
      <c r="E7" s="675"/>
      <c r="F7" s="675"/>
      <c r="G7" s="675"/>
      <c r="H7" s="675"/>
      <c r="I7" s="1325"/>
      <c r="J7" s="1334"/>
      <c r="K7" s="1325"/>
      <c r="L7" s="1334"/>
      <c r="M7" s="1325"/>
      <c r="N7" s="1325"/>
      <c r="O7" s="1325" t="str">
        <f>Texte!A2822</f>
        <v>Total (CHF)</v>
      </c>
      <c r="P7" s="481"/>
      <c r="Q7" s="675"/>
      <c r="R7" s="675"/>
      <c r="S7" s="675"/>
    </row>
    <row r="8" spans="1:44" s="692" customFormat="1" ht="17.100000000000001" customHeight="1">
      <c r="B8" s="1324"/>
      <c r="C8" s="675" t="str">
        <f>Texte!A2838</f>
        <v>Einzelbetrieblicher Basiswert</v>
      </c>
      <c r="D8" s="675"/>
      <c r="E8" s="675"/>
      <c r="F8" s="675"/>
      <c r="G8" s="675"/>
      <c r="H8" s="679"/>
      <c r="I8" s="675"/>
      <c r="J8" s="675"/>
      <c r="K8" s="675"/>
      <c r="L8" s="1359" t="s">
        <v>4983</v>
      </c>
      <c r="M8" s="712"/>
      <c r="N8" s="1325"/>
      <c r="O8" s="1320"/>
      <c r="P8" s="481"/>
      <c r="Q8" s="679"/>
      <c r="S8" s="675"/>
    </row>
    <row r="9" spans="1:44" s="692" customFormat="1" ht="17.100000000000001" customHeight="1">
      <c r="B9" s="1324"/>
      <c r="C9" s="686" t="str">
        <f>Texte!A2839</f>
        <v>gemäss Verfügung des kantonalen Landwirtschaftsamtes im Sommer 2014</v>
      </c>
      <c r="D9"/>
      <c r="E9"/>
      <c r="F9"/>
      <c r="G9"/>
      <c r="H9"/>
      <c r="I9"/>
      <c r="J9" s="675"/>
      <c r="K9" s="675"/>
      <c r="L9" s="1374"/>
      <c r="M9" s="1338"/>
      <c r="N9" s="1325"/>
      <c r="O9" s="1320"/>
      <c r="P9" s="481"/>
      <c r="Q9" s="679"/>
      <c r="R9" s="2293" t="str">
        <f>C13</f>
        <v>Berechnung des Übergangsbeitrags</v>
      </c>
      <c r="S9" s="2294"/>
      <c r="T9" s="2295"/>
      <c r="U9" s="2295"/>
      <c r="V9" s="2295"/>
      <c r="W9" s="2295"/>
      <c r="X9" s="2295"/>
      <c r="Y9" s="2295"/>
      <c r="Z9" s="2295"/>
      <c r="AA9" s="2295"/>
      <c r="AB9" s="2295"/>
      <c r="AC9" s="2295"/>
      <c r="AD9" s="2295"/>
      <c r="AE9" s="2295"/>
      <c r="AF9" s="2295"/>
      <c r="AG9" s="2295"/>
      <c r="AH9" s="2295"/>
      <c r="AI9" s="2295"/>
      <c r="AJ9" s="2295"/>
      <c r="AK9" s="2295"/>
      <c r="AL9" s="2295"/>
      <c r="AM9" s="2295"/>
      <c r="AN9" s="2295"/>
      <c r="AO9" s="2295"/>
      <c r="AP9" s="2295"/>
      <c r="AQ9" s="2295"/>
      <c r="AR9" s="2295"/>
    </row>
    <row r="10" spans="1:44" ht="17.100000000000001" customHeight="1">
      <c r="B10" s="1324"/>
      <c r="C10" s="1467">
        <f>Texte!A2841</f>
        <v>0</v>
      </c>
      <c r="D10" s="679"/>
      <c r="E10" s="679"/>
      <c r="F10" s="675"/>
      <c r="G10" s="675"/>
      <c r="H10" s="1340"/>
      <c r="I10" s="296"/>
      <c r="J10" s="1363"/>
      <c r="K10" s="296"/>
      <c r="L10" s="30"/>
      <c r="M10" s="296"/>
      <c r="N10" s="2"/>
      <c r="O10" s="570"/>
      <c r="P10" s="481"/>
      <c r="Q10" s="679"/>
      <c r="R10" s="2296" t="str">
        <f>C11</f>
        <v>Faktor (Total verfügbare Mittel/ Total Bedarf)</v>
      </c>
      <c r="S10" s="2297"/>
      <c r="T10" s="2297"/>
      <c r="U10" s="2297"/>
      <c r="V10" s="2298"/>
      <c r="W10" s="2299"/>
      <c r="X10" s="2299"/>
      <c r="Y10" s="2299"/>
      <c r="Z10" s="2299"/>
      <c r="AA10" s="2299"/>
      <c r="AB10" s="2299"/>
      <c r="AC10" s="2299"/>
      <c r="AD10" s="2299"/>
      <c r="AE10" s="2299"/>
      <c r="AF10" s="2299"/>
      <c r="AG10" s="2299"/>
      <c r="AH10" s="2299"/>
      <c r="AI10" s="2299"/>
      <c r="AJ10" s="2299"/>
      <c r="AK10" s="2299"/>
      <c r="AL10" s="2299"/>
      <c r="AM10" s="2299"/>
      <c r="AN10" s="2299"/>
      <c r="AO10" s="2299"/>
      <c r="AP10" s="2299"/>
      <c r="AQ10" s="2299"/>
      <c r="AR10" s="2299"/>
    </row>
    <row r="11" spans="1:44" s="922" customFormat="1" ht="17.100000000000001" customHeight="1">
      <c r="A11" s="874"/>
      <c r="B11" s="1337"/>
      <c r="C11" s="675" t="str">
        <f>Texte!A2842</f>
        <v>Faktor (Total verfügbare Mittel/ Total Bedarf)</v>
      </c>
      <c r="D11" s="679"/>
      <c r="E11" s="679"/>
      <c r="F11" s="679"/>
      <c r="G11" s="679"/>
      <c r="H11" s="1338"/>
      <c r="I11" s="1375"/>
      <c r="J11" s="1325"/>
      <c r="K11" s="3322">
        <f>IF(AND(Allg!Erntejahr&gt;=2014,Allg!Erntejahr&lt;2026),HLOOKUP(Allg!Erntejahr,R11:AG12,2),0)</f>
        <v>0</v>
      </c>
      <c r="L11" s="1376"/>
      <c r="M11" s="1338"/>
      <c r="N11" s="1359"/>
      <c r="O11" s="570"/>
      <c r="P11" s="481"/>
      <c r="R11" s="2300">
        <v>2014</v>
      </c>
      <c r="S11" s="2300">
        <v>2015</v>
      </c>
      <c r="T11" s="2300">
        <v>2016</v>
      </c>
      <c r="U11" s="2300">
        <v>2017</v>
      </c>
      <c r="V11" s="2300">
        <v>2018</v>
      </c>
      <c r="W11" s="2300">
        <v>2019</v>
      </c>
      <c r="X11" s="2300">
        <v>2020</v>
      </c>
      <c r="Y11" s="2300">
        <v>2021</v>
      </c>
      <c r="Z11" s="2300">
        <v>2022</v>
      </c>
      <c r="AA11" s="2300">
        <v>2023</v>
      </c>
      <c r="AB11" s="2300">
        <v>2024</v>
      </c>
      <c r="AC11" s="2300">
        <v>2025</v>
      </c>
      <c r="AD11" s="2300">
        <v>2026</v>
      </c>
      <c r="AE11" s="2300">
        <v>2027</v>
      </c>
      <c r="AF11" s="2300">
        <v>2028</v>
      </c>
      <c r="AG11" s="2300">
        <v>2029</v>
      </c>
      <c r="AH11" s="2300">
        <v>2030</v>
      </c>
      <c r="AI11" s="2300">
        <v>2031</v>
      </c>
      <c r="AJ11" s="2300">
        <v>2032</v>
      </c>
      <c r="AK11" s="2300">
        <v>2033</v>
      </c>
      <c r="AL11" s="2300">
        <v>2034</v>
      </c>
      <c r="AM11" s="2300">
        <v>2035</v>
      </c>
      <c r="AN11" s="2300">
        <v>2036</v>
      </c>
      <c r="AO11" s="2300">
        <v>2037</v>
      </c>
      <c r="AP11" s="2300">
        <v>2038</v>
      </c>
      <c r="AQ11" s="2300">
        <v>2039</v>
      </c>
      <c r="AR11" s="2300">
        <v>2040</v>
      </c>
    </row>
    <row r="12" spans="1:44" s="922" customFormat="1" ht="17.100000000000001" customHeight="1">
      <c r="A12" s="874"/>
      <c r="B12" s="1337"/>
      <c r="C12" s="675" t="str">
        <f>Texte!A2843</f>
        <v>WBF: 2014: 0.4727; 2015: 0.2796, 2016: 0.2619, 2017: 0.2116</v>
      </c>
      <c r="D12" s="679"/>
      <c r="E12" s="679"/>
      <c r="F12" s="679"/>
      <c r="G12" s="679"/>
      <c r="H12" s="1338"/>
      <c r="I12" s="1375"/>
      <c r="J12" s="1325"/>
      <c r="K12" s="1338"/>
      <c r="L12" s="1359"/>
      <c r="M12" s="1338"/>
      <c r="N12" s="1359"/>
      <c r="O12" s="570"/>
      <c r="P12" s="481"/>
      <c r="R12" s="2301">
        <v>0.47239999999999999</v>
      </c>
      <c r="S12" s="2301">
        <v>0.27960000000000002</v>
      </c>
      <c r="T12" s="2301">
        <v>0.26190000000000002</v>
      </c>
      <c r="U12" s="2301">
        <v>0.21160000000000001</v>
      </c>
      <c r="V12" s="2301">
        <v>0.1918</v>
      </c>
      <c r="W12" s="2301">
        <v>0.17949999999999999</v>
      </c>
      <c r="X12" s="2301">
        <v>0.14030000000000001</v>
      </c>
      <c r="Y12" s="2301">
        <v>0.1109</v>
      </c>
      <c r="Z12" s="2301">
        <v>0.1003</v>
      </c>
      <c r="AA12" s="2301">
        <v>5.1799999999999999E-2</v>
      </c>
      <c r="AB12" s="2301">
        <v>0.14330000000000001</v>
      </c>
      <c r="AC12" s="2302">
        <v>0.1</v>
      </c>
      <c r="AD12" s="2302">
        <f t="shared" ref="AD12:AR12" si="0">AC12</f>
        <v>0.1</v>
      </c>
      <c r="AE12" s="2302">
        <f t="shared" si="0"/>
        <v>0.1</v>
      </c>
      <c r="AF12" s="2302">
        <f t="shared" si="0"/>
        <v>0.1</v>
      </c>
      <c r="AG12" s="2302">
        <f t="shared" si="0"/>
        <v>0.1</v>
      </c>
      <c r="AH12" s="2302">
        <f t="shared" si="0"/>
        <v>0.1</v>
      </c>
      <c r="AI12" s="2302">
        <f t="shared" si="0"/>
        <v>0.1</v>
      </c>
      <c r="AJ12" s="2302">
        <f t="shared" si="0"/>
        <v>0.1</v>
      </c>
      <c r="AK12" s="2302">
        <f t="shared" si="0"/>
        <v>0.1</v>
      </c>
      <c r="AL12" s="2302">
        <f t="shared" si="0"/>
        <v>0.1</v>
      </c>
      <c r="AM12" s="2302">
        <f t="shared" si="0"/>
        <v>0.1</v>
      </c>
      <c r="AN12" s="2302">
        <f t="shared" si="0"/>
        <v>0.1</v>
      </c>
      <c r="AO12" s="2302">
        <f t="shared" si="0"/>
        <v>0.1</v>
      </c>
      <c r="AP12" s="2302">
        <f t="shared" si="0"/>
        <v>0.1</v>
      </c>
      <c r="AQ12" s="2302">
        <f t="shared" si="0"/>
        <v>0.1</v>
      </c>
      <c r="AR12" s="2302">
        <f t="shared" si="0"/>
        <v>0.1</v>
      </c>
    </row>
    <row r="13" spans="1:44" ht="17.100000000000001" customHeight="1">
      <c r="A13" s="874"/>
      <c r="B13" s="1337"/>
      <c r="C13" s="675" t="str">
        <f>Texte!A2844</f>
        <v>Berechnung des Übergangsbeitrags</v>
      </c>
      <c r="D13" s="679"/>
      <c r="E13" s="679"/>
      <c r="F13" s="679"/>
      <c r="G13" s="679"/>
      <c r="H13" s="1338"/>
      <c r="I13" s="296"/>
      <c r="J13" s="1363"/>
      <c r="K13" s="3322">
        <f>K11</f>
        <v>0</v>
      </c>
      <c r="L13" s="2" t="s">
        <v>1045</v>
      </c>
      <c r="M13" s="557">
        <f>M8</f>
        <v>0</v>
      </c>
      <c r="N13" s="2" t="str">
        <f>L8</f>
        <v>=</v>
      </c>
      <c r="O13" s="1912">
        <f>K13*M13</f>
        <v>0</v>
      </c>
      <c r="P13" s="481"/>
      <c r="R13" s="1435">
        <f t="shared" ref="R13:W13" si="1">$M$13*R12</f>
        <v>0</v>
      </c>
      <c r="S13" s="1435">
        <f t="shared" si="1"/>
        <v>0</v>
      </c>
      <c r="T13" s="1435">
        <f t="shared" si="1"/>
        <v>0</v>
      </c>
      <c r="U13" s="1435">
        <f t="shared" si="1"/>
        <v>0</v>
      </c>
      <c r="V13" s="1435">
        <f t="shared" si="1"/>
        <v>0</v>
      </c>
      <c r="W13" s="1435">
        <f t="shared" si="1"/>
        <v>0</v>
      </c>
      <c r="X13" s="1435">
        <f t="shared" ref="X13:AE13" si="2">$M$13*X12</f>
        <v>0</v>
      </c>
      <c r="Y13" s="1435">
        <f t="shared" si="2"/>
        <v>0</v>
      </c>
      <c r="Z13" s="1435">
        <f t="shared" si="2"/>
        <v>0</v>
      </c>
      <c r="AA13" s="1435">
        <f t="shared" si="2"/>
        <v>0</v>
      </c>
      <c r="AB13" s="1435">
        <f t="shared" si="2"/>
        <v>0</v>
      </c>
      <c r="AC13" s="1435">
        <f t="shared" si="2"/>
        <v>0</v>
      </c>
      <c r="AD13" s="1435">
        <f t="shared" si="2"/>
        <v>0</v>
      </c>
      <c r="AE13" s="1435">
        <f t="shared" si="2"/>
        <v>0</v>
      </c>
      <c r="AF13" s="1435">
        <f t="shared" ref="AF13:AR13" si="3">$M$13*AF12</f>
        <v>0</v>
      </c>
      <c r="AG13" s="1435">
        <f t="shared" si="3"/>
        <v>0</v>
      </c>
      <c r="AH13" s="1435">
        <f t="shared" si="3"/>
        <v>0</v>
      </c>
      <c r="AI13" s="1435">
        <f t="shared" si="3"/>
        <v>0</v>
      </c>
      <c r="AJ13" s="1435">
        <f t="shared" si="3"/>
        <v>0</v>
      </c>
      <c r="AK13" s="1435">
        <f t="shared" si="3"/>
        <v>0</v>
      </c>
      <c r="AL13" s="1435">
        <f t="shared" si="3"/>
        <v>0</v>
      </c>
      <c r="AM13" s="1435">
        <f t="shared" si="3"/>
        <v>0</v>
      </c>
      <c r="AN13" s="1435">
        <f t="shared" si="3"/>
        <v>0</v>
      </c>
      <c r="AO13" s="1435">
        <f t="shared" si="3"/>
        <v>0</v>
      </c>
      <c r="AP13" s="1435">
        <f t="shared" si="3"/>
        <v>0</v>
      </c>
      <c r="AQ13" s="1435">
        <f t="shared" si="3"/>
        <v>0</v>
      </c>
      <c r="AR13" s="1435">
        <f t="shared" si="3"/>
        <v>0</v>
      </c>
    </row>
    <row r="14" spans="1:44" ht="8.1" customHeight="1">
      <c r="A14" s="874"/>
      <c r="B14" s="1337"/>
      <c r="C14" s="675"/>
      <c r="D14" s="679"/>
      <c r="E14" s="679"/>
      <c r="F14" s="679"/>
      <c r="G14" s="679"/>
      <c r="H14" s="1338"/>
      <c r="I14" s="296"/>
      <c r="J14" s="1363"/>
      <c r="K14" s="296"/>
      <c r="L14" s="30"/>
      <c r="M14" s="296"/>
      <c r="N14" s="2"/>
      <c r="O14" s="1320"/>
      <c r="P14" s="481"/>
      <c r="R14" s="2303"/>
      <c r="S14" s="2303"/>
      <c r="T14" s="2303"/>
      <c r="U14" s="2303"/>
      <c r="V14" s="2303"/>
      <c r="W14" s="2303"/>
      <c r="X14" s="2303"/>
      <c r="Y14" s="2303"/>
      <c r="Z14" s="2303"/>
      <c r="AA14" s="2303"/>
      <c r="AB14" s="2303"/>
      <c r="AC14" s="2303"/>
      <c r="AD14" s="2303"/>
      <c r="AE14" s="2303"/>
      <c r="AF14" s="2303"/>
      <c r="AG14" s="2304">
        <f t="shared" ref="AG14:AR14" si="4">$O$15</f>
        <v>0</v>
      </c>
      <c r="AH14" s="2304">
        <f t="shared" si="4"/>
        <v>0</v>
      </c>
      <c r="AI14" s="2304">
        <f t="shared" si="4"/>
        <v>0</v>
      </c>
      <c r="AJ14" s="2304">
        <f t="shared" si="4"/>
        <v>0</v>
      </c>
      <c r="AK14" s="2304">
        <f t="shared" si="4"/>
        <v>0</v>
      </c>
      <c r="AL14" s="2304">
        <f t="shared" si="4"/>
        <v>0</v>
      </c>
      <c r="AM14" s="2304">
        <f t="shared" si="4"/>
        <v>0</v>
      </c>
      <c r="AN14" s="2304">
        <f t="shared" si="4"/>
        <v>0</v>
      </c>
      <c r="AO14" s="2304">
        <f t="shared" si="4"/>
        <v>0</v>
      </c>
      <c r="AP14" s="2304">
        <f t="shared" si="4"/>
        <v>0</v>
      </c>
      <c r="AQ14" s="2304">
        <f t="shared" si="4"/>
        <v>0</v>
      </c>
      <c r="AR14" s="2304">
        <f t="shared" si="4"/>
        <v>0</v>
      </c>
    </row>
    <row r="15" spans="1:44" ht="17.100000000000001" customHeight="1">
      <c r="A15" s="874"/>
      <c r="B15" s="1337"/>
      <c r="C15" s="675" t="str">
        <f>Texte!A2845</f>
        <v>Kürzung auf Grund des steuerbaren Einkommens um CHF*</v>
      </c>
      <c r="D15" s="679"/>
      <c r="E15" s="679"/>
      <c r="F15" s="679"/>
      <c r="G15" s="679"/>
      <c r="H15" s="1338"/>
      <c r="I15" s="296"/>
      <c r="J15" s="1363"/>
      <c r="K15" s="296"/>
      <c r="L15" s="30"/>
      <c r="M15" s="296"/>
      <c r="N15" s="1377" t="s">
        <v>4818</v>
      </c>
      <c r="O15" s="1915">
        <f>RED!N17</f>
        <v>0</v>
      </c>
      <c r="P15" s="481"/>
      <c r="R15" s="2304">
        <f t="shared" ref="R15:AE15" si="5">$O$15</f>
        <v>0</v>
      </c>
      <c r="S15" s="2304">
        <f t="shared" si="5"/>
        <v>0</v>
      </c>
      <c r="T15" s="2304">
        <f t="shared" si="5"/>
        <v>0</v>
      </c>
      <c r="U15" s="2304">
        <f t="shared" si="5"/>
        <v>0</v>
      </c>
      <c r="V15" s="2304">
        <f t="shared" si="5"/>
        <v>0</v>
      </c>
      <c r="W15" s="2304">
        <f t="shared" si="5"/>
        <v>0</v>
      </c>
      <c r="X15" s="2304">
        <f t="shared" si="5"/>
        <v>0</v>
      </c>
      <c r="Y15" s="2304">
        <f t="shared" si="5"/>
        <v>0</v>
      </c>
      <c r="Z15" s="2304">
        <f t="shared" si="5"/>
        <v>0</v>
      </c>
      <c r="AA15" s="2304">
        <f t="shared" si="5"/>
        <v>0</v>
      </c>
      <c r="AB15" s="2304">
        <f t="shared" si="5"/>
        <v>0</v>
      </c>
      <c r="AC15" s="2304">
        <f t="shared" si="5"/>
        <v>0</v>
      </c>
      <c r="AD15" s="2304">
        <f t="shared" si="5"/>
        <v>0</v>
      </c>
      <c r="AE15" s="2304">
        <f t="shared" si="5"/>
        <v>0</v>
      </c>
      <c r="AF15" s="2304">
        <f>$O$15</f>
        <v>0</v>
      </c>
      <c r="AG15" s="2304"/>
      <c r="AH15" s="2304"/>
      <c r="AI15" s="2304"/>
      <c r="AJ15" s="2304"/>
      <c r="AK15" s="2304"/>
      <c r="AL15" s="2304"/>
      <c r="AM15" s="2304"/>
      <c r="AN15" s="2304"/>
      <c r="AO15" s="2304"/>
      <c r="AP15" s="2304"/>
      <c r="AQ15" s="2304"/>
      <c r="AR15" s="2304"/>
    </row>
    <row r="16" spans="1:44" ht="17.100000000000001" customHeight="1">
      <c r="A16" s="874"/>
      <c r="B16" s="1337"/>
      <c r="C16" s="675" t="str">
        <f>Texte!A2846</f>
        <v>Kürzung auf Grund des massgeblichen Vermögens um CHF*</v>
      </c>
      <c r="D16" s="679"/>
      <c r="E16" s="679"/>
      <c r="F16" s="679"/>
      <c r="G16" s="679"/>
      <c r="H16" s="1338"/>
      <c r="I16" s="296"/>
      <c r="J16" s="1363"/>
      <c r="K16" s="296"/>
      <c r="L16" s="30"/>
      <c r="M16" s="296"/>
      <c r="N16" s="1377" t="s">
        <v>4818</v>
      </c>
      <c r="O16" s="1915">
        <f>IF(RED!H25&gt;1000000,RED!N30,RED!N28)</f>
        <v>0</v>
      </c>
      <c r="P16" s="481"/>
      <c r="R16" s="2304">
        <f t="shared" ref="R16:AE16" si="6">$O$16</f>
        <v>0</v>
      </c>
      <c r="S16" s="2304">
        <f t="shared" si="6"/>
        <v>0</v>
      </c>
      <c r="T16" s="2304">
        <f t="shared" si="6"/>
        <v>0</v>
      </c>
      <c r="U16" s="2304">
        <f t="shared" si="6"/>
        <v>0</v>
      </c>
      <c r="V16" s="2304">
        <f t="shared" si="6"/>
        <v>0</v>
      </c>
      <c r="W16" s="2304">
        <f t="shared" si="6"/>
        <v>0</v>
      </c>
      <c r="X16" s="2304">
        <f t="shared" si="6"/>
        <v>0</v>
      </c>
      <c r="Y16" s="2304">
        <f t="shared" si="6"/>
        <v>0</v>
      </c>
      <c r="Z16" s="2304">
        <f t="shared" si="6"/>
        <v>0</v>
      </c>
      <c r="AA16" s="2304">
        <f t="shared" si="6"/>
        <v>0</v>
      </c>
      <c r="AB16" s="2304">
        <f t="shared" si="6"/>
        <v>0</v>
      </c>
      <c r="AC16" s="2304">
        <f t="shared" si="6"/>
        <v>0</v>
      </c>
      <c r="AD16" s="2304">
        <f t="shared" si="6"/>
        <v>0</v>
      </c>
      <c r="AE16" s="2304">
        <f t="shared" si="6"/>
        <v>0</v>
      </c>
      <c r="AF16" s="2304">
        <f t="shared" ref="AF16:AR16" si="7">$O$16</f>
        <v>0</v>
      </c>
      <c r="AG16" s="2304">
        <f t="shared" si="7"/>
        <v>0</v>
      </c>
      <c r="AH16" s="2304">
        <f t="shared" si="7"/>
        <v>0</v>
      </c>
      <c r="AI16" s="2304">
        <f t="shared" si="7"/>
        <v>0</v>
      </c>
      <c r="AJ16" s="2304">
        <f t="shared" si="7"/>
        <v>0</v>
      </c>
      <c r="AK16" s="2304">
        <f t="shared" si="7"/>
        <v>0</v>
      </c>
      <c r="AL16" s="2304">
        <f t="shared" si="7"/>
        <v>0</v>
      </c>
      <c r="AM16" s="2304">
        <f t="shared" si="7"/>
        <v>0</v>
      </c>
      <c r="AN16" s="2304">
        <f t="shared" si="7"/>
        <v>0</v>
      </c>
      <c r="AO16" s="2304">
        <f t="shared" si="7"/>
        <v>0</v>
      </c>
      <c r="AP16" s="2304">
        <f t="shared" si="7"/>
        <v>0</v>
      </c>
      <c r="AQ16" s="2304">
        <f t="shared" si="7"/>
        <v>0</v>
      </c>
      <c r="AR16" s="2304">
        <f t="shared" si="7"/>
        <v>0</v>
      </c>
    </row>
    <row r="17" spans="1:44" ht="17.100000000000001" customHeight="1">
      <c r="A17" s="874"/>
      <c r="B17" s="1337"/>
      <c r="C17" s="30" t="str">
        <f>Texte!A2847</f>
        <v>* siehe Register "SAK und RED"</v>
      </c>
      <c r="D17" s="679"/>
      <c r="E17" s="679"/>
      <c r="F17" s="679"/>
      <c r="G17" s="679"/>
      <c r="H17" s="1338"/>
      <c r="I17" s="296"/>
      <c r="J17" s="1363"/>
      <c r="K17" s="296"/>
      <c r="L17" s="30"/>
      <c r="M17" s="296"/>
      <c r="N17" s="1377"/>
      <c r="O17" s="1358"/>
      <c r="P17" s="481"/>
      <c r="R17" s="2304"/>
      <c r="S17" s="2304"/>
      <c r="T17" s="2304"/>
      <c r="U17" s="2304"/>
      <c r="V17" s="2304"/>
      <c r="W17" s="2304"/>
      <c r="X17" s="2304"/>
      <c r="Y17" s="2304"/>
      <c r="Z17" s="2304"/>
      <c r="AA17" s="2304"/>
      <c r="AB17" s="2304"/>
      <c r="AC17" s="2304"/>
      <c r="AD17" s="2304"/>
      <c r="AE17" s="2304"/>
      <c r="AF17" s="2304"/>
      <c r="AG17" s="2304"/>
      <c r="AH17" s="2304"/>
      <c r="AI17" s="2304"/>
      <c r="AJ17" s="2304"/>
      <c r="AK17" s="2304"/>
      <c r="AL17" s="2304"/>
      <c r="AM17" s="2304"/>
      <c r="AN17" s="2304"/>
      <c r="AO17" s="2304"/>
      <c r="AP17" s="2304"/>
      <c r="AQ17" s="2304"/>
      <c r="AR17" s="2304"/>
    </row>
    <row r="18" spans="1:44" s="922" customFormat="1" ht="8.1" customHeight="1">
      <c r="A18" s="874"/>
      <c r="B18" s="1339"/>
      <c r="C18" s="675"/>
      <c r="D18" s="679"/>
      <c r="E18" s="679"/>
      <c r="F18" s="679"/>
      <c r="G18" s="679"/>
      <c r="H18" s="679"/>
      <c r="I18" s="679"/>
      <c r="J18" s="679"/>
      <c r="K18" s="679"/>
      <c r="L18" s="679"/>
      <c r="M18" s="679"/>
      <c r="N18" s="679"/>
      <c r="O18" s="1458"/>
      <c r="P18" s="481"/>
      <c r="Q18" s="872"/>
      <c r="R18" s="2304"/>
      <c r="S18" s="2304"/>
      <c r="T18" s="2304"/>
      <c r="U18" s="2304"/>
      <c r="V18" s="2304"/>
      <c r="W18" s="2304"/>
      <c r="X18" s="2304"/>
      <c r="Y18" s="2304"/>
      <c r="Z18" s="2304"/>
      <c r="AA18" s="2304"/>
      <c r="AB18" s="2304"/>
      <c r="AC18" s="2304"/>
      <c r="AD18" s="2304"/>
      <c r="AE18" s="2304"/>
      <c r="AF18" s="2304"/>
      <c r="AG18" s="2304"/>
      <c r="AH18" s="2304"/>
      <c r="AI18" s="2304"/>
      <c r="AJ18" s="2304"/>
      <c r="AK18" s="2304"/>
      <c r="AL18" s="2304"/>
      <c r="AM18" s="2304"/>
      <c r="AN18" s="2304"/>
      <c r="AO18" s="2304"/>
      <c r="AP18" s="2304"/>
      <c r="AQ18" s="2304"/>
      <c r="AR18" s="2304"/>
    </row>
    <row r="19" spans="1:44" s="922" customFormat="1" ht="18">
      <c r="B19" s="1383" t="str">
        <f>Texte!A2848</f>
        <v>Übergangsbeitrag ausbezahlt</v>
      </c>
      <c r="C19" s="675"/>
      <c r="D19" s="675"/>
      <c r="E19" s="675"/>
      <c r="F19" s="675"/>
      <c r="G19" s="675"/>
      <c r="H19" s="675"/>
      <c r="I19" s="675"/>
      <c r="J19" s="675"/>
      <c r="K19" s="675"/>
      <c r="L19" s="675"/>
      <c r="M19" s="675"/>
      <c r="N19" s="675"/>
      <c r="O19" s="1345">
        <f>IF(O13-O15-O16&gt;0,O13-O15-O16,0)</f>
        <v>0</v>
      </c>
      <c r="P19" s="481"/>
      <c r="Q19" s="679"/>
      <c r="R19" s="2304">
        <f t="shared" ref="R19:W19" si="8">IF(R13-R15-R16&gt;0,R13-R15-R16,0)</f>
        <v>0</v>
      </c>
      <c r="S19" s="2304">
        <f t="shared" si="8"/>
        <v>0</v>
      </c>
      <c r="T19" s="2304">
        <f t="shared" si="8"/>
        <v>0</v>
      </c>
      <c r="U19" s="2304">
        <f t="shared" si="8"/>
        <v>0</v>
      </c>
      <c r="V19" s="2304">
        <f t="shared" si="8"/>
        <v>0</v>
      </c>
      <c r="W19" s="2304">
        <f t="shared" si="8"/>
        <v>0</v>
      </c>
      <c r="X19" s="2304">
        <f t="shared" ref="X19:AE19" si="9">IF(X13-X15-X16&gt;0,X13-X15-X16,0)</f>
        <v>0</v>
      </c>
      <c r="Y19" s="2304">
        <f t="shared" si="9"/>
        <v>0</v>
      </c>
      <c r="Z19" s="2304">
        <f t="shared" si="9"/>
        <v>0</v>
      </c>
      <c r="AA19" s="2304">
        <f t="shared" si="9"/>
        <v>0</v>
      </c>
      <c r="AB19" s="2304">
        <f t="shared" si="9"/>
        <v>0</v>
      </c>
      <c r="AC19" s="2304">
        <f t="shared" si="9"/>
        <v>0</v>
      </c>
      <c r="AD19" s="2304">
        <f t="shared" si="9"/>
        <v>0</v>
      </c>
      <c r="AE19" s="2304">
        <f t="shared" si="9"/>
        <v>0</v>
      </c>
      <c r="AF19" s="2304">
        <f>IF(AF13-AF15-AF16&gt;0,AF13-AF15-AF16,0)</f>
        <v>0</v>
      </c>
      <c r="AG19" s="2304">
        <f t="shared" ref="AG19:AR19" si="10">IF(AG13-AG14-AG16&gt;0,AG13-AG14-AG16,0)</f>
        <v>0</v>
      </c>
      <c r="AH19" s="2304">
        <f t="shared" si="10"/>
        <v>0</v>
      </c>
      <c r="AI19" s="2304">
        <f t="shared" si="10"/>
        <v>0</v>
      </c>
      <c r="AJ19" s="2304">
        <f t="shared" si="10"/>
        <v>0</v>
      </c>
      <c r="AK19" s="2304">
        <f t="shared" si="10"/>
        <v>0</v>
      </c>
      <c r="AL19" s="2304">
        <f t="shared" si="10"/>
        <v>0</v>
      </c>
      <c r="AM19" s="2304">
        <f t="shared" si="10"/>
        <v>0</v>
      </c>
      <c r="AN19" s="2304">
        <f t="shared" si="10"/>
        <v>0</v>
      </c>
      <c r="AO19" s="2304">
        <f t="shared" si="10"/>
        <v>0</v>
      </c>
      <c r="AP19" s="2304">
        <f t="shared" si="10"/>
        <v>0</v>
      </c>
      <c r="AQ19" s="2304">
        <f t="shared" si="10"/>
        <v>0</v>
      </c>
      <c r="AR19" s="2304">
        <f t="shared" si="10"/>
        <v>0</v>
      </c>
    </row>
    <row r="20" spans="1:44" s="922" customFormat="1" ht="8.1" customHeight="1">
      <c r="B20" s="1350"/>
      <c r="C20" s="1351"/>
      <c r="D20" s="1351"/>
      <c r="E20" s="1351"/>
      <c r="F20" s="1351"/>
      <c r="G20" s="1351"/>
      <c r="H20" s="1351"/>
      <c r="I20" s="1351"/>
      <c r="J20" s="1351"/>
      <c r="K20" s="1351"/>
      <c r="L20" s="1351"/>
      <c r="M20" s="1351"/>
      <c r="N20" s="1351"/>
      <c r="O20" s="1919"/>
      <c r="P20" s="1329"/>
      <c r="Q20" s="679"/>
      <c r="R20" s="2305"/>
      <c r="S20" s="2305"/>
      <c r="T20" s="2305"/>
      <c r="U20" s="2305"/>
      <c r="V20" s="2305"/>
      <c r="W20" s="2305"/>
      <c r="X20" s="2305"/>
      <c r="Y20" s="2305"/>
      <c r="Z20" s="2305"/>
      <c r="AA20" s="2305"/>
      <c r="AB20" s="2305"/>
      <c r="AC20" s="2305"/>
      <c r="AD20" s="2305"/>
      <c r="AE20" s="2305"/>
      <c r="AF20" s="2305"/>
      <c r="AG20" s="2305"/>
      <c r="AH20" s="2305"/>
      <c r="AI20" s="2305"/>
      <c r="AJ20" s="2305"/>
      <c r="AK20" s="2305"/>
      <c r="AL20" s="2305"/>
      <c r="AM20" s="2305"/>
      <c r="AN20" s="2305"/>
      <c r="AO20" s="2305"/>
      <c r="AP20" s="2305"/>
      <c r="AQ20" s="2305"/>
      <c r="AR20" s="2305"/>
    </row>
    <row r="21" spans="1:44" ht="8.1" customHeight="1">
      <c r="B21" s="692"/>
      <c r="C21" s="692"/>
      <c r="D21" s="692"/>
      <c r="E21" s="692"/>
      <c r="F21" s="692"/>
      <c r="G21" s="692"/>
      <c r="H21" s="692"/>
      <c r="I21" s="692"/>
      <c r="J21" s="692"/>
      <c r="K21" s="692"/>
      <c r="L21" s="692"/>
      <c r="M21" s="692"/>
      <c r="N21" s="692"/>
      <c r="O21" s="692"/>
      <c r="P21" s="692"/>
      <c r="Q21" s="675"/>
      <c r="R21" s="2304"/>
      <c r="S21" s="2304"/>
      <c r="T21" s="2304"/>
      <c r="U21" s="2304"/>
      <c r="V21" s="2304"/>
      <c r="W21" s="2304"/>
      <c r="X21" s="2304"/>
      <c r="Y21" s="2304"/>
      <c r="Z21" s="2304"/>
      <c r="AA21" s="2304"/>
      <c r="AB21" s="2304"/>
      <c r="AC21" s="2304"/>
      <c r="AD21" s="2304"/>
      <c r="AE21" s="2304"/>
      <c r="AF21" s="2304"/>
      <c r="AG21" s="2304"/>
      <c r="AH21" s="2304"/>
      <c r="AI21" s="2304"/>
      <c r="AJ21" s="2304"/>
      <c r="AK21" s="2304"/>
      <c r="AL21" s="2304"/>
      <c r="AM21" s="2304"/>
      <c r="AN21" s="2304"/>
      <c r="AO21" s="2304"/>
      <c r="AP21" s="2304"/>
      <c r="AQ21" s="2304"/>
      <c r="AR21" s="2304"/>
    </row>
    <row r="22" spans="1:44" ht="18">
      <c r="B22" s="1378" t="str">
        <f>Texte!A2849</f>
        <v>Zusammenfassung der Direktzahlungen und Beiträge</v>
      </c>
      <c r="D22" s="692"/>
      <c r="E22" s="692"/>
      <c r="F22" s="692"/>
      <c r="G22" s="692"/>
      <c r="H22" s="692"/>
      <c r="I22" s="692"/>
      <c r="J22" s="692"/>
      <c r="K22" s="692"/>
      <c r="L22" s="692"/>
      <c r="M22" s="692"/>
      <c r="N22" s="1360"/>
      <c r="O22" s="692"/>
      <c r="P22" s="692"/>
      <c r="R22" s="2306"/>
      <c r="S22" s="2306"/>
      <c r="T22" s="2306"/>
      <c r="U22" s="2306"/>
      <c r="V22" s="2306"/>
      <c r="W22" s="2306"/>
      <c r="X22" s="2306"/>
      <c r="Y22" s="2306"/>
      <c r="Z22" s="2306"/>
      <c r="AA22" s="2306"/>
      <c r="AB22" s="2306"/>
      <c r="AC22" s="2306"/>
      <c r="AD22" s="2306"/>
      <c r="AE22" s="2306"/>
      <c r="AF22" s="2306"/>
      <c r="AG22" s="2306"/>
      <c r="AH22" s="2306"/>
      <c r="AI22" s="2306"/>
      <c r="AJ22" s="2306"/>
      <c r="AK22" s="2306"/>
      <c r="AL22" s="2306"/>
      <c r="AM22" s="2306"/>
      <c r="AN22" s="2306"/>
      <c r="AO22" s="2306"/>
      <c r="AP22" s="2306"/>
      <c r="AQ22" s="2306"/>
      <c r="AR22" s="2306"/>
    </row>
    <row r="23" spans="1:44" ht="17.100000000000001" customHeight="1">
      <c r="B23" s="1379"/>
      <c r="C23" s="1460" t="str">
        <f>Texte!A2408</f>
        <v>Kulturlandschaftsbeiträge (KLB, Art. 42 bis 49 und Anhang 7 DZV)</v>
      </c>
      <c r="D23" s="1322"/>
      <c r="E23" s="770"/>
      <c r="F23" s="770"/>
      <c r="G23" s="770"/>
      <c r="H23" s="770"/>
      <c r="I23" s="770"/>
      <c r="J23" s="1322"/>
      <c r="K23" s="1322"/>
      <c r="L23" s="1322"/>
      <c r="M23" s="1322"/>
      <c r="N23" s="1380"/>
      <c r="O23" s="1924">
        <f>KLB!O70</f>
        <v>0</v>
      </c>
      <c r="P23" s="528"/>
      <c r="R23" s="1435">
        <f t="shared" ref="R23:AR23" si="11">$O$23</f>
        <v>0</v>
      </c>
      <c r="S23" s="1435">
        <f t="shared" si="11"/>
        <v>0</v>
      </c>
      <c r="T23" s="1435">
        <f t="shared" si="11"/>
        <v>0</v>
      </c>
      <c r="U23" s="1435">
        <f t="shared" si="11"/>
        <v>0</v>
      </c>
      <c r="V23" s="1435">
        <f t="shared" si="11"/>
        <v>0</v>
      </c>
      <c r="W23" s="1435">
        <f t="shared" si="11"/>
        <v>0</v>
      </c>
      <c r="X23" s="1435">
        <f t="shared" si="11"/>
        <v>0</v>
      </c>
      <c r="Y23" s="1435">
        <f t="shared" si="11"/>
        <v>0</v>
      </c>
      <c r="Z23" s="1435">
        <f t="shared" si="11"/>
        <v>0</v>
      </c>
      <c r="AA23" s="1435">
        <f t="shared" si="11"/>
        <v>0</v>
      </c>
      <c r="AB23" s="1435">
        <f t="shared" si="11"/>
        <v>0</v>
      </c>
      <c r="AC23" s="1435">
        <f t="shared" si="11"/>
        <v>0</v>
      </c>
      <c r="AD23" s="1435">
        <f t="shared" si="11"/>
        <v>0</v>
      </c>
      <c r="AE23" s="1435">
        <f t="shared" si="11"/>
        <v>0</v>
      </c>
      <c r="AF23" s="1435">
        <f t="shared" si="11"/>
        <v>0</v>
      </c>
      <c r="AG23" s="1435">
        <f t="shared" si="11"/>
        <v>0</v>
      </c>
      <c r="AH23" s="1435">
        <f t="shared" si="11"/>
        <v>0</v>
      </c>
      <c r="AI23" s="1435">
        <f t="shared" si="11"/>
        <v>0</v>
      </c>
      <c r="AJ23" s="1435">
        <f t="shared" si="11"/>
        <v>0</v>
      </c>
      <c r="AK23" s="1435">
        <f t="shared" si="11"/>
        <v>0</v>
      </c>
      <c r="AL23" s="1435">
        <f t="shared" si="11"/>
        <v>0</v>
      </c>
      <c r="AM23" s="1435">
        <f t="shared" si="11"/>
        <v>0</v>
      </c>
      <c r="AN23" s="1435">
        <f t="shared" si="11"/>
        <v>0</v>
      </c>
      <c r="AO23" s="1435">
        <f t="shared" si="11"/>
        <v>0</v>
      </c>
      <c r="AP23" s="1435">
        <f t="shared" si="11"/>
        <v>0</v>
      </c>
      <c r="AQ23" s="1435">
        <f t="shared" si="11"/>
        <v>0</v>
      </c>
      <c r="AR23" s="1435">
        <f t="shared" si="11"/>
        <v>0</v>
      </c>
    </row>
    <row r="24" spans="1:44" ht="17.100000000000001" customHeight="1">
      <c r="B24" s="1381"/>
      <c r="C24" s="686" t="str">
        <f>Texte!A2465</f>
        <v>Versorgungssicherheitsbeiträge, VSB, Art. 50 bis 54 und Anhang 7 DZV</v>
      </c>
      <c r="E24"/>
      <c r="F24"/>
      <c r="G24"/>
      <c r="H24"/>
      <c r="I24"/>
      <c r="J24" s="675"/>
      <c r="K24" s="675"/>
      <c r="L24" s="675"/>
      <c r="M24" s="675"/>
      <c r="N24" s="1382" t="s">
        <v>4987</v>
      </c>
      <c r="O24" s="1915">
        <f>VSB!Q68</f>
        <v>80766.853863847995</v>
      </c>
      <c r="P24" s="481"/>
      <c r="R24" s="1435">
        <f t="shared" ref="R24:W24" si="12">$O$24</f>
        <v>80766.853863847995</v>
      </c>
      <c r="S24" s="1435">
        <f t="shared" si="12"/>
        <v>80766.853863847995</v>
      </c>
      <c r="T24" s="1435">
        <f t="shared" si="12"/>
        <v>80766.853863847995</v>
      </c>
      <c r="U24" s="1435">
        <f t="shared" si="12"/>
        <v>80766.853863847995</v>
      </c>
      <c r="V24" s="1435">
        <f t="shared" si="12"/>
        <v>80766.853863847995</v>
      </c>
      <c r="W24" s="1435">
        <f t="shared" si="12"/>
        <v>80766.853863847995</v>
      </c>
      <c r="X24" s="1435">
        <f t="shared" ref="X24:AR24" si="13">$O$24</f>
        <v>80766.853863847995</v>
      </c>
      <c r="Y24" s="1435">
        <f t="shared" si="13"/>
        <v>80766.853863847995</v>
      </c>
      <c r="Z24" s="1435">
        <f t="shared" si="13"/>
        <v>80766.853863847995</v>
      </c>
      <c r="AA24" s="1435">
        <f t="shared" si="13"/>
        <v>80766.853863847995</v>
      </c>
      <c r="AB24" s="1435">
        <f t="shared" si="13"/>
        <v>80766.853863847995</v>
      </c>
      <c r="AC24" s="1435">
        <f t="shared" si="13"/>
        <v>80766.853863847995</v>
      </c>
      <c r="AD24" s="1435">
        <f t="shared" si="13"/>
        <v>80766.853863847995</v>
      </c>
      <c r="AE24" s="1435">
        <f t="shared" si="13"/>
        <v>80766.853863847995</v>
      </c>
      <c r="AF24" s="1435">
        <f t="shared" si="13"/>
        <v>80766.853863847995</v>
      </c>
      <c r="AG24" s="1435">
        <f t="shared" si="13"/>
        <v>80766.853863847995</v>
      </c>
      <c r="AH24" s="1435">
        <f t="shared" si="13"/>
        <v>80766.853863847995</v>
      </c>
      <c r="AI24" s="1435">
        <f t="shared" si="13"/>
        <v>80766.853863847995</v>
      </c>
      <c r="AJ24" s="1435">
        <f t="shared" si="13"/>
        <v>80766.853863847995</v>
      </c>
      <c r="AK24" s="1435">
        <f t="shared" si="13"/>
        <v>80766.853863847995</v>
      </c>
      <c r="AL24" s="1435">
        <f t="shared" si="13"/>
        <v>80766.853863847995</v>
      </c>
      <c r="AM24" s="1435">
        <f t="shared" si="13"/>
        <v>80766.853863847995</v>
      </c>
      <c r="AN24" s="1435">
        <f t="shared" si="13"/>
        <v>80766.853863847995</v>
      </c>
      <c r="AO24" s="1435">
        <f t="shared" si="13"/>
        <v>80766.853863847995</v>
      </c>
      <c r="AP24" s="1435">
        <f t="shared" si="13"/>
        <v>80766.853863847995</v>
      </c>
      <c r="AQ24" s="1435">
        <f t="shared" si="13"/>
        <v>80766.853863847995</v>
      </c>
      <c r="AR24" s="1435">
        <f t="shared" si="13"/>
        <v>80766.853863847995</v>
      </c>
    </row>
    <row r="25" spans="1:44" ht="17.100000000000001" customHeight="1">
      <c r="B25" s="1381"/>
      <c r="C25" s="686" t="str">
        <f>Texte!A2539</f>
        <v>Biodiversitätsbeiträge (BDB, Art. 55 bis 60 und Anhang 7 DZV)</v>
      </c>
      <c r="E25" s="675"/>
      <c r="F25" s="675"/>
      <c r="G25" s="675"/>
      <c r="H25" s="675"/>
      <c r="I25" s="675"/>
      <c r="J25" s="675"/>
      <c r="K25" s="675"/>
      <c r="L25" s="675"/>
      <c r="M25" s="675"/>
      <c r="N25" s="1359" t="s">
        <v>4987</v>
      </c>
      <c r="O25" s="1915">
        <f>BDB!V70</f>
        <v>24120.965999999993</v>
      </c>
      <c r="P25" s="481"/>
      <c r="R25" s="1435">
        <f t="shared" ref="R25:X25" si="14">$O$25</f>
        <v>24120.965999999993</v>
      </c>
      <c r="S25" s="1435">
        <f t="shared" si="14"/>
        <v>24120.965999999993</v>
      </c>
      <c r="T25" s="1435">
        <f t="shared" si="14"/>
        <v>24120.965999999993</v>
      </c>
      <c r="U25" s="1435">
        <f t="shared" si="14"/>
        <v>24120.965999999993</v>
      </c>
      <c r="V25" s="1435">
        <f t="shared" si="14"/>
        <v>24120.965999999993</v>
      </c>
      <c r="W25" s="1435">
        <f t="shared" si="14"/>
        <v>24120.965999999993</v>
      </c>
      <c r="X25" s="1435">
        <f t="shared" si="14"/>
        <v>24120.965999999993</v>
      </c>
      <c r="Y25" s="1435">
        <f t="shared" ref="Y25:AR25" si="15">$O$25</f>
        <v>24120.965999999993</v>
      </c>
      <c r="Z25" s="1435">
        <f t="shared" si="15"/>
        <v>24120.965999999993</v>
      </c>
      <c r="AA25" s="1435">
        <f t="shared" si="15"/>
        <v>24120.965999999993</v>
      </c>
      <c r="AB25" s="1435">
        <f t="shared" si="15"/>
        <v>24120.965999999993</v>
      </c>
      <c r="AC25" s="1435">
        <f t="shared" si="15"/>
        <v>24120.965999999993</v>
      </c>
      <c r="AD25" s="1435">
        <f t="shared" si="15"/>
        <v>24120.965999999993</v>
      </c>
      <c r="AE25" s="1435">
        <f t="shared" si="15"/>
        <v>24120.965999999993</v>
      </c>
      <c r="AF25" s="1435">
        <f t="shared" si="15"/>
        <v>24120.965999999993</v>
      </c>
      <c r="AG25" s="1435">
        <f t="shared" si="15"/>
        <v>24120.965999999993</v>
      </c>
      <c r="AH25" s="1435">
        <f t="shared" si="15"/>
        <v>24120.965999999993</v>
      </c>
      <c r="AI25" s="1435">
        <f t="shared" si="15"/>
        <v>24120.965999999993</v>
      </c>
      <c r="AJ25" s="1435">
        <f t="shared" si="15"/>
        <v>24120.965999999993</v>
      </c>
      <c r="AK25" s="1435">
        <f t="shared" si="15"/>
        <v>24120.965999999993</v>
      </c>
      <c r="AL25" s="1435">
        <f t="shared" si="15"/>
        <v>24120.965999999993</v>
      </c>
      <c r="AM25" s="1435">
        <f t="shared" si="15"/>
        <v>24120.965999999993</v>
      </c>
      <c r="AN25" s="1435">
        <f t="shared" si="15"/>
        <v>24120.965999999993</v>
      </c>
      <c r="AO25" s="1435">
        <f t="shared" si="15"/>
        <v>24120.965999999993</v>
      </c>
      <c r="AP25" s="1435">
        <f t="shared" si="15"/>
        <v>24120.965999999993</v>
      </c>
      <c r="AQ25" s="1435">
        <f t="shared" si="15"/>
        <v>24120.965999999993</v>
      </c>
      <c r="AR25" s="1435">
        <f t="shared" si="15"/>
        <v>24120.965999999993</v>
      </c>
    </row>
    <row r="26" spans="1:44" ht="17.100000000000001" customHeight="1">
      <c r="B26" s="1381"/>
      <c r="C26" s="1" t="str">
        <f>Texte!A2625</f>
        <v>Landschaftsqualitätsbeitrag (LQB, Art. 60 und 61 und Anhang 7 DZV)</v>
      </c>
      <c r="E26" s="675"/>
      <c r="F26" s="675"/>
      <c r="G26" s="675"/>
      <c r="H26" s="675"/>
      <c r="I26" s="675"/>
      <c r="J26" s="675"/>
      <c r="K26" s="675"/>
      <c r="L26" s="675"/>
      <c r="M26" s="675"/>
      <c r="N26" s="1359" t="s">
        <v>4987</v>
      </c>
      <c r="O26" s="1915">
        <f>LQB!R31</f>
        <v>0</v>
      </c>
      <c r="P26" s="481"/>
      <c r="R26" s="1435">
        <f t="shared" ref="R26:AR26" si="16">$O$26</f>
        <v>0</v>
      </c>
      <c r="S26" s="1435">
        <f t="shared" si="16"/>
        <v>0</v>
      </c>
      <c r="T26" s="1435">
        <f t="shared" si="16"/>
        <v>0</v>
      </c>
      <c r="U26" s="1435">
        <f t="shared" si="16"/>
        <v>0</v>
      </c>
      <c r="V26" s="1435">
        <f t="shared" si="16"/>
        <v>0</v>
      </c>
      <c r="W26" s="1435">
        <f t="shared" si="16"/>
        <v>0</v>
      </c>
      <c r="X26" s="1435">
        <f t="shared" si="16"/>
        <v>0</v>
      </c>
      <c r="Y26" s="1435">
        <f t="shared" si="16"/>
        <v>0</v>
      </c>
      <c r="Z26" s="1435">
        <f t="shared" si="16"/>
        <v>0</v>
      </c>
      <c r="AA26" s="1435">
        <f t="shared" si="16"/>
        <v>0</v>
      </c>
      <c r="AB26" s="1435">
        <f t="shared" si="16"/>
        <v>0</v>
      </c>
      <c r="AC26" s="1435">
        <f t="shared" si="16"/>
        <v>0</v>
      </c>
      <c r="AD26" s="1435">
        <f t="shared" si="16"/>
        <v>0</v>
      </c>
      <c r="AE26" s="1435">
        <f t="shared" si="16"/>
        <v>0</v>
      </c>
      <c r="AF26" s="1435">
        <f t="shared" si="16"/>
        <v>0</v>
      </c>
      <c r="AG26" s="1435">
        <f t="shared" si="16"/>
        <v>0</v>
      </c>
      <c r="AH26" s="1435">
        <f t="shared" si="16"/>
        <v>0</v>
      </c>
      <c r="AI26" s="1435">
        <f t="shared" si="16"/>
        <v>0</v>
      </c>
      <c r="AJ26" s="1435">
        <f t="shared" si="16"/>
        <v>0</v>
      </c>
      <c r="AK26" s="1435">
        <f t="shared" si="16"/>
        <v>0</v>
      </c>
      <c r="AL26" s="1435">
        <f t="shared" si="16"/>
        <v>0</v>
      </c>
      <c r="AM26" s="1435">
        <f t="shared" si="16"/>
        <v>0</v>
      </c>
      <c r="AN26" s="1435">
        <f t="shared" si="16"/>
        <v>0</v>
      </c>
      <c r="AO26" s="1435">
        <f t="shared" si="16"/>
        <v>0</v>
      </c>
      <c r="AP26" s="1435">
        <f t="shared" si="16"/>
        <v>0</v>
      </c>
      <c r="AQ26" s="1435">
        <f t="shared" si="16"/>
        <v>0</v>
      </c>
      <c r="AR26" s="1435">
        <f t="shared" si="16"/>
        <v>0</v>
      </c>
    </row>
    <row r="27" spans="1:44" ht="17.100000000000001" customHeight="1">
      <c r="B27" s="1381"/>
      <c r="C27" s="1" t="str">
        <f>Texte!A2636</f>
        <v>Produktionssystembeiträge (PSB, Art. 65 bis 76 und Anhang 7 DZV)</v>
      </c>
      <c r="E27" s="675"/>
      <c r="F27" s="675"/>
      <c r="G27" s="675"/>
      <c r="H27" s="675"/>
      <c r="I27" s="675"/>
      <c r="J27" s="675"/>
      <c r="K27" s="675"/>
      <c r="L27" s="675"/>
      <c r="M27" s="675"/>
      <c r="N27" s="1359" t="s">
        <v>4987</v>
      </c>
      <c r="O27" s="1915">
        <f>PSB!S128</f>
        <v>309938.72500000003</v>
      </c>
      <c r="P27" s="481"/>
      <c r="R27" s="1435">
        <f t="shared" ref="R27:AR27" si="17">$O$27</f>
        <v>309938.72500000003</v>
      </c>
      <c r="S27" s="1435">
        <f t="shared" si="17"/>
        <v>309938.72500000003</v>
      </c>
      <c r="T27" s="1435">
        <f t="shared" si="17"/>
        <v>309938.72500000003</v>
      </c>
      <c r="U27" s="1435">
        <f t="shared" si="17"/>
        <v>309938.72500000003</v>
      </c>
      <c r="V27" s="1435">
        <f t="shared" si="17"/>
        <v>309938.72500000003</v>
      </c>
      <c r="W27" s="1435">
        <f t="shared" si="17"/>
        <v>309938.72500000003</v>
      </c>
      <c r="X27" s="1435">
        <f t="shared" si="17"/>
        <v>309938.72500000003</v>
      </c>
      <c r="Y27" s="1435">
        <f t="shared" si="17"/>
        <v>309938.72500000003</v>
      </c>
      <c r="Z27" s="1435">
        <f t="shared" si="17"/>
        <v>309938.72500000003</v>
      </c>
      <c r="AA27" s="1435">
        <f t="shared" si="17"/>
        <v>309938.72500000003</v>
      </c>
      <c r="AB27" s="1435">
        <f t="shared" si="17"/>
        <v>309938.72500000003</v>
      </c>
      <c r="AC27" s="1435">
        <f t="shared" si="17"/>
        <v>309938.72500000003</v>
      </c>
      <c r="AD27" s="1435">
        <f t="shared" si="17"/>
        <v>309938.72500000003</v>
      </c>
      <c r="AE27" s="1435">
        <f t="shared" si="17"/>
        <v>309938.72500000003</v>
      </c>
      <c r="AF27" s="1435">
        <f t="shared" si="17"/>
        <v>309938.72500000003</v>
      </c>
      <c r="AG27" s="1435">
        <f t="shared" si="17"/>
        <v>309938.72500000003</v>
      </c>
      <c r="AH27" s="1435">
        <f t="shared" si="17"/>
        <v>309938.72500000003</v>
      </c>
      <c r="AI27" s="1435">
        <f t="shared" si="17"/>
        <v>309938.72500000003</v>
      </c>
      <c r="AJ27" s="1435">
        <f t="shared" si="17"/>
        <v>309938.72500000003</v>
      </c>
      <c r="AK27" s="1435">
        <f t="shared" si="17"/>
        <v>309938.72500000003</v>
      </c>
      <c r="AL27" s="1435">
        <f t="shared" si="17"/>
        <v>309938.72500000003</v>
      </c>
      <c r="AM27" s="1435">
        <f t="shared" si="17"/>
        <v>309938.72500000003</v>
      </c>
      <c r="AN27" s="1435">
        <f t="shared" si="17"/>
        <v>309938.72500000003</v>
      </c>
      <c r="AO27" s="1435">
        <f t="shared" si="17"/>
        <v>309938.72500000003</v>
      </c>
      <c r="AP27" s="1435">
        <f t="shared" si="17"/>
        <v>309938.72500000003</v>
      </c>
      <c r="AQ27" s="1435">
        <f t="shared" si="17"/>
        <v>309938.72500000003</v>
      </c>
      <c r="AR27" s="1435">
        <f t="shared" si="17"/>
        <v>309938.72500000003</v>
      </c>
    </row>
    <row r="28" spans="1:44" ht="17.100000000000001" customHeight="1">
      <c r="B28" s="1381"/>
      <c r="C28" s="686" t="str">
        <f>Texte!A2759</f>
        <v>Ressourceneffizienzbeiträge (nationale: REB, Art. 77 bis 83 und Anhang 7 DZV)</v>
      </c>
      <c r="E28" s="674"/>
      <c r="F28" s="674"/>
      <c r="G28" s="674"/>
      <c r="H28" s="674"/>
      <c r="I28" s="674"/>
      <c r="J28" s="675"/>
      <c r="K28" s="675"/>
      <c r="L28" s="675"/>
      <c r="M28" s="1327" t="str">
        <f>Texte!A2851</f>
        <v>jährlich</v>
      </c>
      <c r="N28" s="1382" t="s">
        <v>4987</v>
      </c>
      <c r="O28" s="1915">
        <f>REB!Q43</f>
        <v>0</v>
      </c>
      <c r="P28" s="481"/>
      <c r="R28" s="1435">
        <f t="shared" ref="R28:AR28" si="18">$O$28</f>
        <v>0</v>
      </c>
      <c r="S28" s="1435">
        <f t="shared" si="18"/>
        <v>0</v>
      </c>
      <c r="T28" s="1435">
        <f t="shared" si="18"/>
        <v>0</v>
      </c>
      <c r="U28" s="1435">
        <f t="shared" si="18"/>
        <v>0</v>
      </c>
      <c r="V28" s="1435">
        <f t="shared" si="18"/>
        <v>0</v>
      </c>
      <c r="W28" s="1435">
        <f t="shared" si="18"/>
        <v>0</v>
      </c>
      <c r="X28" s="1435">
        <f t="shared" si="18"/>
        <v>0</v>
      </c>
      <c r="Y28" s="1435">
        <f t="shared" si="18"/>
        <v>0</v>
      </c>
      <c r="Z28" s="1435">
        <f t="shared" si="18"/>
        <v>0</v>
      </c>
      <c r="AA28" s="1435">
        <f t="shared" si="18"/>
        <v>0</v>
      </c>
      <c r="AB28" s="1435">
        <f t="shared" si="18"/>
        <v>0</v>
      </c>
      <c r="AC28" s="1435">
        <f t="shared" si="18"/>
        <v>0</v>
      </c>
      <c r="AD28" s="1435">
        <f t="shared" si="18"/>
        <v>0</v>
      </c>
      <c r="AE28" s="1435">
        <f t="shared" si="18"/>
        <v>0</v>
      </c>
      <c r="AF28" s="1435">
        <f t="shared" si="18"/>
        <v>0</v>
      </c>
      <c r="AG28" s="1435">
        <f t="shared" si="18"/>
        <v>0</v>
      </c>
      <c r="AH28" s="1435">
        <f t="shared" si="18"/>
        <v>0</v>
      </c>
      <c r="AI28" s="1435">
        <f t="shared" si="18"/>
        <v>0</v>
      </c>
      <c r="AJ28" s="1435">
        <f t="shared" si="18"/>
        <v>0</v>
      </c>
      <c r="AK28" s="1435">
        <f t="shared" si="18"/>
        <v>0</v>
      </c>
      <c r="AL28" s="1435">
        <f t="shared" si="18"/>
        <v>0</v>
      </c>
      <c r="AM28" s="1435">
        <f t="shared" si="18"/>
        <v>0</v>
      </c>
      <c r="AN28" s="1435">
        <f t="shared" si="18"/>
        <v>0</v>
      </c>
      <c r="AO28" s="1435">
        <f t="shared" si="18"/>
        <v>0</v>
      </c>
      <c r="AP28" s="1435">
        <f t="shared" si="18"/>
        <v>0</v>
      </c>
      <c r="AQ28" s="1435">
        <f t="shared" si="18"/>
        <v>0</v>
      </c>
      <c r="AR28" s="1435">
        <f t="shared" si="18"/>
        <v>0</v>
      </c>
    </row>
    <row r="29" spans="1:44" ht="17.100000000000001" customHeight="1">
      <c r="B29" s="1381"/>
      <c r="C29" s="686" t="str">
        <f>Texte!A2821</f>
        <v>Übergangsbeitrag (ÜGB, Art. 84 bis 96 DZV)</v>
      </c>
      <c r="E29" s="675"/>
      <c r="F29" s="675"/>
      <c r="G29" s="675"/>
      <c r="H29" s="675"/>
      <c r="I29" s="675"/>
      <c r="J29" s="675"/>
      <c r="K29" s="675"/>
      <c r="L29" s="675"/>
      <c r="M29" s="675"/>
      <c r="N29" s="1325" t="s">
        <v>4987</v>
      </c>
      <c r="O29" s="1915">
        <f>O19</f>
        <v>0</v>
      </c>
      <c r="P29" s="481"/>
      <c r="R29" s="1435">
        <f t="shared" ref="R29:AB29" si="19">R19</f>
        <v>0</v>
      </c>
      <c r="S29" s="1435">
        <f t="shared" si="19"/>
        <v>0</v>
      </c>
      <c r="T29" s="1435">
        <f t="shared" si="19"/>
        <v>0</v>
      </c>
      <c r="U29" s="1435">
        <f t="shared" si="19"/>
        <v>0</v>
      </c>
      <c r="V29" s="1435">
        <f t="shared" si="19"/>
        <v>0</v>
      </c>
      <c r="W29" s="1435">
        <f t="shared" si="19"/>
        <v>0</v>
      </c>
      <c r="X29" s="1435">
        <f t="shared" si="19"/>
        <v>0</v>
      </c>
      <c r="Y29" s="1435">
        <f t="shared" si="19"/>
        <v>0</v>
      </c>
      <c r="Z29" s="1435">
        <f t="shared" si="19"/>
        <v>0</v>
      </c>
      <c r="AA29" s="1435">
        <f t="shared" si="19"/>
        <v>0</v>
      </c>
      <c r="AB29" s="1435">
        <f t="shared" si="19"/>
        <v>0</v>
      </c>
      <c r="AC29" s="1435">
        <f t="shared" ref="AC29:AR29" si="20">AC19</f>
        <v>0</v>
      </c>
      <c r="AD29" s="1435">
        <f t="shared" si="20"/>
        <v>0</v>
      </c>
      <c r="AE29" s="1435">
        <f t="shared" si="20"/>
        <v>0</v>
      </c>
      <c r="AF29" s="1435">
        <f t="shared" si="20"/>
        <v>0</v>
      </c>
      <c r="AG29" s="1435">
        <f t="shared" si="20"/>
        <v>0</v>
      </c>
      <c r="AH29" s="1435">
        <f t="shared" si="20"/>
        <v>0</v>
      </c>
      <c r="AI29" s="1435">
        <f t="shared" si="20"/>
        <v>0</v>
      </c>
      <c r="AJ29" s="1435">
        <f t="shared" si="20"/>
        <v>0</v>
      </c>
      <c r="AK29" s="1435">
        <f t="shared" si="20"/>
        <v>0</v>
      </c>
      <c r="AL29" s="1435">
        <f t="shared" si="20"/>
        <v>0</v>
      </c>
      <c r="AM29" s="1435">
        <f t="shared" si="20"/>
        <v>0</v>
      </c>
      <c r="AN29" s="1435">
        <f t="shared" si="20"/>
        <v>0</v>
      </c>
      <c r="AO29" s="1435">
        <f t="shared" si="20"/>
        <v>0</v>
      </c>
      <c r="AP29" s="1435">
        <f t="shared" si="20"/>
        <v>0</v>
      </c>
      <c r="AQ29" s="1435">
        <f t="shared" si="20"/>
        <v>0</v>
      </c>
      <c r="AR29" s="1435">
        <f t="shared" si="20"/>
        <v>0</v>
      </c>
    </row>
    <row r="30" spans="1:44" ht="8.1" customHeight="1">
      <c r="B30" s="1381"/>
      <c r="C30" s="686"/>
      <c r="E30" s="675"/>
      <c r="F30" s="675"/>
      <c r="G30" s="675"/>
      <c r="H30" s="675"/>
      <c r="I30" s="675"/>
      <c r="J30" s="675"/>
      <c r="K30" s="675"/>
      <c r="L30" s="675"/>
      <c r="M30" s="675"/>
      <c r="N30" s="1325"/>
      <c r="O30" s="1441"/>
      <c r="P30" s="481"/>
      <c r="R30" s="2303"/>
      <c r="S30" s="2303"/>
      <c r="T30" s="2303"/>
      <c r="U30" s="2303"/>
      <c r="V30" s="2303"/>
      <c r="W30" s="2303"/>
      <c r="X30" s="2303"/>
      <c r="Y30" s="2303"/>
      <c r="Z30" s="2303"/>
      <c r="AA30" s="2303"/>
      <c r="AB30" s="2303"/>
      <c r="AC30" s="2303"/>
      <c r="AD30" s="2303"/>
      <c r="AE30" s="2303"/>
      <c r="AF30" s="2303"/>
      <c r="AG30" s="2303"/>
      <c r="AH30" s="2303"/>
      <c r="AI30" s="2303"/>
      <c r="AJ30" s="2303"/>
      <c r="AK30" s="2303"/>
      <c r="AL30" s="2303"/>
      <c r="AM30" s="2303"/>
      <c r="AN30" s="2303"/>
      <c r="AO30" s="2303"/>
      <c r="AP30" s="2303"/>
      <c r="AQ30" s="2303"/>
      <c r="AR30" s="2303"/>
    </row>
    <row r="31" spans="1:44" ht="17.100000000000001" customHeight="1">
      <c r="B31" s="1381"/>
      <c r="C31" s="686" t="str">
        <f>Texte!A2857</f>
        <v>Kürzung aufgrund der Begrenzung pro SAK (siehe Register "SAK und Begrenzung")</v>
      </c>
      <c r="E31" s="675"/>
      <c r="F31" s="675"/>
      <c r="G31" s="675"/>
      <c r="H31" s="675"/>
      <c r="I31" s="675"/>
      <c r="J31" s="675"/>
      <c r="K31" s="675"/>
      <c r="L31" s="675"/>
      <c r="M31" s="675"/>
      <c r="N31" s="1359" t="s">
        <v>4818</v>
      </c>
      <c r="O31" s="1915">
        <v>0</v>
      </c>
      <c r="P31" s="481"/>
      <c r="R31" s="2306">
        <f t="shared" ref="R31:AR31" si="21">$O$31</f>
        <v>0</v>
      </c>
      <c r="S31" s="2306">
        <f t="shared" si="21"/>
        <v>0</v>
      </c>
      <c r="T31" s="2306">
        <f t="shared" si="21"/>
        <v>0</v>
      </c>
      <c r="U31" s="2306">
        <f t="shared" si="21"/>
        <v>0</v>
      </c>
      <c r="V31" s="2306">
        <f t="shared" si="21"/>
        <v>0</v>
      </c>
      <c r="W31" s="2306">
        <f t="shared" si="21"/>
        <v>0</v>
      </c>
      <c r="X31" s="2306">
        <f t="shared" si="21"/>
        <v>0</v>
      </c>
      <c r="Y31" s="2306">
        <f t="shared" si="21"/>
        <v>0</v>
      </c>
      <c r="Z31" s="2306">
        <f t="shared" si="21"/>
        <v>0</v>
      </c>
      <c r="AA31" s="2306">
        <f t="shared" si="21"/>
        <v>0</v>
      </c>
      <c r="AB31" s="2306">
        <f t="shared" si="21"/>
        <v>0</v>
      </c>
      <c r="AC31" s="2306">
        <f t="shared" si="21"/>
        <v>0</v>
      </c>
      <c r="AD31" s="2306">
        <f t="shared" si="21"/>
        <v>0</v>
      </c>
      <c r="AE31" s="2306">
        <f t="shared" si="21"/>
        <v>0</v>
      </c>
      <c r="AF31" s="2306">
        <f t="shared" si="21"/>
        <v>0</v>
      </c>
      <c r="AG31" s="2306">
        <f t="shared" si="21"/>
        <v>0</v>
      </c>
      <c r="AH31" s="2306">
        <f t="shared" si="21"/>
        <v>0</v>
      </c>
      <c r="AI31" s="2306">
        <f t="shared" si="21"/>
        <v>0</v>
      </c>
      <c r="AJ31" s="2306">
        <f t="shared" si="21"/>
        <v>0</v>
      </c>
      <c r="AK31" s="2306">
        <f t="shared" si="21"/>
        <v>0</v>
      </c>
      <c r="AL31" s="2306">
        <f t="shared" si="21"/>
        <v>0</v>
      </c>
      <c r="AM31" s="2306">
        <f t="shared" si="21"/>
        <v>0</v>
      </c>
      <c r="AN31" s="2306">
        <f t="shared" si="21"/>
        <v>0</v>
      </c>
      <c r="AO31" s="2306">
        <f t="shared" si="21"/>
        <v>0</v>
      </c>
      <c r="AP31" s="2306">
        <f t="shared" si="21"/>
        <v>0</v>
      </c>
      <c r="AQ31" s="2306">
        <f t="shared" si="21"/>
        <v>0</v>
      </c>
      <c r="AR31" s="2306">
        <f t="shared" si="21"/>
        <v>0</v>
      </c>
    </row>
    <row r="32" spans="1:44" ht="17.100000000000001" customHeight="1">
      <c r="B32" s="1381"/>
      <c r="C32" s="686" t="str">
        <f>Texte!A2526</f>
        <v>Beiträge für einzelne Kulturen (nach Einzelkulturbeitragsverordnung)</v>
      </c>
      <c r="E32" s="675"/>
      <c r="F32" s="675"/>
      <c r="G32" s="675"/>
      <c r="H32" s="675"/>
      <c r="I32" s="675"/>
      <c r="J32" s="675"/>
      <c r="K32" s="675"/>
      <c r="L32" s="675"/>
      <c r="M32" s="675"/>
      <c r="N32" s="1325" t="s">
        <v>4987</v>
      </c>
      <c r="O32" s="1915">
        <f>VSB!Q86</f>
        <v>5748.1419999999998</v>
      </c>
      <c r="P32" s="481"/>
      <c r="R32" s="2303">
        <f t="shared" ref="R32:AR32" si="22">$O$32</f>
        <v>5748.1419999999998</v>
      </c>
      <c r="S32" s="2303">
        <f t="shared" si="22"/>
        <v>5748.1419999999998</v>
      </c>
      <c r="T32" s="2303">
        <f t="shared" si="22"/>
        <v>5748.1419999999998</v>
      </c>
      <c r="U32" s="2303">
        <f t="shared" si="22"/>
        <v>5748.1419999999998</v>
      </c>
      <c r="V32" s="2303">
        <f t="shared" si="22"/>
        <v>5748.1419999999998</v>
      </c>
      <c r="W32" s="2303">
        <f t="shared" si="22"/>
        <v>5748.1419999999998</v>
      </c>
      <c r="X32" s="2303">
        <f t="shared" si="22"/>
        <v>5748.1419999999998</v>
      </c>
      <c r="Y32" s="2303">
        <f t="shared" si="22"/>
        <v>5748.1419999999998</v>
      </c>
      <c r="Z32" s="2303">
        <f t="shared" si="22"/>
        <v>5748.1419999999998</v>
      </c>
      <c r="AA32" s="2303">
        <f t="shared" si="22"/>
        <v>5748.1419999999998</v>
      </c>
      <c r="AB32" s="2303">
        <f t="shared" si="22"/>
        <v>5748.1419999999998</v>
      </c>
      <c r="AC32" s="2303">
        <f t="shared" si="22"/>
        <v>5748.1419999999998</v>
      </c>
      <c r="AD32" s="2303">
        <f t="shared" si="22"/>
        <v>5748.1419999999998</v>
      </c>
      <c r="AE32" s="2303">
        <f t="shared" si="22"/>
        <v>5748.1419999999998</v>
      </c>
      <c r="AF32" s="2303">
        <f t="shared" si="22"/>
        <v>5748.1419999999998</v>
      </c>
      <c r="AG32" s="2303">
        <f t="shared" si="22"/>
        <v>5748.1419999999998</v>
      </c>
      <c r="AH32" s="2303">
        <f t="shared" si="22"/>
        <v>5748.1419999999998</v>
      </c>
      <c r="AI32" s="2303">
        <f t="shared" si="22"/>
        <v>5748.1419999999998</v>
      </c>
      <c r="AJ32" s="2303">
        <f t="shared" si="22"/>
        <v>5748.1419999999998</v>
      </c>
      <c r="AK32" s="2303">
        <f t="shared" si="22"/>
        <v>5748.1419999999998</v>
      </c>
      <c r="AL32" s="2303">
        <f t="shared" si="22"/>
        <v>5748.1419999999998</v>
      </c>
      <c r="AM32" s="2303">
        <f t="shared" si="22"/>
        <v>5748.1419999999998</v>
      </c>
      <c r="AN32" s="2303">
        <f t="shared" si="22"/>
        <v>5748.1419999999998</v>
      </c>
      <c r="AO32" s="2303">
        <f t="shared" si="22"/>
        <v>5748.1419999999998</v>
      </c>
      <c r="AP32" s="2303">
        <f t="shared" si="22"/>
        <v>5748.1419999999998</v>
      </c>
      <c r="AQ32" s="2303">
        <f t="shared" si="22"/>
        <v>5748.1419999999998</v>
      </c>
      <c r="AR32" s="2303">
        <f t="shared" si="22"/>
        <v>5748.1419999999998</v>
      </c>
    </row>
    <row r="33" spans="2:44" ht="17.100000000000001" customHeight="1">
      <c r="B33" s="1381"/>
      <c r="C33" s="686" t="str">
        <f>Texte!A2792</f>
        <v>Ressourceneffizienzbeiträge (regionale, Art. 77 a/b LwG und Art. 62a GSchG)</v>
      </c>
      <c r="E33" s="675"/>
      <c r="F33" s="675"/>
      <c r="G33" s="675"/>
      <c r="H33" s="675"/>
      <c r="I33" s="675"/>
      <c r="J33" s="675"/>
      <c r="K33" s="675"/>
      <c r="L33" s="675"/>
      <c r="M33" s="675"/>
      <c r="N33" s="1325" t="s">
        <v>4987</v>
      </c>
      <c r="O33" s="1915">
        <f>REB!Q74</f>
        <v>0</v>
      </c>
      <c r="P33" s="481"/>
      <c r="R33" s="2303">
        <f t="shared" ref="R33:AR33" si="23">$O$33</f>
        <v>0</v>
      </c>
      <c r="S33" s="2303">
        <f t="shared" si="23"/>
        <v>0</v>
      </c>
      <c r="T33" s="2303">
        <f t="shared" si="23"/>
        <v>0</v>
      </c>
      <c r="U33" s="2303">
        <f t="shared" si="23"/>
        <v>0</v>
      </c>
      <c r="V33" s="2303">
        <f t="shared" si="23"/>
        <v>0</v>
      </c>
      <c r="W33" s="2303">
        <f t="shared" si="23"/>
        <v>0</v>
      </c>
      <c r="X33" s="2303">
        <f t="shared" si="23"/>
        <v>0</v>
      </c>
      <c r="Y33" s="2303">
        <f t="shared" si="23"/>
        <v>0</v>
      </c>
      <c r="Z33" s="2303">
        <f t="shared" si="23"/>
        <v>0</v>
      </c>
      <c r="AA33" s="2303">
        <f t="shared" si="23"/>
        <v>0</v>
      </c>
      <c r="AB33" s="2303">
        <f t="shared" si="23"/>
        <v>0</v>
      </c>
      <c r="AC33" s="2303">
        <f t="shared" si="23"/>
        <v>0</v>
      </c>
      <c r="AD33" s="2303">
        <f t="shared" si="23"/>
        <v>0</v>
      </c>
      <c r="AE33" s="2303">
        <f t="shared" si="23"/>
        <v>0</v>
      </c>
      <c r="AF33" s="2303">
        <f t="shared" si="23"/>
        <v>0</v>
      </c>
      <c r="AG33" s="2303">
        <f t="shared" si="23"/>
        <v>0</v>
      </c>
      <c r="AH33" s="2303">
        <f t="shared" si="23"/>
        <v>0</v>
      </c>
      <c r="AI33" s="2303">
        <f t="shared" si="23"/>
        <v>0</v>
      </c>
      <c r="AJ33" s="2303">
        <f t="shared" si="23"/>
        <v>0</v>
      </c>
      <c r="AK33" s="2303">
        <f t="shared" si="23"/>
        <v>0</v>
      </c>
      <c r="AL33" s="2303">
        <f t="shared" si="23"/>
        <v>0</v>
      </c>
      <c r="AM33" s="2303">
        <f t="shared" si="23"/>
        <v>0</v>
      </c>
      <c r="AN33" s="2303">
        <f t="shared" si="23"/>
        <v>0</v>
      </c>
      <c r="AO33" s="2303">
        <f t="shared" si="23"/>
        <v>0</v>
      </c>
      <c r="AP33" s="2303">
        <f t="shared" si="23"/>
        <v>0</v>
      </c>
      <c r="AQ33" s="2303">
        <f t="shared" si="23"/>
        <v>0</v>
      </c>
      <c r="AR33" s="2303">
        <f t="shared" si="23"/>
        <v>0</v>
      </c>
    </row>
    <row r="34" spans="2:44" ht="8.1" customHeight="1">
      <c r="B34" s="684"/>
      <c r="D34" s="675"/>
      <c r="E34" s="675"/>
      <c r="F34" s="675"/>
      <c r="G34" s="675"/>
      <c r="H34" s="675"/>
      <c r="I34" s="675"/>
      <c r="J34" s="675"/>
      <c r="K34" s="675"/>
      <c r="L34" s="675"/>
      <c r="M34" s="675"/>
      <c r="N34" s="1325"/>
      <c r="O34" s="1926"/>
      <c r="P34" s="481"/>
      <c r="R34" s="2307"/>
      <c r="S34" s="2307"/>
      <c r="T34" s="2307"/>
      <c r="U34" s="2307"/>
      <c r="V34" s="2307"/>
      <c r="W34" s="2307"/>
      <c r="X34" s="2307"/>
      <c r="Y34" s="2307"/>
      <c r="Z34" s="2307"/>
      <c r="AA34" s="2307"/>
      <c r="AB34" s="2307"/>
      <c r="AC34" s="2307"/>
      <c r="AD34" s="2307"/>
      <c r="AE34" s="2307"/>
      <c r="AF34" s="2307"/>
      <c r="AG34" s="2307"/>
      <c r="AH34" s="2307"/>
      <c r="AI34" s="2307"/>
      <c r="AJ34" s="2307"/>
      <c r="AK34" s="2307"/>
      <c r="AL34" s="2307"/>
      <c r="AM34" s="2307"/>
      <c r="AN34" s="2307"/>
      <c r="AO34" s="2307"/>
      <c r="AP34" s="2307"/>
      <c r="AQ34" s="2307"/>
      <c r="AR34" s="2307"/>
    </row>
    <row r="35" spans="2:44" ht="18">
      <c r="B35" s="1383" t="str">
        <f>Texte!A2858</f>
        <v>Total Direktzahlungen und Beiträge</v>
      </c>
      <c r="D35" s="675"/>
      <c r="E35" s="675"/>
      <c r="F35" s="675"/>
      <c r="G35" s="675"/>
      <c r="H35" s="675"/>
      <c r="I35" s="675"/>
      <c r="J35" s="675"/>
      <c r="K35" s="675"/>
      <c r="L35" s="675"/>
      <c r="M35" s="1334"/>
      <c r="N35" s="1359" t="s">
        <v>4983</v>
      </c>
      <c r="O35" s="1384">
        <f>SUM(O23:O29)-O31+O32+O33</f>
        <v>420574.68686384801</v>
      </c>
      <c r="P35" s="481"/>
      <c r="R35" s="2308"/>
      <c r="S35" s="2308"/>
      <c r="T35" s="2308"/>
      <c r="U35" s="2308"/>
      <c r="V35" s="2308"/>
      <c r="W35" s="2308"/>
      <c r="X35" s="2308"/>
      <c r="Y35" s="2308"/>
      <c r="Z35" s="2308"/>
      <c r="AA35" s="2308"/>
      <c r="AB35" s="2308"/>
      <c r="AC35" s="2308"/>
      <c r="AD35" s="2308"/>
      <c r="AE35" s="2308"/>
      <c r="AF35" s="2308"/>
      <c r="AG35" s="2308"/>
      <c r="AH35" s="2308"/>
      <c r="AI35" s="2308"/>
      <c r="AJ35" s="2308"/>
      <c r="AK35" s="2308"/>
      <c r="AL35" s="2308"/>
      <c r="AM35" s="2308"/>
      <c r="AN35" s="2308"/>
      <c r="AO35" s="2308"/>
      <c r="AP35" s="2308"/>
      <c r="AQ35" s="2308"/>
      <c r="AR35" s="2308"/>
    </row>
    <row r="36" spans="2:44" ht="7.5" customHeight="1">
      <c r="B36" s="1383"/>
      <c r="D36" s="675"/>
      <c r="E36" s="675"/>
      <c r="F36" s="675"/>
      <c r="G36" s="675"/>
      <c r="H36" s="675"/>
      <c r="I36" s="675"/>
      <c r="J36" s="675"/>
      <c r="K36" s="675"/>
      <c r="L36" s="675"/>
      <c r="M36" s="1334"/>
      <c r="N36" s="1359"/>
      <c r="O36" s="1927"/>
      <c r="P36" s="481"/>
      <c r="R36" s="2308"/>
      <c r="S36" s="2308"/>
      <c r="T36" s="2308"/>
      <c r="U36" s="2308"/>
      <c r="V36" s="2308"/>
      <c r="W36" s="2308"/>
      <c r="X36" s="2308"/>
      <c r="Y36" s="2308"/>
      <c r="Z36" s="2308"/>
      <c r="AA36" s="2308"/>
      <c r="AB36" s="2308"/>
      <c r="AC36" s="2308"/>
      <c r="AD36" s="2308"/>
      <c r="AE36" s="2308"/>
      <c r="AF36" s="2308"/>
      <c r="AG36" s="2308"/>
      <c r="AH36" s="2308"/>
      <c r="AI36" s="2308"/>
      <c r="AJ36" s="2308"/>
      <c r="AK36" s="2308"/>
      <c r="AL36" s="2308"/>
      <c r="AM36" s="2308"/>
      <c r="AN36" s="2308"/>
      <c r="AO36" s="2308"/>
      <c r="AP36" s="2308"/>
      <c r="AQ36" s="2308"/>
      <c r="AR36" s="2308"/>
    </row>
    <row r="37" spans="2:44" ht="17.100000000000001" customHeight="1">
      <c r="B37" s="1383"/>
      <c r="D37" s="675"/>
      <c r="E37" s="675"/>
      <c r="F37" s="675"/>
      <c r="G37" s="675"/>
      <c r="H37" s="675"/>
      <c r="I37" s="675"/>
      <c r="J37" s="675"/>
      <c r="K37" s="675"/>
      <c r="L37" s="675"/>
      <c r="M37" s="1327" t="str">
        <f>Texte!A2850</f>
        <v>Beitrag für Maschinenanschaffungen bei REB, einmalig</v>
      </c>
      <c r="N37" s="1359"/>
      <c r="O37" s="1915">
        <f>REB!Q63</f>
        <v>0</v>
      </c>
      <c r="P37" s="481"/>
      <c r="R37" s="2308"/>
      <c r="S37" s="2308"/>
      <c r="T37" s="2308"/>
      <c r="U37" s="2308"/>
      <c r="V37" s="2308"/>
      <c r="W37" s="2308"/>
      <c r="X37" s="2308"/>
      <c r="Y37" s="2308"/>
      <c r="Z37" s="2308"/>
      <c r="AA37" s="2308"/>
      <c r="AB37" s="2308"/>
      <c r="AC37" s="2308"/>
      <c r="AD37" s="2308"/>
      <c r="AE37" s="2308"/>
      <c r="AF37" s="2308"/>
      <c r="AG37" s="2308"/>
      <c r="AH37" s="2308"/>
      <c r="AI37" s="2308"/>
      <c r="AJ37" s="2308"/>
      <c r="AK37" s="2308"/>
      <c r="AL37" s="2308"/>
      <c r="AM37" s="2308"/>
      <c r="AN37" s="2308"/>
      <c r="AO37" s="2308"/>
      <c r="AP37" s="2308"/>
      <c r="AQ37" s="2308"/>
      <c r="AR37" s="2308"/>
    </row>
    <row r="38" spans="2:44" ht="9" customHeight="1">
      <c r="B38" s="1383"/>
      <c r="D38" s="675"/>
      <c r="E38" s="675"/>
      <c r="F38" s="675"/>
      <c r="G38" s="675"/>
      <c r="H38" s="675"/>
      <c r="I38" s="675"/>
      <c r="J38" s="675"/>
      <c r="K38" s="675"/>
      <c r="L38" s="675"/>
      <c r="M38" s="1327"/>
      <c r="N38" s="1359"/>
      <c r="O38" s="1441"/>
      <c r="P38" s="481"/>
      <c r="R38" s="2308"/>
      <c r="S38" s="2308"/>
      <c r="T38" s="2308"/>
      <c r="U38" s="2308"/>
      <c r="V38" s="2308"/>
      <c r="W38" s="2308"/>
      <c r="X38" s="2308"/>
      <c r="Y38" s="2308"/>
      <c r="Z38" s="2308"/>
      <c r="AA38" s="2308"/>
      <c r="AB38" s="2308"/>
      <c r="AC38" s="2308"/>
      <c r="AD38" s="2308"/>
      <c r="AE38" s="2308"/>
      <c r="AF38" s="2308"/>
      <c r="AG38" s="2308"/>
      <c r="AH38" s="2308"/>
      <c r="AI38" s="2308"/>
      <c r="AJ38" s="2308"/>
      <c r="AK38" s="2308"/>
      <c r="AL38" s="2308"/>
      <c r="AM38" s="2308"/>
      <c r="AN38" s="2308"/>
      <c r="AO38" s="2308"/>
      <c r="AP38" s="2308"/>
      <c r="AQ38" s="2308"/>
      <c r="AR38" s="2308"/>
    </row>
    <row r="39" spans="2:44" ht="8.1" customHeight="1">
      <c r="B39" s="1385"/>
      <c r="C39" s="1351"/>
      <c r="D39" s="1351"/>
      <c r="E39" s="1351"/>
      <c r="F39" s="1351"/>
      <c r="G39" s="1351"/>
      <c r="H39" s="1351"/>
      <c r="I39" s="1351"/>
      <c r="J39" s="1351"/>
      <c r="K39" s="1351"/>
      <c r="L39" s="1351"/>
      <c r="M39" s="1351"/>
      <c r="N39" s="1366"/>
      <c r="O39" s="1925"/>
      <c r="P39" s="1329"/>
      <c r="R39" s="2308"/>
      <c r="S39" s="2308"/>
      <c r="T39" s="2308"/>
      <c r="U39" s="2308"/>
      <c r="V39" s="2308"/>
      <c r="W39" s="2308"/>
      <c r="X39" s="2308"/>
      <c r="Y39" s="2308"/>
      <c r="Z39" s="2308"/>
      <c r="AA39" s="2308"/>
      <c r="AB39" s="2308"/>
      <c r="AC39" s="2308"/>
      <c r="AD39" s="2308"/>
      <c r="AE39" s="2308"/>
      <c r="AF39" s="2308"/>
      <c r="AG39" s="2308"/>
      <c r="AH39" s="2308"/>
      <c r="AI39" s="2308"/>
      <c r="AJ39" s="2308"/>
      <c r="AK39" s="2308"/>
      <c r="AL39" s="2308"/>
      <c r="AM39" s="2308"/>
      <c r="AN39" s="2308"/>
      <c r="AO39" s="2308"/>
      <c r="AP39" s="2308"/>
      <c r="AQ39" s="2308"/>
      <c r="AR39" s="2308"/>
    </row>
    <row r="40" spans="2:44" ht="8.1" customHeight="1">
      <c r="R40" s="2308"/>
      <c r="S40" s="2308"/>
      <c r="T40" s="2308"/>
      <c r="U40" s="2308"/>
      <c r="V40" s="2308"/>
      <c r="W40" s="2308"/>
      <c r="X40" s="2308"/>
      <c r="Y40" s="2308"/>
      <c r="Z40" s="2308"/>
      <c r="AA40" s="2308"/>
      <c r="AB40" s="2308"/>
      <c r="AC40" s="2308"/>
      <c r="AD40" s="2308"/>
      <c r="AE40" s="2308"/>
      <c r="AF40" s="2308"/>
      <c r="AG40" s="2308"/>
      <c r="AH40" s="2308"/>
      <c r="AI40" s="2308"/>
      <c r="AJ40" s="2308"/>
      <c r="AK40" s="2308"/>
      <c r="AL40" s="2308"/>
      <c r="AM40" s="2308"/>
      <c r="AN40" s="2308"/>
      <c r="AO40" s="2308"/>
      <c r="AP40" s="2308"/>
      <c r="AQ40" s="2308"/>
      <c r="AR40" s="2308"/>
    </row>
    <row r="41" spans="2:44" ht="18">
      <c r="B41" s="1378" t="str">
        <f>Texte!A2874</f>
        <v>Zusammenstellung für Übertrag in Erfolgs- und Mittelflussrechnung</v>
      </c>
      <c r="R41" s="2309"/>
      <c r="S41" s="2309"/>
      <c r="T41" s="2309"/>
      <c r="U41" s="2309"/>
      <c r="V41" s="2309"/>
      <c r="W41" s="2309"/>
      <c r="X41" s="2309"/>
      <c r="Y41" s="2309"/>
      <c r="Z41" s="2309"/>
      <c r="AA41" s="2309"/>
      <c r="AB41" s="2309"/>
      <c r="AC41" s="2309"/>
      <c r="AD41" s="2309"/>
      <c r="AE41" s="2309"/>
      <c r="AF41" s="2309"/>
      <c r="AG41" s="2309"/>
      <c r="AH41" s="2309"/>
      <c r="AI41" s="2309"/>
      <c r="AJ41" s="2309"/>
      <c r="AK41" s="2309"/>
      <c r="AL41" s="2309"/>
      <c r="AM41" s="2309"/>
      <c r="AN41" s="2309"/>
      <c r="AO41" s="2309"/>
      <c r="AP41" s="2309"/>
      <c r="AQ41" s="2309"/>
      <c r="AR41" s="2309"/>
    </row>
    <row r="42" spans="2:44" ht="17.100000000000001" customHeight="1">
      <c r="B42" s="1379"/>
      <c r="C42" s="1322" t="str">
        <f>Texte!A2858</f>
        <v>Total Direktzahlungen und Beiträge</v>
      </c>
      <c r="D42" s="873"/>
      <c r="E42" s="770"/>
      <c r="F42" s="770"/>
      <c r="G42" s="3323">
        <f>Allg!Erntejahr</f>
        <v>2026</v>
      </c>
      <c r="H42" s="770"/>
      <c r="I42" s="770"/>
      <c r="J42" s="1322"/>
      <c r="K42" s="1322"/>
      <c r="L42" s="1322"/>
      <c r="M42" s="1322"/>
      <c r="N42" s="1380"/>
      <c r="O42" s="1928">
        <f>O35</f>
        <v>420574.68686384801</v>
      </c>
      <c r="P42" s="528"/>
      <c r="R42" s="1435">
        <f t="shared" ref="R42:AB42" si="24">SUM(R23:R29)-R31+R32+R33</f>
        <v>420574.68686384801</v>
      </c>
      <c r="S42" s="1435">
        <f t="shared" si="24"/>
        <v>420574.68686384801</v>
      </c>
      <c r="T42" s="1435">
        <f t="shared" si="24"/>
        <v>420574.68686384801</v>
      </c>
      <c r="U42" s="1435">
        <f t="shared" si="24"/>
        <v>420574.68686384801</v>
      </c>
      <c r="V42" s="1435">
        <f t="shared" si="24"/>
        <v>420574.68686384801</v>
      </c>
      <c r="W42" s="1435">
        <f t="shared" si="24"/>
        <v>420574.68686384801</v>
      </c>
      <c r="X42" s="1435">
        <f t="shared" si="24"/>
        <v>420574.68686384801</v>
      </c>
      <c r="Y42" s="1435">
        <f t="shared" si="24"/>
        <v>420574.68686384801</v>
      </c>
      <c r="Z42" s="1435">
        <f t="shared" si="24"/>
        <v>420574.68686384801</v>
      </c>
      <c r="AA42" s="1435">
        <f t="shared" si="24"/>
        <v>420574.68686384801</v>
      </c>
      <c r="AB42" s="1435">
        <f t="shared" si="24"/>
        <v>420574.68686384801</v>
      </c>
      <c r="AC42" s="1435">
        <f t="shared" ref="AC42:AR42" si="25">SUM(AC23:AC29)-AC31+AC32+AC33</f>
        <v>420574.68686384801</v>
      </c>
      <c r="AD42" s="1435">
        <f t="shared" si="25"/>
        <v>420574.68686384801</v>
      </c>
      <c r="AE42" s="1435">
        <f t="shared" si="25"/>
        <v>420574.68686384801</v>
      </c>
      <c r="AF42" s="1435">
        <f t="shared" si="25"/>
        <v>420574.68686384801</v>
      </c>
      <c r="AG42" s="1435">
        <f t="shared" si="25"/>
        <v>420574.68686384801</v>
      </c>
      <c r="AH42" s="1435">
        <f t="shared" si="25"/>
        <v>420574.68686384801</v>
      </c>
      <c r="AI42" s="1435">
        <f t="shared" si="25"/>
        <v>420574.68686384801</v>
      </c>
      <c r="AJ42" s="1435">
        <f t="shared" si="25"/>
        <v>420574.68686384801</v>
      </c>
      <c r="AK42" s="1435">
        <f t="shared" si="25"/>
        <v>420574.68686384801</v>
      </c>
      <c r="AL42" s="1435">
        <f t="shared" si="25"/>
        <v>420574.68686384801</v>
      </c>
      <c r="AM42" s="1435">
        <f t="shared" si="25"/>
        <v>420574.68686384801</v>
      </c>
      <c r="AN42" s="1435">
        <f t="shared" si="25"/>
        <v>420574.68686384801</v>
      </c>
      <c r="AO42" s="1435">
        <f t="shared" si="25"/>
        <v>420574.68686384801</v>
      </c>
      <c r="AP42" s="1435">
        <f t="shared" si="25"/>
        <v>420574.68686384801</v>
      </c>
      <c r="AQ42" s="1435">
        <f t="shared" si="25"/>
        <v>420574.68686384801</v>
      </c>
      <c r="AR42" s="1435">
        <f t="shared" si="25"/>
        <v>420574.68686384801</v>
      </c>
    </row>
    <row r="43" spans="2:44" ht="17.100000000000001" customHeight="1">
      <c r="B43" s="1381"/>
      <c r="C43" s="675" t="str">
        <f>Texte!A2875</f>
        <v>NHG-, kantonale und kommunale Naturschutzbeiträge sowie kantonale Hangbeiträge</v>
      </c>
      <c r="E43"/>
      <c r="F43"/>
      <c r="G43"/>
      <c r="H43"/>
      <c r="I43"/>
      <c r="J43" s="675"/>
      <c r="K43" s="675"/>
      <c r="L43" s="675"/>
      <c r="M43" s="675"/>
      <c r="N43" s="1382" t="s">
        <v>4987</v>
      </c>
      <c r="O43" s="1915">
        <f>LQB!R45</f>
        <v>0</v>
      </c>
      <c r="P43" s="481"/>
      <c r="R43" s="1435">
        <f t="shared" ref="R43:AR43" si="26">$O$43</f>
        <v>0</v>
      </c>
      <c r="S43" s="1435">
        <f t="shared" si="26"/>
        <v>0</v>
      </c>
      <c r="T43" s="1435">
        <f t="shared" si="26"/>
        <v>0</v>
      </c>
      <c r="U43" s="1435">
        <f t="shared" si="26"/>
        <v>0</v>
      </c>
      <c r="V43" s="1435">
        <f t="shared" si="26"/>
        <v>0</v>
      </c>
      <c r="W43" s="1435">
        <f t="shared" si="26"/>
        <v>0</v>
      </c>
      <c r="X43" s="1435">
        <f t="shared" si="26"/>
        <v>0</v>
      </c>
      <c r="Y43" s="1435">
        <f t="shared" si="26"/>
        <v>0</v>
      </c>
      <c r="Z43" s="1435">
        <f t="shared" si="26"/>
        <v>0</v>
      </c>
      <c r="AA43" s="1435">
        <f t="shared" si="26"/>
        <v>0</v>
      </c>
      <c r="AB43" s="1435">
        <f t="shared" si="26"/>
        <v>0</v>
      </c>
      <c r="AC43" s="1435">
        <f t="shared" si="26"/>
        <v>0</v>
      </c>
      <c r="AD43" s="1435">
        <f t="shared" si="26"/>
        <v>0</v>
      </c>
      <c r="AE43" s="1435">
        <f t="shared" si="26"/>
        <v>0</v>
      </c>
      <c r="AF43" s="1435">
        <f t="shared" si="26"/>
        <v>0</v>
      </c>
      <c r="AG43" s="1435">
        <f t="shared" si="26"/>
        <v>0</v>
      </c>
      <c r="AH43" s="1435">
        <f t="shared" si="26"/>
        <v>0</v>
      </c>
      <c r="AI43" s="1435">
        <f t="shared" si="26"/>
        <v>0</v>
      </c>
      <c r="AJ43" s="1435">
        <f t="shared" si="26"/>
        <v>0</v>
      </c>
      <c r="AK43" s="1435">
        <f t="shared" si="26"/>
        <v>0</v>
      </c>
      <c r="AL43" s="1435">
        <f t="shared" si="26"/>
        <v>0</v>
      </c>
      <c r="AM43" s="1435">
        <f t="shared" si="26"/>
        <v>0</v>
      </c>
      <c r="AN43" s="1435">
        <f t="shared" si="26"/>
        <v>0</v>
      </c>
      <c r="AO43" s="1435">
        <f t="shared" si="26"/>
        <v>0</v>
      </c>
      <c r="AP43" s="1435">
        <f t="shared" si="26"/>
        <v>0</v>
      </c>
      <c r="AQ43" s="1435">
        <f t="shared" si="26"/>
        <v>0</v>
      </c>
      <c r="AR43" s="1435">
        <f t="shared" si="26"/>
        <v>0</v>
      </c>
    </row>
    <row r="44" spans="2:44" ht="15" customHeight="1">
      <c r="B44" s="1387"/>
      <c r="C44" s="872" t="str">
        <f>Texte!A2876</f>
        <v xml:space="preserve">abzüglich Einzelkulturbeiträge </v>
      </c>
      <c r="N44" s="1359" t="s">
        <v>4818</v>
      </c>
      <c r="O44" s="1915">
        <f>VSB!Q86</f>
        <v>5748.1419999999998</v>
      </c>
      <c r="P44" s="481"/>
      <c r="R44" s="1435">
        <f>VSB!$Q$86</f>
        <v>5748.1419999999998</v>
      </c>
      <c r="S44" s="1435">
        <f>VSB!$Q$86</f>
        <v>5748.1419999999998</v>
      </c>
      <c r="T44" s="1435">
        <f>VSB!$Q$86</f>
        <v>5748.1419999999998</v>
      </c>
      <c r="U44" s="1435">
        <f>VSB!$Q$86</f>
        <v>5748.1419999999998</v>
      </c>
      <c r="V44" s="1435">
        <f>VSB!$Q$86</f>
        <v>5748.1419999999998</v>
      </c>
      <c r="W44" s="1435">
        <f>VSB!$Q$86</f>
        <v>5748.1419999999998</v>
      </c>
      <c r="X44" s="1435">
        <f>VSB!$Q$86</f>
        <v>5748.1419999999998</v>
      </c>
      <c r="Y44" s="1435">
        <f>VSB!$Q$86</f>
        <v>5748.1419999999998</v>
      </c>
      <c r="Z44" s="1435">
        <f>VSB!$Q$86</f>
        <v>5748.1419999999998</v>
      </c>
      <c r="AA44" s="1435">
        <f>VSB!$Q$86</f>
        <v>5748.1419999999998</v>
      </c>
      <c r="AB44" s="1435">
        <f>VSB!$Q$86</f>
        <v>5748.1419999999998</v>
      </c>
      <c r="AC44" s="1435">
        <f>VSB!$Q$86</f>
        <v>5748.1419999999998</v>
      </c>
      <c r="AD44" s="1435">
        <f>VSB!$Q$86</f>
        <v>5748.1419999999998</v>
      </c>
      <c r="AE44" s="1435">
        <f>VSB!$Q$86</f>
        <v>5748.1419999999998</v>
      </c>
      <c r="AF44" s="1435">
        <f>VSB!$Q$86</f>
        <v>5748.1419999999998</v>
      </c>
      <c r="AG44" s="1435">
        <f>VSB!$Q$86</f>
        <v>5748.1419999999998</v>
      </c>
      <c r="AH44" s="1435">
        <f>VSB!$Q$86</f>
        <v>5748.1419999999998</v>
      </c>
      <c r="AI44" s="1435">
        <f>VSB!$Q$86</f>
        <v>5748.1419999999998</v>
      </c>
      <c r="AJ44" s="1435">
        <f>VSB!$Q$86</f>
        <v>5748.1419999999998</v>
      </c>
      <c r="AK44" s="1435">
        <f>VSB!$Q$86</f>
        <v>5748.1419999999998</v>
      </c>
      <c r="AL44" s="1435">
        <f>VSB!$Q$86</f>
        <v>5748.1419999999998</v>
      </c>
      <c r="AM44" s="1435">
        <f>VSB!$Q$86</f>
        <v>5748.1419999999998</v>
      </c>
      <c r="AN44" s="1435">
        <f>VSB!$Q$86</f>
        <v>5748.1419999999998</v>
      </c>
      <c r="AO44" s="1435">
        <f>VSB!$Q$86</f>
        <v>5748.1419999999998</v>
      </c>
      <c r="AP44" s="1435">
        <f>VSB!$Q$86</f>
        <v>5748.1419999999998</v>
      </c>
      <c r="AQ44" s="1435">
        <f>VSB!$Q$86</f>
        <v>5748.1419999999998</v>
      </c>
      <c r="AR44" s="1435">
        <f>VSB!$Q$86</f>
        <v>5748.1419999999998</v>
      </c>
    </row>
    <row r="45" spans="2:44" ht="9" customHeight="1">
      <c r="B45" s="1387"/>
      <c r="O45" s="1929"/>
      <c r="P45" s="481"/>
    </row>
    <row r="46" spans="2:44" ht="17.100000000000001" customHeight="1">
      <c r="B46" s="1387"/>
      <c r="C46" s="920" t="str">
        <f>Texte!A2878</f>
        <v>Direktzahlungen und andere Beiträge für Übertrag in Erfolgs- und Mittelflussrechnung</v>
      </c>
      <c r="O46" s="1384">
        <f>O42+O43-O44</f>
        <v>414826.54486384802</v>
      </c>
      <c r="P46" s="481"/>
      <c r="R46" s="1345">
        <f>R42+R43-R44</f>
        <v>414826.54486384802</v>
      </c>
      <c r="S46" s="1345">
        <f t="shared" ref="S46:AB46" si="27">S42+S43-S44</f>
        <v>414826.54486384802</v>
      </c>
      <c r="T46" s="1345">
        <f t="shared" si="27"/>
        <v>414826.54486384802</v>
      </c>
      <c r="U46" s="1345">
        <f t="shared" si="27"/>
        <v>414826.54486384802</v>
      </c>
      <c r="V46" s="1345">
        <f t="shared" si="27"/>
        <v>414826.54486384802</v>
      </c>
      <c r="W46" s="1345">
        <f t="shared" si="27"/>
        <v>414826.54486384802</v>
      </c>
      <c r="X46" s="1345">
        <f t="shared" si="27"/>
        <v>414826.54486384802</v>
      </c>
      <c r="Y46" s="1345">
        <f t="shared" si="27"/>
        <v>414826.54486384802</v>
      </c>
      <c r="Z46" s="1345">
        <f t="shared" si="27"/>
        <v>414826.54486384802</v>
      </c>
      <c r="AA46" s="1345">
        <f t="shared" si="27"/>
        <v>414826.54486384802</v>
      </c>
      <c r="AB46" s="1345">
        <f t="shared" si="27"/>
        <v>414826.54486384802</v>
      </c>
      <c r="AC46" s="1345">
        <f t="shared" ref="AC46:AR46" si="28">AC42+AC43-AC44</f>
        <v>414826.54486384802</v>
      </c>
      <c r="AD46" s="1345">
        <f t="shared" si="28"/>
        <v>414826.54486384802</v>
      </c>
      <c r="AE46" s="1345">
        <f t="shared" si="28"/>
        <v>414826.54486384802</v>
      </c>
      <c r="AF46" s="1345">
        <f t="shared" si="28"/>
        <v>414826.54486384802</v>
      </c>
      <c r="AG46" s="1345">
        <f t="shared" si="28"/>
        <v>414826.54486384802</v>
      </c>
      <c r="AH46" s="1345">
        <f t="shared" si="28"/>
        <v>414826.54486384802</v>
      </c>
      <c r="AI46" s="1345">
        <f t="shared" si="28"/>
        <v>414826.54486384802</v>
      </c>
      <c r="AJ46" s="1345">
        <f t="shared" si="28"/>
        <v>414826.54486384802</v>
      </c>
      <c r="AK46" s="1345">
        <f t="shared" si="28"/>
        <v>414826.54486384802</v>
      </c>
      <c r="AL46" s="1345">
        <f t="shared" si="28"/>
        <v>414826.54486384802</v>
      </c>
      <c r="AM46" s="1345">
        <f t="shared" si="28"/>
        <v>414826.54486384802</v>
      </c>
      <c r="AN46" s="1345">
        <f t="shared" si="28"/>
        <v>414826.54486384802</v>
      </c>
      <c r="AO46" s="1345">
        <f t="shared" si="28"/>
        <v>414826.54486384802</v>
      </c>
      <c r="AP46" s="1345">
        <f t="shared" si="28"/>
        <v>414826.54486384802</v>
      </c>
      <c r="AQ46" s="1345">
        <f t="shared" si="28"/>
        <v>414826.54486384802</v>
      </c>
      <c r="AR46" s="1345">
        <f t="shared" si="28"/>
        <v>414826.54486384802</v>
      </c>
    </row>
    <row r="47" spans="2:44" ht="8.1" customHeight="1">
      <c r="B47" s="1388"/>
      <c r="C47" s="1351"/>
      <c r="D47" s="875"/>
      <c r="E47" s="875"/>
      <c r="F47" s="875"/>
      <c r="G47" s="875"/>
      <c r="H47" s="875"/>
      <c r="I47" s="875"/>
      <c r="J47" s="875"/>
      <c r="K47" s="875"/>
      <c r="L47" s="875"/>
      <c r="M47" s="875"/>
      <c r="N47" s="875"/>
      <c r="O47" s="1923"/>
      <c r="P47" s="1329"/>
    </row>
    <row r="48" spans="2:44" ht="8.4499999999999993" customHeight="1"/>
    <row r="49" spans="2:16" ht="12.75">
      <c r="B49" s="686" t="str">
        <f>Texte!A203</f>
        <v>Bemerkungen</v>
      </c>
    </row>
    <row r="50" spans="2:16" ht="16.5" customHeight="1">
      <c r="B50" s="41"/>
      <c r="C50" s="41"/>
      <c r="D50" s="41"/>
      <c r="E50" s="41"/>
      <c r="F50" s="41"/>
      <c r="G50" s="41"/>
      <c r="H50" s="41"/>
      <c r="I50" s="41"/>
      <c r="J50" s="41"/>
      <c r="K50" s="41"/>
      <c r="L50" s="41"/>
      <c r="M50" s="41"/>
      <c r="N50" s="41"/>
      <c r="O50" s="41"/>
      <c r="P50" s="41"/>
    </row>
    <row r="51" spans="2:16" ht="16.5" customHeight="1">
      <c r="B51" s="41"/>
      <c r="C51" s="41"/>
      <c r="D51" s="41"/>
      <c r="E51" s="41"/>
      <c r="F51" s="41"/>
      <c r="G51" s="41"/>
      <c r="H51" s="41"/>
      <c r="I51" s="41"/>
      <c r="J51" s="41"/>
      <c r="K51" s="41"/>
      <c r="L51" s="41"/>
      <c r="M51" s="41"/>
      <c r="N51" s="41"/>
      <c r="O51" s="41"/>
      <c r="P51" s="41"/>
    </row>
    <row r="52" spans="2:16" ht="16.5" customHeight="1">
      <c r="B52" s="41"/>
      <c r="C52" s="41"/>
      <c r="D52" s="41"/>
      <c r="E52" s="41"/>
      <c r="F52" s="41"/>
      <c r="G52" s="41"/>
      <c r="H52" s="41"/>
      <c r="I52" s="41"/>
      <c r="J52" s="41"/>
      <c r="K52" s="41"/>
      <c r="L52" s="41"/>
      <c r="M52" s="41"/>
      <c r="N52" s="41"/>
      <c r="O52" s="41"/>
      <c r="P52" s="41"/>
    </row>
    <row r="53" spans="2:16" ht="16.5" customHeight="1">
      <c r="B53" s="41"/>
      <c r="C53" s="41"/>
      <c r="D53" s="41"/>
      <c r="E53" s="41"/>
      <c r="F53" s="41"/>
      <c r="G53" s="41"/>
      <c r="H53" s="41"/>
      <c r="I53" s="41"/>
      <c r="J53" s="41"/>
      <c r="K53" s="41"/>
      <c r="L53" s="41"/>
      <c r="M53" s="41"/>
      <c r="N53" s="41"/>
      <c r="O53" s="41"/>
      <c r="P53" s="41"/>
    </row>
    <row r="54" spans="2:16" ht="16.5" customHeight="1">
      <c r="B54" s="41"/>
      <c r="C54" s="41"/>
      <c r="D54" s="41"/>
      <c r="E54" s="41"/>
      <c r="F54" s="41"/>
      <c r="G54" s="41"/>
      <c r="H54" s="41"/>
      <c r="I54" s="41"/>
      <c r="J54" s="41"/>
      <c r="K54" s="41"/>
      <c r="L54" s="41"/>
      <c r="M54" s="41"/>
      <c r="N54" s="41"/>
      <c r="O54" s="41"/>
      <c r="P54" s="41"/>
    </row>
    <row r="55" spans="2:16" ht="6" customHeight="1">
      <c r="B55" s="1465"/>
    </row>
    <row r="56" spans="2:16" ht="12.75" customHeight="1">
      <c r="B56" s="1465" t="str">
        <f>Texte!A20</f>
        <v>Stand der Bestimmungen gültig ab 1.1.2025 oder 1.1.2026 oder 1.1.2027, gemäss den vorgeschlagenen Verordnungen des</v>
      </c>
    </row>
    <row r="57" spans="2:16" ht="12.75" customHeight="1">
      <c r="B57" s="1465" t="str">
        <f>Texte!A18</f>
        <v xml:space="preserve">Bundesrates vor der Wintersession. Die Berechnung erfolgt für das im Blatt "Allg" eingestellte Jahr. </v>
      </c>
    </row>
    <row r="58" spans="2:16" ht="12.75" customHeight="1">
      <c r="B58" s="1465" t="str">
        <f>Texte!A22</f>
        <v>AGRIDEA lehnt jede Haftung und Gewährleistung ab, die aus Berechnungen mit diesem Instrument abgeleitet werden.</v>
      </c>
    </row>
    <row r="59" spans="2:16" ht="6" customHeight="1"/>
    <row r="60" spans="2:16" ht="18">
      <c r="B60" s="685" t="str">
        <f>Texte!A2866</f>
        <v>Zur Erinnerung: Eintretenskriterien und zu Beiträgen berechtigende Fläche</v>
      </c>
    </row>
    <row r="61" spans="2:16" ht="17.100000000000001" customHeight="1">
      <c r="B61" s="1386" t="str">
        <f>Texte!A2867</f>
        <v>- Beitragsberechtigte Landwirtschaftliche Nutzfläche: Landwirtschaftliche Nutzfläche, ohne Baumschulen, Forstpflanzen, Christbäume,</v>
      </c>
      <c r="C61" s="1460"/>
      <c r="D61" s="873"/>
      <c r="E61" s="873"/>
      <c r="F61" s="873"/>
      <c r="G61" s="873"/>
      <c r="H61" s="873"/>
      <c r="I61" s="873"/>
      <c r="J61" s="873"/>
      <c r="K61" s="873"/>
      <c r="L61" s="873"/>
      <c r="M61" s="873"/>
      <c r="N61" s="873"/>
      <c r="O61" s="873"/>
      <c r="P61" s="528"/>
    </row>
    <row r="62" spans="2:16" ht="17.100000000000001" customHeight="1">
      <c r="B62" s="1387" t="str">
        <f>Texte!A2868</f>
        <v xml:space="preserve">  Zierpflanzen, Hanf und Gewächshäuser mit festem Fundament </v>
      </c>
      <c r="C62" s="1387"/>
      <c r="D62" s="874"/>
      <c r="E62" s="874"/>
      <c r="F62" s="874"/>
      <c r="G62" s="874"/>
      <c r="H62" s="874"/>
      <c r="I62" s="874"/>
      <c r="J62" s="874"/>
      <c r="K62" s="874"/>
      <c r="L62" s="874"/>
      <c r="M62" s="874"/>
      <c r="N62" s="874"/>
      <c r="O62" s="874"/>
      <c r="P62" s="481"/>
    </row>
    <row r="63" spans="2:16" ht="17.100000000000001" customHeight="1">
      <c r="B63" s="1387" t="str">
        <f>Texte!A2869</f>
        <v>- Mindestarbeitsaufkommen: 0.20 SAK</v>
      </c>
      <c r="C63" s="686"/>
      <c r="D63" s="874"/>
      <c r="E63" s="874"/>
      <c r="F63" s="874"/>
      <c r="G63" s="874"/>
      <c r="H63" s="874"/>
      <c r="I63" s="874"/>
      <c r="J63" s="874"/>
      <c r="K63" s="874"/>
      <c r="L63" s="874"/>
      <c r="M63" s="874"/>
      <c r="N63" s="874"/>
      <c r="O63" s="874"/>
      <c r="P63" s="481"/>
    </row>
    <row r="64" spans="2:16" ht="17.100000000000001" customHeight="1">
      <c r="B64" s="1387" t="str">
        <f>Texte!A2870</f>
        <v>- Mindestanteil betriebseigener Arbeitskräfte: 50 %</v>
      </c>
      <c r="D64" s="874"/>
      <c r="E64" s="874"/>
      <c r="F64" s="874"/>
      <c r="G64" s="874"/>
      <c r="H64" s="874"/>
      <c r="I64" s="874"/>
      <c r="J64" s="874"/>
      <c r="K64" s="874"/>
      <c r="L64" s="874"/>
      <c r="M64" s="874"/>
      <c r="N64" s="874"/>
      <c r="O64" s="874"/>
      <c r="P64" s="481"/>
    </row>
    <row r="65" spans="2:16" ht="17.100000000000001" customHeight="1">
      <c r="B65" s="1387" t="str">
        <f>Texte!A2871</f>
        <v>- Altersgrenze: 65 Jahre</v>
      </c>
      <c r="D65" s="874"/>
      <c r="E65" s="874"/>
      <c r="F65" s="874"/>
      <c r="G65" s="874"/>
      <c r="H65" s="874"/>
      <c r="I65" s="874"/>
      <c r="J65" s="874"/>
      <c r="K65" s="874"/>
      <c r="L65" s="874"/>
      <c r="M65" s="874"/>
      <c r="N65" s="874"/>
      <c r="O65" s="874"/>
      <c r="P65" s="481"/>
    </row>
    <row r="66" spans="2:16" ht="17.100000000000001" customHeight="1">
      <c r="B66" s="1387" t="str">
        <f>Texte!A2872</f>
        <v>- Landwirtschaftliche Ausbildung</v>
      </c>
      <c r="D66" s="874"/>
      <c r="E66" s="874"/>
      <c r="F66" s="874"/>
      <c r="G66" s="874"/>
      <c r="H66" s="874"/>
      <c r="I66" s="874"/>
      <c r="J66" s="874"/>
      <c r="K66" s="874"/>
      <c r="L66" s="874"/>
      <c r="M66" s="874"/>
      <c r="N66" s="874"/>
      <c r="O66" s="874"/>
      <c r="P66" s="481"/>
    </row>
    <row r="67" spans="2:16" ht="17.100000000000001" customHeight="1">
      <c r="B67" s="1388" t="str">
        <f>Texte!A2873</f>
        <v>- Ökologischer Leistungsnachweis ÖLN</v>
      </c>
      <c r="C67" s="1351"/>
      <c r="D67" s="875"/>
      <c r="E67" s="875"/>
      <c r="F67" s="875"/>
      <c r="G67" s="875"/>
      <c r="H67" s="875"/>
      <c r="I67" s="875"/>
      <c r="J67" s="875"/>
      <c r="K67" s="875"/>
      <c r="L67" s="875"/>
      <c r="M67" s="875"/>
      <c r="N67" s="875"/>
      <c r="O67" s="875"/>
      <c r="P67" s="1329"/>
    </row>
  </sheetData>
  <sheetProtection algorithmName="SHA-512" hashValue="f9in+zAxytR7yAKVFYJ76ivFqQ7sL+OykI8+Oy5pCNwUaXJcIEZqyONMFcdecOisiOXujtGxDxLCL4aetLXYEA==" saltValue="r9SEyniHodctVLMY1GNj0A==" spinCount="100000" sheet="1" objects="1" scenarios="1"/>
  <phoneticPr fontId="65" type="noConversion"/>
  <printOptions horizontalCentered="1"/>
  <pageMargins left="0.52" right="0.35" top="0.5" bottom="0.74803149606299213" header="0.24" footer="0.31496062992125984"/>
  <pageSetup paperSize="9" scale="88" orientation="portrait" r:id="rId1"/>
  <headerFooter alignWithMargins="0">
    <oddFooter>&amp;C&amp;9&amp;F&amp;R&amp;"Arial,Standard"&amp;9Seite &amp;P&amp;L&amp;"Arial,Fett"&amp;11AGRIDEA &amp;"Arial,Standard"&amp;9 Nachweis Version 9.9</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3">
    <tabColor indexed="27"/>
    <pageSetUpPr fitToPage="1"/>
  </sheetPr>
  <dimension ref="A1:Q98"/>
  <sheetViews>
    <sheetView showGridLines="0" showRowColHeaders="0" showZeros="0" workbookViewId="0">
      <selection activeCell="C43" sqref="C43"/>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22.7109375" style="872" customWidth="1"/>
    <col min="4" max="4" width="6.7109375" style="872" customWidth="1"/>
    <col min="5" max="5" width="8.140625" style="872" customWidth="1"/>
    <col min="6" max="6" width="11" style="872" customWidth="1"/>
    <col min="7" max="7" width="1.85546875" style="872" customWidth="1"/>
    <col min="8" max="8" width="12.140625" style="872" customWidth="1"/>
    <col min="9" max="9" width="5.5703125" style="872" customWidth="1"/>
    <col min="10" max="10" width="11.7109375" style="872" customWidth="1"/>
    <col min="11" max="11" width="2.5703125" style="872" customWidth="1"/>
    <col min="12" max="12" width="11.7109375" style="872" customWidth="1"/>
    <col min="13" max="13" width="4.42578125" style="1432" customWidth="1"/>
    <col min="14" max="14" width="13.7109375" style="872" customWidth="1"/>
    <col min="15" max="15" width="0.85546875" style="872" customWidth="1"/>
    <col min="16" max="16" width="9.140625" style="872" customWidth="1"/>
    <col min="17" max="16384" width="11.42578125" style="872"/>
  </cols>
  <sheetData>
    <row r="1" spans="1:17" ht="42" customHeight="1">
      <c r="B1" s="685" t="str">
        <f>Q!NW_Tit</f>
        <v xml:space="preserve">                                   Nachweis</v>
      </c>
      <c r="C1" s="874"/>
      <c r="D1" s="1315"/>
      <c r="E1" s="874"/>
      <c r="F1" s="874"/>
      <c r="G1" s="874"/>
      <c r="H1" s="874"/>
      <c r="I1" s="874"/>
      <c r="J1" s="874"/>
      <c r="K1" s="874"/>
      <c r="L1" s="874"/>
      <c r="M1" s="1389"/>
      <c r="N1" s="20"/>
      <c r="O1" s="20" t="str">
        <f>Q!F50</f>
        <v>SAK</v>
      </c>
    </row>
    <row r="2" spans="1:17" s="692" customFormat="1" ht="11.1" customHeight="1" thickBot="1">
      <c r="B2" s="687"/>
      <c r="C2" s="687"/>
      <c r="D2" s="687"/>
      <c r="E2" s="687"/>
      <c r="F2" s="687"/>
      <c r="G2" s="687"/>
      <c r="H2" s="687"/>
      <c r="I2" s="687"/>
      <c r="J2" s="687"/>
      <c r="K2" s="687"/>
      <c r="L2" s="687"/>
      <c r="M2" s="688"/>
      <c r="N2" s="44"/>
      <c r="O2" s="687"/>
    </row>
    <row r="3" spans="1:17" ht="21.95" customHeight="1">
      <c r="A3" s="874"/>
      <c r="B3" s="1870" t="str">
        <f>Texte!A13</f>
        <v>Betrieb:</v>
      </c>
      <c r="C3" s="689"/>
      <c r="D3" s="1873" t="str">
        <f>Allg!$C$9&amp;""</f>
        <v>Imhof &amp; Zaehner Betriebsgemeinschaft</v>
      </c>
      <c r="E3" s="1873"/>
      <c r="F3" s="1873"/>
      <c r="G3" s="689"/>
      <c r="H3" s="1872" t="str">
        <f>Texte!A14</f>
        <v>Variante:</v>
      </c>
      <c r="I3" s="1433" t="str">
        <f>Allg!$G$7&amp;""</f>
        <v/>
      </c>
      <c r="J3" s="1433"/>
      <c r="K3" s="1873"/>
      <c r="L3" s="1873"/>
      <c r="M3" s="1863" t="str">
        <f>Texte!A15</f>
        <v>Jahr:</v>
      </c>
      <c r="N3" s="1859" t="str">
        <f>Allg!$G$6&amp;""</f>
        <v>2026</v>
      </c>
      <c r="O3" s="1873"/>
    </row>
    <row r="4" spans="1:17" ht="4.7" customHeight="1">
      <c r="A4" s="874"/>
      <c r="B4" s="1316"/>
      <c r="C4" s="675"/>
      <c r="D4" s="675"/>
      <c r="E4" s="675"/>
      <c r="F4" s="675"/>
      <c r="G4" s="675"/>
      <c r="H4" s="675"/>
      <c r="I4" s="1317"/>
      <c r="J4" s="1333"/>
      <c r="K4" s="675"/>
      <c r="L4" s="675"/>
      <c r="M4" s="1390"/>
      <c r="N4" s="1334"/>
      <c r="O4" s="675"/>
    </row>
    <row r="5" spans="1:17" ht="12.75">
      <c r="A5" s="874"/>
      <c r="B5" s="675" t="str">
        <f>Texte!A2880</f>
        <v xml:space="preserve">Die einzelnen SAK-Faktoren werden aufgrund des seit 2004 erfolgten technischen Fortschritts angepasst. Die der Festlegung der </v>
      </c>
      <c r="C5" s="675"/>
      <c r="D5" s="675"/>
      <c r="E5" s="675"/>
      <c r="F5" s="675"/>
      <c r="G5" s="675"/>
      <c r="H5" s="675"/>
      <c r="I5" s="1317"/>
      <c r="J5" s="1333"/>
      <c r="K5" s="675"/>
      <c r="L5" s="675"/>
      <c r="M5" s="1390"/>
      <c r="N5" s="1334"/>
      <c r="O5" s="675"/>
    </row>
    <row r="6" spans="1:17" ht="12.75">
      <c r="A6" s="874"/>
      <c r="B6" s="675" t="str">
        <f>Texte!A2881</f>
        <v>SAK-Faktoren zugrunde liegenden Jahresarbeitseinheiten werden dabei von 2800 Stunden auf 2600 Stunden herabgesetzt und</v>
      </c>
      <c r="C6" s="675"/>
      <c r="D6" s="675"/>
      <c r="E6" s="675"/>
      <c r="F6" s="675"/>
      <c r="G6" s="675"/>
      <c r="H6" s="675"/>
      <c r="I6" s="1317"/>
      <c r="J6" s="1333"/>
      <c r="K6" s="675"/>
      <c r="L6" s="675"/>
      <c r="M6" s="1390"/>
      <c r="N6" s="1334"/>
      <c r="O6" s="675"/>
    </row>
    <row r="7" spans="1:17" ht="12.75">
      <c r="A7" s="874"/>
      <c r="B7" s="675" t="str">
        <f>Texte!A2882</f>
        <v>auf das Jahr 2016 werden neue Faktoren eingeführt.</v>
      </c>
      <c r="C7" s="675"/>
      <c r="D7" s="675"/>
      <c r="E7" s="675"/>
      <c r="F7" s="675"/>
      <c r="G7" s="675"/>
      <c r="H7" s="675"/>
      <c r="I7" s="1317"/>
      <c r="J7" s="1333"/>
      <c r="K7" s="675"/>
      <c r="L7" s="675"/>
      <c r="M7" s="1390"/>
      <c r="N7" s="1334"/>
      <c r="O7" s="675"/>
    </row>
    <row r="8" spans="1:17" ht="12.75" customHeight="1">
      <c r="A8" s="874"/>
      <c r="B8" s="675">
        <f>Texte!A2883</f>
        <v>0</v>
      </c>
      <c r="C8" s="675"/>
      <c r="D8" s="675"/>
      <c r="E8" s="675"/>
      <c r="F8" s="675"/>
      <c r="G8" s="675"/>
      <c r="H8" s="675"/>
      <c r="I8" s="1317"/>
      <c r="J8" s="1334"/>
      <c r="K8" s="675"/>
      <c r="L8" s="675"/>
      <c r="M8" s="1390"/>
      <c r="N8" s="1334"/>
      <c r="O8" s="675"/>
      <c r="Q8" s="960"/>
    </row>
    <row r="9" spans="1:17" ht="12.75" hidden="1">
      <c r="A9" s="874"/>
      <c r="B9" s="1316"/>
      <c r="C9" s="675"/>
      <c r="D9" s="675"/>
      <c r="E9" s="675"/>
      <c r="F9" s="675"/>
      <c r="G9" s="675"/>
      <c r="H9" s="675"/>
      <c r="I9" s="1317"/>
      <c r="J9" s="1333"/>
      <c r="K9" s="675"/>
      <c r="L9" s="675"/>
      <c r="M9" s="1390"/>
      <c r="N9" s="1334"/>
      <c r="O9" s="675"/>
    </row>
    <row r="10" spans="1:17" ht="18">
      <c r="B10" s="685" t="str">
        <f>Texte!A2887</f>
        <v>Berechnung der Standard-Arbeitskräfte (SAK) für Direktzahlungen</v>
      </c>
      <c r="C10" s="874"/>
      <c r="D10" s="874"/>
      <c r="E10" s="874"/>
      <c r="F10" s="675"/>
      <c r="G10" s="675"/>
      <c r="H10" s="675"/>
      <c r="I10" s="1317"/>
      <c r="J10" s="1333"/>
      <c r="K10" s="675"/>
      <c r="L10" s="675"/>
      <c r="M10" s="1390"/>
      <c r="N10" s="1334"/>
      <c r="O10" s="675"/>
    </row>
    <row r="11" spans="1:17" ht="3.2" customHeight="1">
      <c r="B11" s="685"/>
      <c r="C11" s="874"/>
      <c r="D11" s="874"/>
      <c r="E11" s="874"/>
      <c r="F11" s="675"/>
      <c r="G11" s="675"/>
      <c r="H11" s="675"/>
      <c r="I11" s="1317"/>
      <c r="J11" s="1333"/>
      <c r="K11" s="675"/>
      <c r="L11" s="675"/>
      <c r="M11" s="1390"/>
      <c r="N11" s="1334"/>
      <c r="O11" s="675"/>
    </row>
    <row r="12" spans="1:17" ht="3.2" customHeight="1">
      <c r="B12" s="1391"/>
      <c r="C12" s="1463"/>
      <c r="D12" s="1463"/>
      <c r="E12" s="1463"/>
      <c r="F12" s="1463"/>
      <c r="G12" s="1463"/>
      <c r="H12" s="1463"/>
      <c r="I12" s="1463"/>
      <c r="J12" s="1463"/>
      <c r="K12" s="1463"/>
      <c r="L12" s="1463"/>
      <c r="M12" s="1463"/>
      <c r="N12" s="1463"/>
      <c r="O12" s="1364"/>
    </row>
    <row r="13" spans="1:17" ht="14.1" customHeight="1">
      <c r="B13" s="1392"/>
      <c r="C13" s="679"/>
      <c r="D13" s="679"/>
      <c r="E13" s="679"/>
      <c r="F13" s="679"/>
      <c r="G13" s="679"/>
      <c r="H13" s="679"/>
      <c r="I13" s="679"/>
      <c r="J13" s="679" t="str">
        <f>Texte!A2888</f>
        <v>ha bzw. GVE</v>
      </c>
      <c r="K13" s="679"/>
      <c r="L13" s="679" t="str">
        <f>Texte!A2889</f>
        <v>Ansatz/Einheit</v>
      </c>
      <c r="M13" s="679"/>
      <c r="N13" s="679" t="str">
        <f>Texte!A2890</f>
        <v>SAK</v>
      </c>
      <c r="O13" s="1347"/>
      <c r="Q13" s="1699"/>
    </row>
    <row r="14" spans="1:17" ht="3.2" customHeight="1">
      <c r="B14" s="1392"/>
      <c r="C14" s="675"/>
      <c r="D14" s="675"/>
      <c r="E14" s="675"/>
      <c r="F14" s="675"/>
      <c r="G14" s="675"/>
      <c r="J14" s="1325"/>
      <c r="K14" s="1317"/>
      <c r="L14" s="1325"/>
      <c r="M14" s="1325"/>
      <c r="N14" s="1325"/>
      <c r="O14" s="1347"/>
      <c r="Q14" s="1699"/>
    </row>
    <row r="15" spans="1:17" ht="14.1" customHeight="1">
      <c r="B15" s="1392"/>
      <c r="C15" s="675" t="str">
        <f>Texte!A2891</f>
        <v>LN ohne Spezialkulturen</v>
      </c>
      <c r="D15" s="675"/>
      <c r="E15" s="677"/>
      <c r="F15" s="675"/>
      <c r="G15" s="675"/>
      <c r="J15" s="1393">
        <f>SUM(Fläche!LNber)-SUM(Fläche!SpezialkulturenDZ)</f>
        <v>91.523100000000028</v>
      </c>
      <c r="K15" s="1325" t="s">
        <v>1045</v>
      </c>
      <c r="L15" s="1437">
        <f>D_Klick!SAK_LNoSpez</f>
        <v>2.1999999999999999E-2</v>
      </c>
      <c r="M15" s="1325" t="s">
        <v>4983</v>
      </c>
      <c r="N15" s="1437">
        <f>J15*L15</f>
        <v>2.0135082000000004</v>
      </c>
      <c r="O15" s="1347"/>
      <c r="Q15" s="1699"/>
    </row>
    <row r="16" spans="1:17" ht="3.2" customHeight="1">
      <c r="B16" s="1392"/>
      <c r="C16" s="675"/>
      <c r="D16" s="675"/>
      <c r="E16" s="675"/>
      <c r="F16" s="675"/>
      <c r="G16" s="675"/>
      <c r="J16" s="1394"/>
      <c r="K16" s="1325"/>
      <c r="L16" s="2"/>
      <c r="M16" s="1325"/>
      <c r="N16" s="1394"/>
      <c r="O16" s="1347"/>
      <c r="Q16" s="1699"/>
    </row>
    <row r="17" spans="2:17" ht="14.1" customHeight="1">
      <c r="B17" s="1392"/>
      <c r="C17" s="675" t="str">
        <f>Texte!A2893</f>
        <v xml:space="preserve">  Zuschlag für Biolandbau</v>
      </c>
      <c r="D17" s="675"/>
      <c r="E17" s="675"/>
      <c r="F17" s="675"/>
      <c r="G17" s="675"/>
      <c r="J17" s="1393">
        <f>IF(D_Klick!SAK_BioZschlg=0.2,J15,0)</f>
        <v>91.523100000000028</v>
      </c>
      <c r="K17" s="1325" t="s">
        <v>1045</v>
      </c>
      <c r="L17" s="1437">
        <f>D_Klick!SAK_BioProz * D_Klick!SAK_LNoSpez</f>
        <v>4.4000000000000003E-3</v>
      </c>
      <c r="M17" s="1325" t="s">
        <v>4983</v>
      </c>
      <c r="N17" s="1437">
        <f>J17*L17</f>
        <v>0.40270164000000014</v>
      </c>
      <c r="O17" s="1347"/>
      <c r="Q17" s="1699"/>
    </row>
    <row r="18" spans="2:17" ht="3.2" customHeight="1">
      <c r="B18" s="1392"/>
      <c r="C18" s="675"/>
      <c r="D18" s="675"/>
      <c r="E18" s="675"/>
      <c r="F18" s="675"/>
      <c r="G18" s="675"/>
      <c r="J18" s="1394"/>
      <c r="K18" s="1325"/>
      <c r="L18" s="2"/>
      <c r="M18" s="1325"/>
      <c r="N18" s="1394"/>
      <c r="O18" s="1347"/>
      <c r="Q18" s="1699"/>
    </row>
    <row r="19" spans="2:17" ht="14.1" customHeight="1">
      <c r="B19" s="1392"/>
      <c r="C19" s="675" t="str">
        <f>Texte!A2894</f>
        <v>Spezialkulturen ohne Rebbau in Hanglagen und Terrassenbau</v>
      </c>
      <c r="D19" s="675"/>
      <c r="E19" s="675"/>
      <c r="F19" s="675"/>
      <c r="G19" s="675"/>
      <c r="J19" s="1393">
        <f>SUM(Fläche!SpezialkulturenDZ)-J23</f>
        <v>45.884499999999996</v>
      </c>
      <c r="K19" s="1325" t="s">
        <v>1045</v>
      </c>
      <c r="L19" s="1437">
        <f>D_Klick!SAK_Spez</f>
        <v>0.32300000000000001</v>
      </c>
      <c r="M19" s="1325" t="s">
        <v>4983</v>
      </c>
      <c r="N19" s="1437">
        <f>J19*L19</f>
        <v>14.820693499999999</v>
      </c>
      <c r="O19" s="1347"/>
      <c r="Q19" s="1699"/>
    </row>
    <row r="20" spans="2:17" ht="3.2" customHeight="1">
      <c r="B20" s="1392"/>
      <c r="C20" s="675"/>
      <c r="D20" s="675"/>
      <c r="E20" s="675"/>
      <c r="F20" s="675"/>
      <c r="G20" s="675"/>
      <c r="J20" s="1394"/>
      <c r="K20" s="1325"/>
      <c r="L20" s="2"/>
      <c r="M20" s="1325"/>
      <c r="N20" s="1394"/>
      <c r="O20" s="1347"/>
      <c r="Q20" s="1699"/>
    </row>
    <row r="21" spans="2:17" ht="14.1" customHeight="1">
      <c r="B21" s="1392"/>
      <c r="C21" s="675" t="str">
        <f>Texte!A2893</f>
        <v xml:space="preserve">  Zuschlag für Biolandbau</v>
      </c>
      <c r="D21" s="675"/>
      <c r="E21" s="675"/>
      <c r="F21" s="675"/>
      <c r="G21" s="675"/>
      <c r="J21" s="1393">
        <f>IF(D_Klick!SAK_BioZschlg=0.2,J19,0)</f>
        <v>45.884499999999996</v>
      </c>
      <c r="K21" s="1325" t="s">
        <v>1045</v>
      </c>
      <c r="L21" s="1437">
        <f>D_Klick!SAK_Spez * D_Klick!SAK_BioProz</f>
        <v>6.4600000000000005E-2</v>
      </c>
      <c r="M21" s="1325" t="s">
        <v>4983</v>
      </c>
      <c r="N21" s="1437">
        <f>J21*L21</f>
        <v>2.9641386999999999</v>
      </c>
      <c r="O21" s="1347"/>
      <c r="Q21" s="1699"/>
    </row>
    <row r="22" spans="2:17" ht="3.2" customHeight="1">
      <c r="B22" s="1392"/>
      <c r="C22" s="675"/>
      <c r="D22" s="675"/>
      <c r="E22" s="675"/>
      <c r="F22" s="675"/>
      <c r="G22" s="675"/>
      <c r="J22" s="1394"/>
      <c r="K22" s="1325"/>
      <c r="L22" s="2"/>
      <c r="M22" s="1325"/>
      <c r="N22" s="1394"/>
      <c r="O22" s="1347"/>
      <c r="Q22" s="1699"/>
    </row>
    <row r="23" spans="2:17" ht="14.1" customHeight="1">
      <c r="B23" s="1392"/>
      <c r="C23" s="675" t="str">
        <f>Texte!A2895</f>
        <v>Rebfläche in Steil- und Terrassenlagen</v>
      </c>
      <c r="D23" s="675"/>
      <c r="E23" s="675"/>
      <c r="F23" s="675"/>
      <c r="G23" s="675"/>
      <c r="J23" s="1393">
        <f>SUM(KLB!K36:K38)</f>
        <v>0</v>
      </c>
      <c r="K23" s="1325" t="s">
        <v>1045</v>
      </c>
      <c r="L23" s="1437">
        <f>D_Klick!SAK_Reb</f>
        <v>1.077</v>
      </c>
      <c r="M23" s="1325" t="s">
        <v>4983</v>
      </c>
      <c r="N23" s="1437">
        <f>J23*L23</f>
        <v>0</v>
      </c>
      <c r="O23" s="1347"/>
      <c r="Q23" s="1699"/>
    </row>
    <row r="24" spans="2:17" ht="3.2" customHeight="1">
      <c r="B24" s="1392"/>
      <c r="C24" s="675"/>
      <c r="D24" s="675"/>
      <c r="E24" s="675"/>
      <c r="F24" s="675"/>
      <c r="G24" s="675"/>
      <c r="J24" s="1394"/>
      <c r="K24" s="1325"/>
      <c r="L24" s="2"/>
      <c r="M24" s="1325"/>
      <c r="N24" s="1394"/>
      <c r="O24" s="1347"/>
      <c r="Q24" s="1699"/>
    </row>
    <row r="25" spans="2:17" ht="14.1" customHeight="1">
      <c r="B25" s="1392"/>
      <c r="C25" s="675" t="str">
        <f>Texte!A2893</f>
        <v xml:space="preserve">  Zuschlag für Biolandbau</v>
      </c>
      <c r="D25" s="675"/>
      <c r="E25" s="675"/>
      <c r="F25" s="675"/>
      <c r="G25" s="675"/>
      <c r="J25" s="1393">
        <f>IF(D_Klick!SAK_BioZschlg=0.2,J23,0)</f>
        <v>0</v>
      </c>
      <c r="K25" s="1325" t="s">
        <v>1045</v>
      </c>
      <c r="L25" s="1437">
        <f>D_Klick!SAK_Reb * D_Klick!SAK_BioProz</f>
        <v>0.21540000000000001</v>
      </c>
      <c r="M25" s="1325" t="s">
        <v>4983</v>
      </c>
      <c r="N25" s="1437">
        <f>J25*L25</f>
        <v>0</v>
      </c>
      <c r="O25" s="1347"/>
      <c r="Q25" s="1699"/>
    </row>
    <row r="26" spans="2:17" ht="3.2" customHeight="1">
      <c r="B26" s="1392"/>
      <c r="C26" s="675"/>
      <c r="D26" s="675"/>
      <c r="E26" s="675"/>
      <c r="F26" s="675"/>
      <c r="G26" s="675"/>
      <c r="J26" s="1394"/>
      <c r="K26" s="1325"/>
      <c r="L26" s="2"/>
      <c r="M26" s="1325"/>
      <c r="N26" s="1394"/>
      <c r="O26" s="1347"/>
      <c r="Q26" s="1699"/>
    </row>
    <row r="27" spans="2:17" ht="14.1" customHeight="1">
      <c r="B27" s="1337"/>
      <c r="C27" s="675" t="str">
        <f>Texte!A2896</f>
        <v>Flächen in Hanglage, 18 - 35 %</v>
      </c>
      <c r="D27" s="675"/>
      <c r="E27" s="675"/>
      <c r="F27" s="675"/>
      <c r="G27" s="675"/>
      <c r="J27" s="1393">
        <f>KLB!K23</f>
        <v>0</v>
      </c>
      <c r="K27" s="1325" t="s">
        <v>1045</v>
      </c>
      <c r="L27" s="1437">
        <f>D_Klick!SAK_Hang</f>
        <v>1.6E-2</v>
      </c>
      <c r="M27" s="1325" t="s">
        <v>4983</v>
      </c>
      <c r="N27" s="1437">
        <f>J27*L27</f>
        <v>0</v>
      </c>
      <c r="O27" s="1347"/>
      <c r="Q27" s="1699"/>
    </row>
    <row r="28" spans="2:17" ht="3.2" customHeight="1">
      <c r="B28" s="1337"/>
      <c r="C28" s="675"/>
      <c r="D28" s="675"/>
      <c r="E28" s="675"/>
      <c r="F28" s="675"/>
      <c r="G28" s="675"/>
      <c r="J28" s="1394"/>
      <c r="K28" s="1325"/>
      <c r="L28" s="2"/>
      <c r="M28" s="1325"/>
      <c r="N28" s="1394"/>
      <c r="O28" s="1347"/>
      <c r="Q28" s="1699"/>
    </row>
    <row r="29" spans="2:17" ht="14.1" customHeight="1">
      <c r="B29" s="1337"/>
      <c r="C29" s="675" t="str">
        <f>Texte!A2897</f>
        <v>Flächen in Hanglage, &gt; 35 - 50 %</v>
      </c>
      <c r="D29" s="675"/>
      <c r="E29" s="675"/>
      <c r="F29" s="675"/>
      <c r="G29" s="675"/>
      <c r="J29" s="1393">
        <f>KLB!K24</f>
        <v>0</v>
      </c>
      <c r="K29" s="1325" t="s">
        <v>1045</v>
      </c>
      <c r="L29" s="1437">
        <f>D_Klick!SAK_Steil</f>
        <v>2.7E-2</v>
      </c>
      <c r="M29" s="1325" t="s">
        <v>4983</v>
      </c>
      <c r="N29" s="1437">
        <f>J29*L29</f>
        <v>0</v>
      </c>
      <c r="O29" s="1347"/>
      <c r="Q29" s="1699"/>
    </row>
    <row r="30" spans="2:17" ht="3.2" customHeight="1">
      <c r="B30" s="1337"/>
      <c r="C30" s="675"/>
      <c r="D30" s="675"/>
      <c r="E30" s="675"/>
      <c r="F30" s="675"/>
      <c r="G30" s="675"/>
      <c r="J30" s="1394"/>
      <c r="K30" s="1325"/>
      <c r="L30" s="2"/>
      <c r="M30" s="1325"/>
      <c r="N30" s="1394"/>
      <c r="O30" s="1347"/>
      <c r="Q30" s="1699"/>
    </row>
    <row r="31" spans="2:17" ht="14.1" customHeight="1">
      <c r="B31" s="1337"/>
      <c r="C31" s="675" t="str">
        <f>Texte!A2900</f>
        <v>Flächen in Hanglage, &gt; 50 %</v>
      </c>
      <c r="D31" s="675"/>
      <c r="E31" s="675"/>
      <c r="F31" s="675"/>
      <c r="G31" s="675"/>
      <c r="J31" s="1393">
        <f>KLB!K25</f>
        <v>0</v>
      </c>
      <c r="K31" s="1325" t="s">
        <v>1045</v>
      </c>
      <c r="L31" s="1437">
        <f>D_Klick!SAK_Steilü50</f>
        <v>5.3999999999999999E-2</v>
      </c>
      <c r="M31" s="1325" t="s">
        <v>4983</v>
      </c>
      <c r="N31" s="1437">
        <f>J31*L31</f>
        <v>0</v>
      </c>
      <c r="O31" s="1347"/>
      <c r="Q31" s="1699"/>
    </row>
    <row r="32" spans="2:17" ht="3.2" customHeight="1">
      <c r="B32" s="1337"/>
      <c r="C32" s="675"/>
      <c r="D32" s="675"/>
      <c r="E32" s="675"/>
      <c r="F32" s="675"/>
      <c r="G32" s="675"/>
      <c r="J32" s="1394"/>
      <c r="K32" s="1325"/>
      <c r="L32" s="2"/>
      <c r="M32" s="1325"/>
      <c r="N32" s="1394"/>
      <c r="O32" s="1347"/>
      <c r="Q32" s="1699"/>
    </row>
    <row r="33" spans="2:17" ht="14.1" customHeight="1">
      <c r="B33" s="1337"/>
      <c r="C33" s="675" t="str">
        <f>Texte!A2901</f>
        <v>Milchkühe, Milchschafe und Milchziegen</v>
      </c>
      <c r="D33" s="675"/>
      <c r="E33" s="675"/>
      <c r="F33" s="675"/>
      <c r="G33" s="675"/>
      <c r="J33" s="1393">
        <f>Tierb!BW11+Tierb!I40+Tierb!I44</f>
        <v>55.35</v>
      </c>
      <c r="K33" s="1325" t="s">
        <v>1045</v>
      </c>
      <c r="L33" s="1437">
        <f>D_Klick!SAK_Milch</f>
        <v>3.9E-2</v>
      </c>
      <c r="M33" s="1325" t="s">
        <v>4983</v>
      </c>
      <c r="N33" s="1437">
        <f>J33*L33</f>
        <v>2.1586500000000002</v>
      </c>
      <c r="O33" s="1347"/>
      <c r="Q33" s="1699"/>
    </row>
    <row r="34" spans="2:17" ht="3.2" customHeight="1">
      <c r="B34" s="1337"/>
      <c r="C34" s="675"/>
      <c r="D34" s="675"/>
      <c r="E34" s="675"/>
      <c r="F34" s="675"/>
      <c r="G34" s="675"/>
      <c r="J34" s="1394"/>
      <c r="K34" s="1325"/>
      <c r="L34" s="2"/>
      <c r="M34" s="1325"/>
      <c r="N34" s="1394"/>
      <c r="O34" s="1347"/>
      <c r="Q34" s="1699"/>
    </row>
    <row r="35" spans="2:17" ht="14.1" customHeight="1">
      <c r="B35" s="1337"/>
      <c r="C35" s="679" t="str">
        <f>Texte!A2902</f>
        <v>Mastschweine, Remonten über 26 kg und abgesetzte Ferkel</v>
      </c>
      <c r="D35" s="679"/>
      <c r="E35" s="679"/>
      <c r="F35" s="675"/>
      <c r="G35" s="675"/>
      <c r="J35" s="1393">
        <f>Tierb!I65+Tierb!I69</f>
        <v>0</v>
      </c>
      <c r="K35" s="1325" t="s">
        <v>1045</v>
      </c>
      <c r="L35" s="1437">
        <f>D_Klick!SAK_Mast</f>
        <v>8.0000000000000002E-3</v>
      </c>
      <c r="M35" s="1325" t="s">
        <v>4983</v>
      </c>
      <c r="N35" s="1437">
        <f>J35*L35</f>
        <v>0</v>
      </c>
      <c r="O35" s="1347"/>
      <c r="Q35" s="1699"/>
    </row>
    <row r="36" spans="2:17" ht="3.2" customHeight="1">
      <c r="B36" s="1337"/>
      <c r="C36" s="675"/>
      <c r="D36" s="675"/>
      <c r="E36" s="675"/>
      <c r="F36" s="675"/>
      <c r="G36" s="675"/>
      <c r="J36" s="1394"/>
      <c r="K36" s="1325"/>
      <c r="L36" s="2"/>
      <c r="M36" s="1325"/>
      <c r="N36" s="1394"/>
      <c r="O36" s="1347"/>
      <c r="Q36" s="1699"/>
    </row>
    <row r="37" spans="2:17" ht="14.1" customHeight="1">
      <c r="B37" s="1337"/>
      <c r="C37" s="675" t="str">
        <f>Texte!A2903</f>
        <v>Zuchtschweine</v>
      </c>
      <c r="D37" s="675"/>
      <c r="E37" s="675"/>
      <c r="F37" s="675"/>
      <c r="G37" s="675"/>
      <c r="J37" s="1393">
        <f>Tierb!I64+Tierb!I66+Tierb!I67+Tierb!I68</f>
        <v>0</v>
      </c>
      <c r="K37" s="1325" t="s">
        <v>1045</v>
      </c>
      <c r="L37" s="1437">
        <f>D_Klick!SAK_Zucht</f>
        <v>3.2000000000000001E-2</v>
      </c>
      <c r="M37" s="1325" t="s">
        <v>4983</v>
      </c>
      <c r="N37" s="1437">
        <f>J37*L37</f>
        <v>0</v>
      </c>
      <c r="O37" s="1347"/>
      <c r="Q37" s="1699"/>
    </row>
    <row r="38" spans="2:17" ht="3.2" customHeight="1">
      <c r="B38" s="1337"/>
      <c r="C38" s="675"/>
      <c r="D38" s="675"/>
      <c r="E38" s="675"/>
      <c r="F38" s="675"/>
      <c r="G38" s="675"/>
      <c r="J38" s="1394"/>
      <c r="K38" s="1325"/>
      <c r="L38" s="2"/>
      <c r="M38" s="1325"/>
      <c r="N38" s="1394"/>
      <c r="O38" s="1347"/>
      <c r="Q38" s="1699"/>
    </row>
    <row r="39" spans="2:17" ht="14.1" customHeight="1">
      <c r="B39" s="1337"/>
      <c r="C39" s="675" t="str">
        <f>Texte!A2904</f>
        <v>Andere Nutztiere</v>
      </c>
      <c r="D39" s="675"/>
      <c r="E39" s="675"/>
      <c r="F39" s="675"/>
      <c r="G39" s="675"/>
      <c r="J39" s="1393">
        <f>SUM(Tierb!BW20,Tierb!I33:I38,Tierb!I41:I43,Tierb!I45:I49,Tierb!I52:I61,Tierb!I70:I71,Tierb!I73:I79)</f>
        <v>22.78</v>
      </c>
      <c r="K39" s="1325" t="s">
        <v>1045</v>
      </c>
      <c r="L39" s="1437">
        <f>D_Klick!SAK_übrTier</f>
        <v>2.7E-2</v>
      </c>
      <c r="M39" s="1325" t="s">
        <v>4983</v>
      </c>
      <c r="N39" s="1437">
        <f>J39*L39</f>
        <v>0.61506000000000005</v>
      </c>
      <c r="O39" s="1347"/>
      <c r="Q39" s="1699"/>
    </row>
    <row r="40" spans="2:17" ht="3.2" customHeight="1">
      <c r="B40" s="1337"/>
      <c r="C40" s="675"/>
      <c r="D40" s="675"/>
      <c r="E40" s="675"/>
      <c r="F40" s="675"/>
      <c r="G40" s="675"/>
      <c r="J40" s="30"/>
      <c r="K40" s="1325"/>
      <c r="L40" s="2"/>
      <c r="M40" s="1325"/>
      <c r="N40" s="1394"/>
      <c r="O40" s="1347"/>
      <c r="Q40" s="1699"/>
    </row>
    <row r="41" spans="2:17" ht="14.1" customHeight="1">
      <c r="B41" s="1337"/>
      <c r="C41" s="675" t="str">
        <f>Texte!A2905</f>
        <v>Hochstamm-Feldobstbäume</v>
      </c>
      <c r="D41" s="675"/>
      <c r="E41" s="675"/>
      <c r="F41" s="675"/>
      <c r="G41" s="675"/>
      <c r="H41" s="872" t="str">
        <f>Texte!A2906</f>
        <v>pro Baum</v>
      </c>
      <c r="J41" s="1436">
        <f>Fläche!N54</f>
        <v>0</v>
      </c>
      <c r="K41" s="1325" t="s">
        <v>1045</v>
      </c>
      <c r="L41" s="1437">
        <f>D_Klick!SAK_Hochst</f>
        <v>1E-3</v>
      </c>
      <c r="M41" s="1325" t="s">
        <v>4983</v>
      </c>
      <c r="N41" s="1437">
        <f>J41*L41</f>
        <v>0</v>
      </c>
      <c r="O41" s="1347"/>
      <c r="Q41" s="1699"/>
    </row>
    <row r="42" spans="2:17" ht="3.2" customHeight="1">
      <c r="B42" s="1337"/>
      <c r="C42" s="675"/>
      <c r="D42" s="675"/>
      <c r="E42" s="675"/>
      <c r="F42" s="675"/>
      <c r="G42" s="675"/>
      <c r="J42" s="675"/>
      <c r="K42" s="675"/>
      <c r="L42" s="675"/>
      <c r="M42" s="1325"/>
      <c r="N42" s="675"/>
      <c r="O42" s="1347"/>
    </row>
    <row r="43" spans="2:17" ht="14.1" customHeight="1">
      <c r="B43" s="1337"/>
      <c r="C43" s="535"/>
      <c r="D43" s="535"/>
      <c r="E43" s="535"/>
      <c r="F43" s="535"/>
      <c r="G43" s="675"/>
      <c r="H43" s="535"/>
      <c r="J43" s="1694"/>
      <c r="K43" s="1325" t="s">
        <v>1045</v>
      </c>
      <c r="L43" s="1947"/>
      <c r="M43" s="1325" t="s">
        <v>4983</v>
      </c>
      <c r="N43" s="1437">
        <f>J43*L43</f>
        <v>0</v>
      </c>
      <c r="O43" s="1347"/>
      <c r="Q43" s="1699"/>
    </row>
    <row r="44" spans="2:17" ht="4.7" customHeight="1">
      <c r="B44" s="1337"/>
      <c r="C44" s="675"/>
      <c r="D44" s="675"/>
      <c r="E44" s="675"/>
      <c r="F44" s="675"/>
      <c r="G44" s="675"/>
      <c r="J44" s="675"/>
      <c r="K44" s="675"/>
      <c r="L44" s="675"/>
      <c r="M44" s="1325"/>
      <c r="N44" s="675"/>
      <c r="O44" s="1347"/>
    </row>
    <row r="45" spans="2:17" ht="14.1" customHeight="1">
      <c r="B45" s="1337"/>
      <c r="C45" s="644" t="str">
        <f>Texte!A2907</f>
        <v>Total</v>
      </c>
      <c r="D45" s="675"/>
      <c r="E45" s="675"/>
      <c r="F45" s="675"/>
      <c r="G45" s="675"/>
      <c r="H45" s="874"/>
      <c r="I45" s="874"/>
      <c r="J45" s="874"/>
      <c r="K45" s="874"/>
      <c r="L45" s="1334" t="s">
        <v>2126</v>
      </c>
      <c r="M45" s="1325"/>
      <c r="N45" s="1438">
        <f>SUM(N15,N17,N19,N21,N23,N25,N27,N29,N31,N33,N35,N37,N39,N41,N43)</f>
        <v>22.974752039999998</v>
      </c>
      <c r="O45" s="1347"/>
    </row>
    <row r="46" spans="2:17" ht="4.7" customHeight="1">
      <c r="B46" s="1350"/>
      <c r="C46" s="1351"/>
      <c r="D46" s="1351"/>
      <c r="E46" s="1351"/>
      <c r="F46" s="1351"/>
      <c r="G46" s="1351"/>
      <c r="H46" s="1351"/>
      <c r="I46" s="1351"/>
      <c r="J46" s="1351"/>
      <c r="K46" s="1351"/>
      <c r="L46" s="1351"/>
      <c r="M46" s="1366"/>
      <c r="N46" s="1351"/>
      <c r="O46" s="1395"/>
    </row>
    <row r="47" spans="2:17" ht="12.75" customHeight="1">
      <c r="B47" s="675"/>
      <c r="C47" s="675"/>
      <c r="D47" s="675"/>
      <c r="E47" s="675"/>
      <c r="F47" s="675"/>
      <c r="G47" s="675"/>
      <c r="H47" s="675"/>
      <c r="I47" s="675"/>
      <c r="J47" s="675"/>
      <c r="K47" s="675"/>
      <c r="L47" s="675"/>
      <c r="M47" s="1325"/>
      <c r="N47" s="675"/>
      <c r="O47" s="675"/>
    </row>
    <row r="48" spans="2:17" ht="18">
      <c r="B48" s="685" t="str">
        <f>Texte!A2908</f>
        <v xml:space="preserve">SAK: Zuschläge gültig für Bodenrecht, Pachtrecht, Massnahmen im Bereich </v>
      </c>
      <c r="C48" s="874"/>
      <c r="D48" s="874"/>
      <c r="E48" s="874"/>
      <c r="F48" s="675"/>
      <c r="G48" s="675"/>
      <c r="H48" s="675"/>
      <c r="I48" s="1317"/>
      <c r="J48" s="1333"/>
      <c r="K48" s="675"/>
      <c r="L48" s="675"/>
      <c r="M48" s="1390"/>
      <c r="N48" s="1334"/>
      <c r="O48" s="675"/>
    </row>
    <row r="49" spans="2:16" ht="18">
      <c r="B49" s="685" t="str">
        <f>Texte!A2909</f>
        <v>der Raumplanung, Strukturverbesserungen und soziale Begleitmassnahmen</v>
      </c>
      <c r="C49" s="874"/>
      <c r="D49" s="874"/>
      <c r="E49" s="874"/>
      <c r="F49" s="675"/>
      <c r="G49" s="675"/>
      <c r="H49" s="675"/>
      <c r="I49" s="1317"/>
      <c r="J49" s="1333"/>
      <c r="K49" s="675"/>
      <c r="L49" s="675"/>
      <c r="M49" s="1390"/>
      <c r="N49" s="1334"/>
      <c r="O49" s="675"/>
    </row>
    <row r="50" spans="2:16" ht="3.2" customHeight="1">
      <c r="B50" s="685"/>
      <c r="C50" s="874"/>
      <c r="D50" s="874"/>
      <c r="E50" s="874"/>
      <c r="F50" s="675"/>
      <c r="G50" s="675"/>
      <c r="H50" s="675"/>
      <c r="I50" s="1317"/>
      <c r="J50" s="1333"/>
      <c r="K50" s="675"/>
      <c r="L50" s="675"/>
      <c r="M50" s="1390"/>
      <c r="N50" s="1334"/>
      <c r="O50" s="675"/>
    </row>
    <row r="51" spans="2:16" ht="3.2" customHeight="1">
      <c r="B51" s="1391"/>
      <c r="C51" s="1463"/>
      <c r="D51" s="1463"/>
      <c r="E51" s="1463"/>
      <c r="F51" s="1463"/>
      <c r="G51" s="1463"/>
      <c r="H51" s="1463"/>
      <c r="I51" s="1463"/>
      <c r="J51" s="1463"/>
      <c r="K51" s="1463"/>
      <c r="L51" s="1463"/>
      <c r="M51" s="1463"/>
      <c r="N51" s="1463"/>
      <c r="O51" s="1364"/>
    </row>
    <row r="52" spans="2:16" ht="14.1" customHeight="1">
      <c r="B52" s="1392"/>
      <c r="C52" s="679"/>
      <c r="D52" s="679"/>
      <c r="E52" s="679"/>
      <c r="F52" s="679"/>
      <c r="G52" s="679"/>
      <c r="H52" s="679" t="str">
        <f>Texte!A2910</f>
        <v>Einheit</v>
      </c>
      <c r="I52" s="679"/>
      <c r="J52" s="679" t="str">
        <f>Texte!A2911</f>
        <v>Anzahl Einheiten</v>
      </c>
      <c r="K52" s="679"/>
      <c r="L52" s="679" t="str">
        <f>Texte!A2912</f>
        <v>Ansatz / Einh.</v>
      </c>
      <c r="M52" s="679"/>
      <c r="N52" s="679" t="str">
        <f>Texte!A2913</f>
        <v>Standard - AK</v>
      </c>
      <c r="O52" s="1347"/>
    </row>
    <row r="53" spans="2:16" ht="3.2" customHeight="1">
      <c r="B53" s="1392"/>
      <c r="C53" s="675"/>
      <c r="D53" s="675"/>
      <c r="E53" s="675"/>
      <c r="F53" s="675"/>
      <c r="G53" s="675"/>
      <c r="J53" s="1325"/>
      <c r="K53" s="1317"/>
      <c r="L53" s="1325"/>
      <c r="M53" s="1325"/>
      <c r="N53" s="1325"/>
      <c r="O53" s="1347"/>
    </row>
    <row r="54" spans="2:16" ht="14.1" customHeight="1">
      <c r="B54" s="1392"/>
      <c r="C54" s="675" t="str">
        <f>Texte!A2919</f>
        <v>Übertrag Standard-Arbeitskräfte für Direktzahlungen</v>
      </c>
      <c r="D54" s="675"/>
      <c r="E54" s="675"/>
      <c r="F54" s="675"/>
      <c r="G54" s="675"/>
      <c r="J54" s="1325"/>
      <c r="K54" s="1317"/>
      <c r="L54" s="1325"/>
      <c r="M54" s="1325"/>
      <c r="N54" s="1438">
        <f>N45</f>
        <v>22.974752039999998</v>
      </c>
      <c r="O54" s="1347"/>
    </row>
    <row r="55" spans="2:16" ht="3.2" customHeight="1">
      <c r="B55" s="1392"/>
      <c r="C55" s="675"/>
      <c r="D55" s="675"/>
      <c r="E55" s="675"/>
      <c r="F55" s="675"/>
      <c r="G55" s="675"/>
      <c r="J55" s="1325"/>
      <c r="K55" s="1317"/>
      <c r="L55" s="1325"/>
      <c r="M55" s="1325"/>
      <c r="N55" s="1325"/>
      <c r="O55" s="1347"/>
    </row>
    <row r="56" spans="2:16" ht="14.1" customHeight="1">
      <c r="B56" s="1337"/>
      <c r="C56" s="675" t="str">
        <f>Texte!A2920</f>
        <v>Milchkühe auf selbstbewirtschaftetem Sömmerungsbetrieb</v>
      </c>
      <c r="D56" s="675"/>
      <c r="E56" s="675"/>
      <c r="F56" s="675"/>
      <c r="G56" s="675"/>
      <c r="H56" s="872" t="str">
        <f>Texte!A2914</f>
        <v>Normalstösse</v>
      </c>
      <c r="J56" s="1694"/>
      <c r="K56" s="1325" t="s">
        <v>1045</v>
      </c>
      <c r="L56" s="1437">
        <f>D_Klick!SAK_MKSö</f>
        <v>1.6E-2</v>
      </c>
      <c r="M56" s="1325" t="s">
        <v>4983</v>
      </c>
      <c r="N56" s="1437">
        <f>J56*L56</f>
        <v>0</v>
      </c>
      <c r="O56" s="1347"/>
    </row>
    <row r="57" spans="2:16" ht="3.2" customHeight="1">
      <c r="B57" s="1337"/>
      <c r="C57" s="675"/>
      <c r="D57" s="675"/>
      <c r="E57" s="675"/>
      <c r="F57" s="675"/>
      <c r="G57" s="675"/>
      <c r="J57" s="1394"/>
      <c r="K57" s="1325"/>
      <c r="L57" s="2"/>
      <c r="M57" s="1325"/>
      <c r="N57" s="1394"/>
      <c r="O57" s="1347"/>
    </row>
    <row r="58" spans="2:16" ht="14.1" customHeight="1">
      <c r="B58" s="1337"/>
      <c r="C58" s="675" t="str">
        <f>Texte!A2921</f>
        <v>Nutztiere auf selbstbewirtschaftetem Sömmerungsbetrieb</v>
      </c>
      <c r="D58" s="675"/>
      <c r="E58" s="675"/>
      <c r="F58" s="675"/>
      <c r="G58" s="675"/>
      <c r="H58" s="872" t="str">
        <f>Texte!A2914</f>
        <v>Normalstösse</v>
      </c>
      <c r="J58" s="1694"/>
      <c r="K58" s="1325" t="s">
        <v>1045</v>
      </c>
      <c r="L58" s="1437">
        <f>D_Klick!SAK_NTSö</f>
        <v>1.0999999999999999E-2</v>
      </c>
      <c r="M58" s="1325" t="s">
        <v>4983</v>
      </c>
      <c r="N58" s="1437">
        <f>J58*L58</f>
        <v>0</v>
      </c>
      <c r="O58" s="1347"/>
    </row>
    <row r="59" spans="2:16" ht="3.2" customHeight="1">
      <c r="B59" s="1392"/>
      <c r="C59" s="675"/>
      <c r="D59" s="675"/>
      <c r="E59" s="675"/>
      <c r="F59" s="675"/>
      <c r="G59" s="675"/>
      <c r="J59" s="1394"/>
      <c r="K59" s="1325"/>
      <c r="L59" s="2"/>
      <c r="M59" s="1325"/>
      <c r="N59" s="1394"/>
      <c r="O59" s="1347"/>
    </row>
    <row r="60" spans="2:16" ht="14.1" customHeight="1">
      <c r="B60" s="1337"/>
      <c r="C60" s="675" t="str">
        <f>Texte!A2922</f>
        <v>Kartoffeln</v>
      </c>
      <c r="D60" s="675"/>
      <c r="E60" s="675"/>
      <c r="F60" s="675"/>
      <c r="G60" s="675"/>
      <c r="H60" s="872" t="str">
        <f>Texte!A2915</f>
        <v>Hektaren</v>
      </c>
      <c r="J60" s="1393">
        <f>SUM(Fläche!Kartoffeln)</f>
        <v>14.182500000000001</v>
      </c>
      <c r="K60" s="1325" t="s">
        <v>1045</v>
      </c>
      <c r="L60" s="1437">
        <f>D_Klick!SAK_Kart</f>
        <v>3.9E-2</v>
      </c>
      <c r="M60" s="1325" t="s">
        <v>4983</v>
      </c>
      <c r="N60" s="1437">
        <f>J60*L60</f>
        <v>0.55311750000000004</v>
      </c>
      <c r="O60" s="1347"/>
    </row>
    <row r="61" spans="2:16" ht="3.2" customHeight="1">
      <c r="B61" s="1392"/>
      <c r="C61" s="675"/>
      <c r="D61" s="675"/>
      <c r="E61" s="675"/>
      <c r="F61" s="675"/>
      <c r="G61" s="675"/>
      <c r="J61" s="1394"/>
      <c r="K61" s="1325"/>
      <c r="L61" s="2"/>
      <c r="M61" s="1325"/>
      <c r="N61" s="1394"/>
      <c r="O61" s="1347"/>
    </row>
    <row r="62" spans="2:16" ht="14.1" customHeight="1">
      <c r="B62" s="1392"/>
      <c r="C62" s="675" t="str">
        <f>Texte!A2923</f>
        <v>Beeren, Heil- und Gewürzpflanzen</v>
      </c>
      <c r="D62" s="675"/>
      <c r="E62" s="675"/>
      <c r="F62" s="675"/>
      <c r="G62" s="675"/>
      <c r="H62" s="872" t="str">
        <f>Texte!A2915</f>
        <v>Hektaren</v>
      </c>
      <c r="J62" s="1393">
        <f>SUM(Fläche!BeerenGewürz)</f>
        <v>0.73450000000000004</v>
      </c>
      <c r="K62" s="1325" t="s">
        <v>1045</v>
      </c>
      <c r="L62" s="1437">
        <f>D_Klick!SAK_Beeren</f>
        <v>0.32300000000000001</v>
      </c>
      <c r="M62" s="1325" t="s">
        <v>4983</v>
      </c>
      <c r="N62" s="1437">
        <f>J62*L62</f>
        <v>0.23724350000000002</v>
      </c>
      <c r="O62" s="1347"/>
    </row>
    <row r="63" spans="2:16" ht="3.2" customHeight="1">
      <c r="B63" s="1392"/>
      <c r="C63" s="675"/>
      <c r="D63" s="675"/>
      <c r="E63" s="675"/>
      <c r="F63" s="675"/>
      <c r="G63" s="675"/>
      <c r="J63" s="1394"/>
      <c r="K63" s="1325"/>
      <c r="L63" s="2"/>
      <c r="M63" s="1325"/>
      <c r="N63" s="1394"/>
      <c r="O63" s="1347"/>
    </row>
    <row r="64" spans="2:16" ht="14.1" customHeight="1">
      <c r="B64" s="1392"/>
      <c r="C64" s="675" t="str">
        <f>Texte!A2924</f>
        <v>Rebbau mit eigener Kelterei</v>
      </c>
      <c r="D64" s="675"/>
      <c r="E64" s="675"/>
      <c r="F64" s="675"/>
      <c r="G64" s="675"/>
      <c r="H64" s="872" t="str">
        <f>Texte!A2915</f>
        <v>Hektaren</v>
      </c>
      <c r="J64" s="1393">
        <f>IF(P64=TRUE,SUM(Fläche!Reben),0)</f>
        <v>0</v>
      </c>
      <c r="K64" s="1325" t="s">
        <v>1045</v>
      </c>
      <c r="L64" s="1437">
        <f>D_Klick!SAK_Kelt</f>
        <v>0.32300000000000001</v>
      </c>
      <c r="M64" s="1325" t="s">
        <v>4983</v>
      </c>
      <c r="N64" s="1437">
        <f>J64*L64</f>
        <v>0</v>
      </c>
      <c r="O64" s="1347"/>
      <c r="P64" s="157" t="b">
        <v>0</v>
      </c>
    </row>
    <row r="65" spans="2:17" ht="3.2" customHeight="1">
      <c r="B65" s="1337"/>
      <c r="C65" s="675"/>
      <c r="D65" s="675"/>
      <c r="E65" s="675"/>
      <c r="F65" s="675"/>
      <c r="G65" s="675"/>
      <c r="J65" s="1394"/>
      <c r="K65" s="1325"/>
      <c r="L65" s="2"/>
      <c r="M65" s="1325"/>
      <c r="N65" s="1394"/>
      <c r="O65" s="1347"/>
    </row>
    <row r="66" spans="2:17" ht="14.1" customHeight="1">
      <c r="B66" s="1392"/>
      <c r="C66" s="675" t="str">
        <f>Texte!A2925</f>
        <v>Gewächshaus mit festen Fundamenten</v>
      </c>
      <c r="D66" s="675"/>
      <c r="E66" s="675"/>
      <c r="F66" s="675"/>
      <c r="G66" s="675"/>
      <c r="H66" s="872" t="str">
        <f>Texte!A2915</f>
        <v>Hektaren</v>
      </c>
      <c r="J66" s="1393">
        <f>Fläche!N33</f>
        <v>0</v>
      </c>
      <c r="K66" s="1325" t="s">
        <v>1045</v>
      </c>
      <c r="L66" s="1437">
        <f>D_Klick!SAK_GHaus</f>
        <v>0.96899999999999997</v>
      </c>
      <c r="M66" s="1325" t="s">
        <v>4983</v>
      </c>
      <c r="N66" s="1437">
        <f>J66*L66</f>
        <v>0</v>
      </c>
      <c r="O66" s="1347"/>
    </row>
    <row r="67" spans="2:17" ht="3.2" customHeight="1">
      <c r="B67" s="1392"/>
      <c r="C67" s="675"/>
      <c r="D67" s="675"/>
      <c r="E67" s="675"/>
      <c r="F67" s="675"/>
      <c r="G67" s="675"/>
      <c r="J67" s="1394"/>
      <c r="K67" s="1325"/>
      <c r="L67" s="2"/>
      <c r="M67" s="1325"/>
      <c r="N67" s="1394"/>
      <c r="O67" s="1347"/>
    </row>
    <row r="68" spans="2:17" ht="14.1" customHeight="1">
      <c r="B68" s="1392"/>
      <c r="C68" s="675" t="str">
        <f>Texte!A2926</f>
        <v>Hochtunnel oder Treibbeet</v>
      </c>
      <c r="D68" s="675"/>
      <c r="E68" s="675"/>
      <c r="F68" s="675"/>
      <c r="G68" s="675"/>
      <c r="H68" s="872" t="str">
        <f>Texte!A2915</f>
        <v>Hektaren</v>
      </c>
      <c r="J68" s="1393">
        <f>Fläche!N32</f>
        <v>1.1499999999999999</v>
      </c>
      <c r="K68" s="1325" t="s">
        <v>1045</v>
      </c>
      <c r="L68" s="1437">
        <f>D_Klick!SAK_Hochtunnel</f>
        <v>0.48499999999999999</v>
      </c>
      <c r="M68" s="1325" t="s">
        <v>4983</v>
      </c>
      <c r="N68" s="1437">
        <f>J68*L68</f>
        <v>0.55774999999999997</v>
      </c>
      <c r="O68" s="1347"/>
    </row>
    <row r="69" spans="2:17" ht="3.2" customHeight="1">
      <c r="B69" s="1392"/>
      <c r="C69" s="675"/>
      <c r="D69" s="675"/>
      <c r="E69" s="675"/>
      <c r="F69" s="675"/>
      <c r="G69" s="675"/>
      <c r="J69" s="1394"/>
      <c r="K69" s="1325"/>
      <c r="L69" s="2"/>
      <c r="M69" s="1325"/>
      <c r="N69" s="1394"/>
      <c r="O69" s="1347"/>
    </row>
    <row r="70" spans="2:17" ht="14.1" customHeight="1">
      <c r="B70" s="1337"/>
      <c r="C70" s="675" t="str">
        <f>Texte!A2927</f>
        <v>Pilzproduktion in Hochtunneln oder Gebäuden</v>
      </c>
      <c r="D70" s="675"/>
      <c r="E70" s="675"/>
      <c r="F70" s="675"/>
      <c r="G70" s="675"/>
      <c r="H70" s="872" t="str">
        <f>Texte!A2916</f>
        <v>Aren</v>
      </c>
      <c r="J70" s="1694"/>
      <c r="K70" s="1325" t="s">
        <v>1045</v>
      </c>
      <c r="L70" s="1437">
        <f>D_Klick!SAK_Pilz</f>
        <v>6.5000000000000002E-2</v>
      </c>
      <c r="M70" s="1325" t="s">
        <v>4983</v>
      </c>
      <c r="N70" s="1437">
        <f>J70*L70</f>
        <v>0</v>
      </c>
      <c r="O70" s="1347"/>
    </row>
    <row r="71" spans="2:17" ht="3.2" customHeight="1">
      <c r="B71" s="1392"/>
      <c r="K71" s="872" t="s">
        <v>1045</v>
      </c>
      <c r="M71" s="1432" t="s">
        <v>4983</v>
      </c>
      <c r="O71" s="1347"/>
    </row>
    <row r="72" spans="2:17" ht="14.1" customHeight="1">
      <c r="B72" s="1337"/>
      <c r="C72" s="675" t="str">
        <f>Texte!A2928</f>
        <v>Champignonproduktion in Gebäuden</v>
      </c>
      <c r="D72" s="675"/>
      <c r="E72" s="675"/>
      <c r="F72" s="675"/>
      <c r="G72" s="675"/>
      <c r="H72" s="872" t="str">
        <f>Texte!A2916</f>
        <v>Aren</v>
      </c>
      <c r="J72" s="1694"/>
      <c r="K72" s="1325" t="s">
        <v>1045</v>
      </c>
      <c r="L72" s="1437">
        <f>D_Klick!SAK_Champ</f>
        <v>0.26900000000000002</v>
      </c>
      <c r="M72" s="1325" t="s">
        <v>4983</v>
      </c>
      <c r="N72" s="1437">
        <f>J72*L72</f>
        <v>0</v>
      </c>
      <c r="O72" s="1347"/>
    </row>
    <row r="73" spans="2:17" ht="3.2" customHeight="1">
      <c r="B73" s="1392"/>
      <c r="O73" s="1347"/>
    </row>
    <row r="74" spans="2:17" ht="14.1" customHeight="1">
      <c r="B74" s="1337"/>
      <c r="C74" s="675" t="str">
        <f>Texte!A2929</f>
        <v>Brüsselerproduktion in Gebäuden</v>
      </c>
      <c r="D74" s="675"/>
      <c r="E74" s="675"/>
      <c r="F74" s="675"/>
      <c r="G74" s="675"/>
      <c r="H74" s="872" t="str">
        <f>Texte!A2916</f>
        <v>Aren</v>
      </c>
      <c r="J74" s="1694"/>
      <c r="K74" s="1325" t="s">
        <v>1045</v>
      </c>
      <c r="L74" s="1437">
        <f>D_Klick!SAK_Brüsseler</f>
        <v>0.26900000000000002</v>
      </c>
      <c r="M74" s="1325" t="s">
        <v>4983</v>
      </c>
      <c r="N74" s="1437">
        <f>J74*L74</f>
        <v>0</v>
      </c>
      <c r="O74" s="1347"/>
    </row>
    <row r="75" spans="2:17" ht="3.2" customHeight="1">
      <c r="B75" s="1337"/>
      <c r="C75" s="675"/>
      <c r="D75" s="675"/>
      <c r="E75" s="675"/>
      <c r="F75" s="675"/>
      <c r="G75" s="675"/>
      <c r="J75" s="1394"/>
      <c r="K75" s="1325"/>
      <c r="L75" s="2"/>
      <c r="M75" s="1325"/>
      <c r="N75" s="1394"/>
      <c r="O75" s="1347"/>
    </row>
    <row r="76" spans="2:17" ht="14.1" customHeight="1">
      <c r="B76" s="1337"/>
      <c r="C76" s="679" t="str">
        <f>Texte!A2930</f>
        <v>Sprossenproduktion in Gebäuden</v>
      </c>
      <c r="D76" s="679"/>
      <c r="E76" s="679"/>
      <c r="F76" s="675"/>
      <c r="G76" s="675"/>
      <c r="H76" s="872" t="str">
        <f>Texte!A2916</f>
        <v>Aren</v>
      </c>
      <c r="J76" s="1694"/>
      <c r="K76" s="1325" t="s">
        <v>1045</v>
      </c>
      <c r="L76" s="1437">
        <f>D_Klick!SAK_Sprossen</f>
        <v>1.077</v>
      </c>
      <c r="M76" s="1325" t="s">
        <v>4983</v>
      </c>
      <c r="N76" s="1437">
        <f>J76*L76</f>
        <v>0</v>
      </c>
      <c r="O76" s="1347"/>
    </row>
    <row r="77" spans="2:17" ht="3.2" customHeight="1">
      <c r="B77" s="1337"/>
      <c r="C77" s="675"/>
      <c r="D77" s="675"/>
      <c r="E77" s="675"/>
      <c r="F77" s="675"/>
      <c r="G77" s="675"/>
      <c r="J77" s="1394"/>
      <c r="K77" s="1325"/>
      <c r="L77" s="2"/>
      <c r="M77" s="1325"/>
      <c r="N77" s="1394"/>
      <c r="O77" s="1347"/>
    </row>
    <row r="78" spans="2:17" ht="14.1" customHeight="1">
      <c r="B78" s="1337"/>
      <c r="C78" s="675" t="str">
        <f>Texte!A2931</f>
        <v>Produzierender Gartenbau: Gewächshaus mit festen</v>
      </c>
      <c r="D78" s="675"/>
      <c r="E78" s="675"/>
      <c r="F78" s="675"/>
      <c r="G78" s="675"/>
      <c r="J78" s="1394"/>
      <c r="K78" s="1325"/>
      <c r="L78" s="2"/>
      <c r="M78" s="1325"/>
      <c r="N78" s="1394"/>
      <c r="O78" s="1347"/>
    </row>
    <row r="79" spans="2:17" ht="14.1" customHeight="1">
      <c r="B79" s="1337"/>
      <c r="C79" s="675" t="str">
        <f>Texte!A2932</f>
        <v>Fundamenten oder Hochtunnel für Pflanzen in Behältern</v>
      </c>
      <c r="D79" s="675"/>
      <c r="E79" s="675"/>
      <c r="F79" s="675"/>
      <c r="G79" s="675"/>
      <c r="H79" s="872" t="str">
        <f>Texte!A2915</f>
        <v>Hektaren</v>
      </c>
      <c r="J79" s="1694"/>
      <c r="K79" s="1325" t="s">
        <v>1045</v>
      </c>
      <c r="L79" s="1437">
        <f>D_Klick!SAK_ProdGarten</f>
        <v>2.585</v>
      </c>
      <c r="M79" s="1325" t="s">
        <v>4983</v>
      </c>
      <c r="N79" s="1437">
        <f>J79*L79</f>
        <v>0</v>
      </c>
      <c r="O79" s="1347"/>
      <c r="Q79"/>
    </row>
    <row r="80" spans="2:17" ht="3.2" customHeight="1">
      <c r="B80" s="1337"/>
      <c r="C80" s="675"/>
      <c r="D80" s="675"/>
      <c r="E80" s="675"/>
      <c r="F80" s="675"/>
      <c r="G80" s="675"/>
      <c r="J80" s="1394"/>
      <c r="K80" s="1325"/>
      <c r="L80" s="2"/>
      <c r="M80" s="1325"/>
      <c r="N80" s="1394"/>
      <c r="O80" s="1347"/>
      <c r="Q80"/>
    </row>
    <row r="81" spans="2:17" ht="14.1" customHeight="1">
      <c r="B81" s="1337"/>
      <c r="C81" s="675" t="str">
        <f>Texte!A2933</f>
        <v>Christbaumkulturen</v>
      </c>
      <c r="D81" s="675"/>
      <c r="E81" s="675"/>
      <c r="F81" s="675"/>
      <c r="G81" s="675"/>
      <c r="H81" s="872" t="str">
        <f>Texte!A2915</f>
        <v>Hektaren</v>
      </c>
      <c r="J81" s="1393">
        <f>SUM(Fläche!Christbaum)</f>
        <v>0</v>
      </c>
      <c r="K81" s="1325" t="s">
        <v>1045</v>
      </c>
      <c r="L81" s="1437">
        <f>D_Klick!SAK_Christ</f>
        <v>4.8000000000000001E-2</v>
      </c>
      <c r="M81" s="1325" t="s">
        <v>4983</v>
      </c>
      <c r="N81" s="1437">
        <f>J81*L81</f>
        <v>0</v>
      </c>
      <c r="O81" s="1347"/>
      <c r="Q81"/>
    </row>
    <row r="82" spans="2:17" ht="3.2" customHeight="1">
      <c r="B82" s="1337"/>
      <c r="C82" s="675"/>
      <c r="D82" s="675"/>
      <c r="E82" s="675"/>
      <c r="F82" s="675"/>
      <c r="G82" s="675"/>
      <c r="J82" s="30"/>
      <c r="K82" s="1325"/>
      <c r="L82" s="2"/>
      <c r="M82" s="1325"/>
      <c r="N82" s="1394"/>
      <c r="O82" s="1347"/>
      <c r="Q82"/>
    </row>
    <row r="83" spans="2:17" ht="14.1" customHeight="1">
      <c r="B83" s="1337"/>
      <c r="C83" s="675" t="str">
        <f>Texte!A2934</f>
        <v>Betriebseigener Wald</v>
      </c>
      <c r="D83" s="675"/>
      <c r="E83" s="675"/>
      <c r="F83" s="675"/>
      <c r="G83" s="675"/>
      <c r="H83" s="872" t="str">
        <f>Texte!A2915</f>
        <v>Hektaren</v>
      </c>
      <c r="J83" s="1393">
        <f>SUM(Fläche!Wald)</f>
        <v>0</v>
      </c>
      <c r="K83" s="1325" t="s">
        <v>1045</v>
      </c>
      <c r="L83" s="1437">
        <f>D_Klick!SAK_Wald</f>
        <v>1.2999999999999999E-2</v>
      </c>
      <c r="M83" s="1325" t="s">
        <v>4983</v>
      </c>
      <c r="N83" s="1437">
        <f>J83*L83</f>
        <v>0</v>
      </c>
      <c r="O83" s="1347"/>
      <c r="Q83"/>
    </row>
    <row r="84" spans="2:17" ht="3.2" customHeight="1">
      <c r="B84" s="1337"/>
      <c r="C84" s="675"/>
      <c r="D84" s="675"/>
      <c r="E84" s="675"/>
      <c r="F84" s="675"/>
      <c r="G84" s="675"/>
      <c r="J84" s="1394"/>
      <c r="K84" s="1325"/>
      <c r="L84" s="1697"/>
      <c r="M84" s="1325"/>
      <c r="N84" s="1698"/>
      <c r="O84" s="1347"/>
      <c r="Q84"/>
    </row>
    <row r="85" spans="2:17" ht="14.1" customHeight="1">
      <c r="B85" s="1337"/>
      <c r="C85" s="675" t="str">
        <f>Texte!A2935</f>
        <v xml:space="preserve">Aufbereitung, Lagerung und Verkauf </v>
      </c>
      <c r="D85" s="675"/>
      <c r="E85" s="675"/>
      <c r="F85" s="675"/>
      <c r="G85" s="675"/>
      <c r="H85" s="872" t="str">
        <f>IF(Allg!Erntejahr &gt; 2015,Texte!A2939,Texte!A2917)</f>
        <v>Rohleistung</v>
      </c>
      <c r="J85" s="1394"/>
      <c r="K85" s="1325"/>
      <c r="L85" s="1697"/>
      <c r="M85" s="1325"/>
      <c r="N85" s="1698"/>
      <c r="O85" s="1347"/>
      <c r="Q85"/>
    </row>
    <row r="86" spans="2:17" ht="14.1" customHeight="1">
      <c r="B86" s="1337"/>
      <c r="C86" s="675" t="str">
        <f>Texte!A2936</f>
        <v>selbstprodroduzierter landwirtschaftlicher Erzeugnisse</v>
      </c>
      <c r="D86" s="675"/>
      <c r="E86" s="675"/>
      <c r="F86" s="675"/>
      <c r="G86" s="675"/>
      <c r="H86" s="872" t="str">
        <f>IF(Allg!Erntejahr &gt; 2015,Texte!A2940,Texte!A2918)</f>
        <v>in CHF</v>
      </c>
      <c r="J86" s="1981"/>
      <c r="K86" s="1325" t="s">
        <v>1045</v>
      </c>
      <c r="L86" s="1980">
        <f>D_Klick!SAK_Selbstprod</f>
        <v>5.0000000000000004E-6</v>
      </c>
      <c r="M86" s="1325" t="s">
        <v>4983</v>
      </c>
      <c r="N86" s="1437">
        <f>J86*L86</f>
        <v>0</v>
      </c>
      <c r="O86" s="1347"/>
      <c r="Q86"/>
    </row>
    <row r="87" spans="2:17" ht="3.2" customHeight="1">
      <c r="B87" s="1337"/>
      <c r="C87" s="675"/>
      <c r="D87" s="675"/>
      <c r="E87" s="675"/>
      <c r="F87" s="675"/>
      <c r="G87" s="675"/>
      <c r="J87" s="1394"/>
      <c r="K87" s="1325"/>
      <c r="L87" s="1697"/>
      <c r="M87" s="1325"/>
      <c r="N87" s="1698"/>
      <c r="O87" s="1347"/>
      <c r="Q87"/>
    </row>
    <row r="88" spans="2:17" ht="14.1" customHeight="1">
      <c r="B88" s="1337"/>
      <c r="C88" s="675"/>
      <c r="D88" s="675"/>
      <c r="E88" s="675"/>
      <c r="F88" s="675"/>
      <c r="G88" s="675"/>
      <c r="H88" s="872" t="str">
        <f>IF(Allg!Erntejahr &gt; 2015,Texte!A2939,"")</f>
        <v>Rohleistung</v>
      </c>
      <c r="J88" s="1394"/>
      <c r="K88" s="1325"/>
      <c r="L88" s="1697"/>
      <c r="M88" s="1325"/>
      <c r="N88" s="1698"/>
      <c r="O88" s="1347"/>
      <c r="Q88"/>
    </row>
    <row r="89" spans="2:17" ht="14.1" customHeight="1">
      <c r="B89" s="1337"/>
      <c r="C89" s="675" t="str">
        <f>Texte!A2937 &amp; IF(Allg!Erntejahr &gt; 2015,"",Texte!A2938)</f>
        <v>Landwirtschaftsnahe Tätigkeiten</v>
      </c>
      <c r="D89" s="675"/>
      <c r="E89" s="675"/>
      <c r="F89" s="675"/>
      <c r="G89" s="675"/>
      <c r="H89" s="872" t="str">
        <f>IF(Allg!Erntejahr &gt; 2015,Texte!A2940,"")</f>
        <v>in CHF</v>
      </c>
      <c r="J89" s="1981"/>
      <c r="K89" s="1325" t="s">
        <v>1045</v>
      </c>
      <c r="L89" s="1980">
        <f>D_Klick!SAK_LWnah</f>
        <v>5.0000000000000004E-6</v>
      </c>
      <c r="M89" s="1325" t="s">
        <v>4983</v>
      </c>
      <c r="N89" s="1437">
        <f>MIN(J89*L89,0.4)</f>
        <v>0</v>
      </c>
      <c r="O89" s="1347"/>
      <c r="Q89"/>
    </row>
    <row r="90" spans="2:17" ht="3.2" customHeight="1">
      <c r="B90" s="1337"/>
      <c r="C90" s="675"/>
      <c r="D90" s="675"/>
      <c r="E90" s="675"/>
      <c r="F90" s="675"/>
      <c r="G90" s="675"/>
      <c r="J90" s="675"/>
      <c r="K90" s="675"/>
      <c r="L90" s="675"/>
      <c r="M90" s="1325"/>
      <c r="N90" s="675"/>
      <c r="O90" s="1347"/>
      <c r="Q90"/>
    </row>
    <row r="91" spans="2:17" ht="14.1" customHeight="1">
      <c r="B91" s="1337"/>
      <c r="C91" s="535"/>
      <c r="D91" s="535"/>
      <c r="E91" s="535"/>
      <c r="F91" s="535"/>
      <c r="G91" s="675"/>
      <c r="H91" s="535"/>
      <c r="J91" s="1694"/>
      <c r="K91" s="1325" t="s">
        <v>1045</v>
      </c>
      <c r="L91" s="1947"/>
      <c r="M91" s="1325" t="s">
        <v>4983</v>
      </c>
      <c r="N91" s="1437">
        <f>J91*L91</f>
        <v>0</v>
      </c>
      <c r="O91" s="1347"/>
      <c r="Q91"/>
    </row>
    <row r="92" spans="2:17" ht="4.7" customHeight="1">
      <c r="B92" s="1337"/>
      <c r="C92" s="675"/>
      <c r="D92" s="675"/>
      <c r="E92" s="675"/>
      <c r="F92" s="675"/>
      <c r="G92" s="675"/>
      <c r="J92" s="675"/>
      <c r="K92" s="675"/>
      <c r="L92" s="675"/>
      <c r="M92" s="1325"/>
      <c r="N92" s="675"/>
      <c r="O92" s="1347"/>
    </row>
    <row r="93" spans="2:17" ht="14.1" customHeight="1">
      <c r="B93" s="1337"/>
      <c r="C93" s="644" t="str">
        <f>Texte!A2941</f>
        <v>Gesamttotal SAK, inklusive Zuschläge</v>
      </c>
      <c r="D93" s="675"/>
      <c r="E93" s="675"/>
      <c r="F93" s="675"/>
      <c r="G93" s="675"/>
      <c r="H93" s="874"/>
      <c r="I93" s="874"/>
      <c r="J93" s="874"/>
      <c r="K93" s="874"/>
      <c r="L93" s="1334"/>
      <c r="M93" s="1325"/>
      <c r="N93" s="1438">
        <f>SUM(N54,N56,N58,N60,N62,N64,N66,N68,N70,N72,N74,N76,N79,N81,N83,N86,N89,N91)</f>
        <v>24.322863039999998</v>
      </c>
      <c r="O93" s="1347"/>
    </row>
    <row r="94" spans="2:17" ht="4.7" customHeight="1">
      <c r="B94" s="1350"/>
      <c r="C94" s="1351"/>
      <c r="D94" s="1351"/>
      <c r="E94" s="1351"/>
      <c r="F94" s="1351"/>
      <c r="G94" s="1351"/>
      <c r="H94" s="1351"/>
      <c r="I94" s="1351"/>
      <c r="J94" s="1351"/>
      <c r="K94" s="1351"/>
      <c r="L94" s="1351"/>
      <c r="M94" s="1366"/>
      <c r="N94" s="1351"/>
      <c r="O94" s="1395"/>
    </row>
    <row r="95" spans="2:17" ht="6" customHeight="1">
      <c r="B95" s="1464"/>
      <c r="D95" s="1903"/>
      <c r="E95" s="1903"/>
      <c r="F95" s="1903"/>
      <c r="G95" s="1903"/>
      <c r="H95" s="1903"/>
      <c r="I95" s="1903"/>
      <c r="J95" s="1903"/>
      <c r="K95" s="1903"/>
      <c r="L95" s="1903"/>
      <c r="M95" s="1903"/>
      <c r="N95" s="1903"/>
      <c r="O95" s="1903"/>
      <c r="P95"/>
      <c r="Q95"/>
    </row>
    <row r="96" spans="2:17" ht="12.75" customHeight="1">
      <c r="B96" s="1465" t="str">
        <f>Texte!A20</f>
        <v>Stand der Bestimmungen gültig ab 1.1.2025 oder 1.1.2026 oder 1.1.2027, gemäss den vorgeschlagenen Verordnungen des</v>
      </c>
      <c r="D96" s="675"/>
      <c r="E96" s="675"/>
      <c r="F96" s="675"/>
      <c r="G96" s="675"/>
      <c r="H96" s="675"/>
      <c r="I96" s="675"/>
      <c r="J96" s="675"/>
      <c r="K96" s="675"/>
      <c r="L96" s="675"/>
      <c r="M96" s="675"/>
      <c r="N96" s="675"/>
      <c r="O96" s="675"/>
      <c r="P96"/>
      <c r="Q96"/>
    </row>
    <row r="97" spans="2:17" ht="12.75" customHeight="1">
      <c r="B97" s="1465" t="str">
        <f>Texte!A18</f>
        <v xml:space="preserve">Bundesrates vor der Wintersession. Die Berechnung erfolgt für das im Blatt "Allg" eingestellte Jahr. </v>
      </c>
      <c r="D97" s="675"/>
      <c r="E97" s="675"/>
      <c r="F97" s="675"/>
      <c r="G97" s="675"/>
      <c r="H97" s="675"/>
      <c r="I97" s="675"/>
      <c r="J97" s="675"/>
      <c r="K97" s="675"/>
      <c r="L97" s="675"/>
      <c r="M97" s="675"/>
      <c r="N97" s="675"/>
      <c r="O97" s="675"/>
      <c r="P97"/>
      <c r="Q97"/>
    </row>
    <row r="98" spans="2:17" s="1399" customFormat="1" ht="12.75" customHeight="1">
      <c r="B98" s="1465" t="str">
        <f>Texte!A22</f>
        <v>AGRIDEA lehnt jede Haftung und Gewährleistung ab, die aus Berechnungen mit diesem Instrument abgeleitet werden.</v>
      </c>
      <c r="P98" s="57"/>
      <c r="Q98" s="57"/>
    </row>
  </sheetData>
  <sheetProtection algorithmName="SHA-512" hashValue="FldtYVwLbKTTMbyg13RCgDOsljicGmfKdp8nE1Muisjs4b15Ub5hs4Zw6divVRAuTVoouF8yBGBLfy7AFBmWjA==" saltValue="B1b+/PnorZAHdjBny8oJ9A==" spinCount="100000" sheet="1" objects="1" scenarios="1"/>
  <phoneticPr fontId="65" type="noConversion"/>
  <printOptions horizontalCentered="1"/>
  <pageMargins left="0.51181102362204722" right="0.31496062992125984" top="0.62992125984251968" bottom="0.59055118110236227" header="0.31496062992125984" footer="0.31496062992125984"/>
  <pageSetup paperSize="9" scale="86"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2101" r:id="rId4" name="chk_Rebbau">
              <controlPr defaultSize="0" autoFill="0" autoLine="0" autoPict="0">
                <anchor moveWithCells="1">
                  <from>
                    <xdr:col>5</xdr:col>
                    <xdr:colOff>504825</xdr:colOff>
                    <xdr:row>62</xdr:row>
                    <xdr:rowOff>19050</xdr:rowOff>
                  </from>
                  <to>
                    <xdr:col>6</xdr:col>
                    <xdr:colOff>76200</xdr:colOff>
                    <xdr:row>65</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8">
    <tabColor indexed="27"/>
    <pageSetUpPr fitToPage="1"/>
  </sheetPr>
  <dimension ref="A1:S55"/>
  <sheetViews>
    <sheetView showGridLines="0" showRowColHeaders="0" showZeros="0" workbookViewId="0">
      <selection activeCell="H8" sqref="H8"/>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23.7109375" style="872" customWidth="1"/>
    <col min="4" max="4" width="10.7109375" style="872" customWidth="1"/>
    <col min="5" max="5" width="8.140625" style="872" customWidth="1"/>
    <col min="6" max="6" width="11" style="872" customWidth="1"/>
    <col min="7" max="7" width="1.85546875" style="872" customWidth="1"/>
    <col min="8" max="8" width="11.42578125" style="872"/>
    <col min="9" max="9" width="1.7109375" style="872" customWidth="1"/>
    <col min="10" max="10" width="11.7109375" style="872" customWidth="1"/>
    <col min="11" max="11" width="2.5703125" style="872" customWidth="1"/>
    <col min="12" max="12" width="8.28515625" style="872" customWidth="1"/>
    <col min="13" max="13" width="4.42578125" style="1432" customWidth="1"/>
    <col min="14" max="14" width="12.85546875" style="872" customWidth="1"/>
    <col min="15" max="15" width="0.85546875" style="872" customWidth="1"/>
    <col min="16" max="16" width="11.42578125" style="872"/>
    <col min="17" max="17" width="11.42578125" style="2453" hidden="1" customWidth="1"/>
    <col min="18" max="18" width="24.140625" style="2453" hidden="1" customWidth="1"/>
    <col min="19" max="16384" width="11.42578125" style="872"/>
  </cols>
  <sheetData>
    <row r="1" spans="1:18" ht="42" customHeight="1">
      <c r="B1" s="685" t="str">
        <f>Q!NW_Tit</f>
        <v xml:space="preserve">                                   Nachweis</v>
      </c>
      <c r="C1" s="874"/>
      <c r="D1" s="1315"/>
      <c r="E1" s="874"/>
      <c r="F1" s="874"/>
      <c r="G1" s="874"/>
      <c r="H1" s="874"/>
      <c r="I1" s="874"/>
      <c r="J1" s="874"/>
      <c r="K1" s="874"/>
      <c r="L1" s="874"/>
      <c r="M1" s="1389"/>
      <c r="N1" s="20"/>
      <c r="O1" s="20" t="str">
        <f>Q!F51</f>
        <v>Grenzen</v>
      </c>
    </row>
    <row r="2" spans="1:18" s="1184" customFormat="1" ht="11.1" customHeight="1" thickBot="1">
      <c r="B2" s="1683"/>
      <c r="C2" s="1683"/>
      <c r="D2" s="1683"/>
      <c r="E2" s="1683"/>
      <c r="F2" s="1683"/>
      <c r="G2" s="1683"/>
      <c r="H2" s="1683"/>
      <c r="I2" s="1683"/>
      <c r="J2" s="1683"/>
      <c r="K2" s="1683"/>
      <c r="L2" s="1683"/>
      <c r="M2" s="1684"/>
      <c r="N2" s="1685"/>
      <c r="O2" s="687"/>
      <c r="Q2" s="2466"/>
      <c r="R2" s="2466"/>
    </row>
    <row r="3" spans="1:18" ht="21.95" customHeight="1">
      <c r="A3" s="874"/>
      <c r="B3" s="1870" t="str">
        <f>Texte!A13</f>
        <v>Betrieb:</v>
      </c>
      <c r="C3" s="689"/>
      <c r="D3" s="1873"/>
      <c r="E3" s="1859"/>
      <c r="F3" s="1859" t="str">
        <f>Allg!$C$9&amp;""</f>
        <v>Imhof &amp; Zaehner Betriebsgemeinschaft</v>
      </c>
      <c r="G3" s="1872"/>
      <c r="H3" s="1872" t="str">
        <f>Texte!A14</f>
        <v>Variante:</v>
      </c>
      <c r="I3" s="1433" t="str">
        <f>Allg!$G$7&amp;""</f>
        <v/>
      </c>
      <c r="J3" s="1433"/>
      <c r="K3" s="1873"/>
      <c r="L3" s="1873"/>
      <c r="M3" s="1863" t="str">
        <f>Texte!A15</f>
        <v>Jahr:</v>
      </c>
      <c r="N3" s="1859" t="str">
        <f>Allg!$G$6&amp;""</f>
        <v>2026</v>
      </c>
      <c r="O3" s="1873"/>
    </row>
    <row r="4" spans="1:18" ht="10.5" customHeight="1">
      <c r="A4" s="874"/>
      <c r="B4"/>
      <c r="C4"/>
      <c r="D4"/>
      <c r="E4"/>
      <c r="F4"/>
      <c r="G4"/>
      <c r="H4"/>
      <c r="I4"/>
      <c r="J4"/>
      <c r="K4"/>
      <c r="L4"/>
      <c r="M4"/>
      <c r="N4"/>
      <c r="O4"/>
    </row>
    <row r="5" spans="1:18" s="922" customFormat="1" ht="16.5" customHeight="1">
      <c r="A5" s="874"/>
      <c r="B5" s="1396" t="str">
        <f>Texte!A2943</f>
        <v>Berechnung der einkommens- und vermögensbedingten Reduktion der DZ</v>
      </c>
      <c r="C5" s="1397"/>
      <c r="D5" s="1397"/>
      <c r="E5" s="1397"/>
      <c r="F5" s="869"/>
      <c r="G5" s="869"/>
      <c r="H5" s="869"/>
      <c r="I5" s="869"/>
      <c r="J5" s="869"/>
      <c r="K5" s="869"/>
      <c r="L5" s="869"/>
      <c r="M5" s="372"/>
      <c r="N5" s="1398"/>
      <c r="O5" s="114"/>
      <c r="P5" s="57"/>
      <c r="Q5" s="2467"/>
      <c r="R5" s="2467"/>
    </row>
    <row r="6" spans="1:18" s="1184" customFormat="1" ht="7.15" customHeight="1">
      <c r="A6" s="1347"/>
      <c r="B6" s="680"/>
      <c r="C6" s="692"/>
      <c r="D6" s="414"/>
      <c r="E6" s="1400"/>
      <c r="F6" s="1401"/>
      <c r="G6" s="30"/>
      <c r="H6" s="30"/>
      <c r="I6" s="30"/>
      <c r="J6" s="30"/>
      <c r="K6" s="30"/>
      <c r="L6" s="30"/>
      <c r="M6" s="2"/>
      <c r="N6" s="552"/>
      <c r="O6" s="420"/>
      <c r="P6"/>
      <c r="Q6" s="2466"/>
      <c r="R6" s="2466"/>
    </row>
    <row r="7" spans="1:18" s="1184" customFormat="1" ht="17.100000000000001" customHeight="1">
      <c r="A7" s="1347"/>
      <c r="B7" s="680"/>
      <c r="C7" s="414" t="str">
        <f>Texte!A2944</f>
        <v>Einkommensabzug</v>
      </c>
      <c r="D7" s="414"/>
      <c r="E7" s="1400"/>
      <c r="F7" s="1401"/>
      <c r="G7" s="30"/>
      <c r="H7" s="30"/>
      <c r="I7" s="30"/>
      <c r="J7" s="30"/>
      <c r="K7" s="30"/>
      <c r="L7" s="30"/>
      <c r="M7" s="2"/>
      <c r="N7" s="552"/>
      <c r="O7" s="420"/>
      <c r="P7"/>
      <c r="Q7" s="2466"/>
      <c r="R7" s="2466"/>
    </row>
    <row r="8" spans="1:18" s="1184" customFormat="1" ht="17.100000000000001" customHeight="1">
      <c r="A8" s="1347"/>
      <c r="B8" s="680"/>
      <c r="C8" s="30" t="str">
        <f>Texte!A2945</f>
        <v>Steuerbares Einkommen (dir. Bundessteuer)</v>
      </c>
      <c r="D8" s="1403"/>
      <c r="E8" s="1404"/>
      <c r="F8" s="1405"/>
      <c r="G8" s="30"/>
      <c r="H8" s="1406"/>
      <c r="I8" s="30"/>
      <c r="J8" s="30"/>
      <c r="K8" s="30"/>
      <c r="L8" s="30"/>
      <c r="M8" s="2"/>
      <c r="N8" s="552"/>
      <c r="O8" s="420"/>
      <c r="P8"/>
      <c r="Q8" s="2466"/>
      <c r="R8" s="2466"/>
    </row>
    <row r="9" spans="1:18" s="1184" customFormat="1" ht="5.25" customHeight="1">
      <c r="A9" s="1347"/>
      <c r="B9" s="675"/>
      <c r="C9" s="30"/>
      <c r="D9" s="30"/>
      <c r="E9" s="30"/>
      <c r="F9" s="30"/>
      <c r="G9" s="30"/>
      <c r="H9" s="30"/>
      <c r="I9" s="30"/>
      <c r="J9" s="296"/>
      <c r="K9" s="2"/>
      <c r="L9" s="552"/>
      <c r="M9" s="2"/>
      <c r="N9" s="558"/>
      <c r="O9" s="420"/>
      <c r="P9"/>
      <c r="Q9" s="2466"/>
      <c r="R9" s="2466"/>
    </row>
    <row r="10" spans="1:18" s="1184" customFormat="1" ht="17.100000000000001" customHeight="1">
      <c r="A10" s="1347"/>
      <c r="B10" s="675"/>
      <c r="C10" s="1373" t="str">
        <f>Texte!A2946</f>
        <v>- Abzug pro verheirateter Betriebsleiter (CHF 50'000.-)</v>
      </c>
      <c r="D10" s="30"/>
      <c r="E10" s="30"/>
      <c r="F10" s="1403"/>
      <c r="G10" s="30"/>
      <c r="H10" s="1406">
        <f>IF(Allg!$H$9,D_Klick!Abzug_Eink,0)</f>
        <v>0</v>
      </c>
      <c r="I10" s="30"/>
      <c r="J10" s="30"/>
      <c r="K10" s="30"/>
      <c r="L10" s="30"/>
      <c r="M10" s="2"/>
      <c r="N10" s="558"/>
      <c r="O10" s="420"/>
      <c r="P10"/>
      <c r="Q10" s="2466"/>
      <c r="R10" s="2466"/>
    </row>
    <row r="11" spans="1:18" s="1184" customFormat="1" ht="5.25" customHeight="1">
      <c r="A11" s="1347"/>
      <c r="B11" s="675"/>
      <c r="C11" s="30"/>
      <c r="D11" s="30"/>
      <c r="E11" s="30"/>
      <c r="F11" s="30"/>
      <c r="G11" s="30"/>
      <c r="H11" s="30"/>
      <c r="I11" s="30"/>
      <c r="J11" s="296"/>
      <c r="K11" s="2"/>
      <c r="L11" s="552"/>
      <c r="M11" s="2"/>
      <c r="N11" s="558"/>
      <c r="O11" s="420"/>
      <c r="P11"/>
      <c r="Q11" s="2466"/>
      <c r="R11" s="2466"/>
    </row>
    <row r="12" spans="1:18" s="1184" customFormat="1" ht="16.5" customHeight="1">
      <c r="A12" s="1347"/>
      <c r="B12" s="675"/>
      <c r="C12" s="1373" t="str">
        <f>Texte!A2947</f>
        <v>= massgebendes Einkommen</v>
      </c>
      <c r="D12" s="30"/>
      <c r="E12" s="30"/>
      <c r="F12" s="1403">
        <v>0</v>
      </c>
      <c r="G12" s="30"/>
      <c r="H12" s="1407">
        <f>H8-H10</f>
        <v>0</v>
      </c>
      <c r="I12" s="30"/>
      <c r="J12" s="30"/>
      <c r="K12" s="30"/>
      <c r="L12" s="30"/>
      <c r="M12" s="2"/>
      <c r="N12" s="558"/>
      <c r="O12" s="420"/>
      <c r="P12"/>
      <c r="Q12" s="2466"/>
      <c r="R12" s="2466"/>
    </row>
    <row r="13" spans="1:18" s="1184" customFormat="1" ht="4.7" customHeight="1">
      <c r="A13" s="1347"/>
      <c r="B13" s="675"/>
      <c r="C13" s="30"/>
      <c r="D13" s="30"/>
      <c r="E13" s="30"/>
      <c r="F13" s="30"/>
      <c r="G13" s="30"/>
      <c r="H13" s="30"/>
      <c r="I13" s="30"/>
      <c r="J13" s="30"/>
      <c r="K13" s="30"/>
      <c r="L13" s="30"/>
      <c r="M13" s="2"/>
      <c r="N13" s="558"/>
      <c r="O13" s="420"/>
      <c r="P13"/>
      <c r="Q13" s="2466"/>
      <c r="R13" s="2466"/>
    </row>
    <row r="14" spans="1:18" s="1184" customFormat="1" ht="4.7" customHeight="1">
      <c r="A14" s="1347"/>
      <c r="B14" s="675"/>
      <c r="C14" s="30"/>
      <c r="D14" s="30"/>
      <c r="E14" s="30"/>
      <c r="F14" s="30"/>
      <c r="G14" s="30"/>
      <c r="H14" s="30"/>
      <c r="I14" s="30"/>
      <c r="J14" s="30"/>
      <c r="K14" s="30"/>
      <c r="L14" s="30"/>
      <c r="M14" s="2"/>
      <c r="N14" s="558"/>
      <c r="O14" s="420"/>
      <c r="P14"/>
      <c r="Q14" s="2466"/>
      <c r="R14" s="2466"/>
    </row>
    <row r="15" spans="1:18" s="1184" customFormat="1" ht="17.100000000000001" customHeight="1">
      <c r="A15" s="1347"/>
      <c r="B15" s="675"/>
      <c r="C15" s="30" t="str">
        <f>Texte!A2948</f>
        <v>Abzug für massgebendes Einkommen höher als 80'000</v>
      </c>
      <c r="D15" s="30"/>
      <c r="E15" s="30"/>
      <c r="F15" s="30"/>
      <c r="G15" s="196" t="s">
        <v>2123</v>
      </c>
      <c r="H15" s="1407">
        <f>IF(H12&gt;80000,(IF(H12&lt;124444,H12,124444)),0)</f>
        <v>0</v>
      </c>
      <c r="I15" s="30" t="s">
        <v>4818</v>
      </c>
      <c r="J15" s="550">
        <v>80000</v>
      </c>
      <c r="K15" s="2" t="s">
        <v>2127</v>
      </c>
      <c r="L15" s="1408">
        <v>0.2</v>
      </c>
      <c r="M15" s="2" t="s">
        <v>4983</v>
      </c>
      <c r="N15" s="557">
        <f>IF(H15=0,0,(H15-J15)*L15)</f>
        <v>0</v>
      </c>
      <c r="O15" s="420"/>
      <c r="P15"/>
      <c r="Q15" s="2466"/>
      <c r="R15" s="2466"/>
    </row>
    <row r="16" spans="1:18" s="1184" customFormat="1" ht="5.25" customHeight="1">
      <c r="A16" s="1347"/>
      <c r="B16" s="675"/>
      <c r="C16" s="30"/>
      <c r="D16" s="30"/>
      <c r="E16" s="30"/>
      <c r="F16" s="30"/>
      <c r="G16" s="30"/>
      <c r="H16" s="30"/>
      <c r="I16" s="30"/>
      <c r="J16" s="296"/>
      <c r="K16" s="2"/>
      <c r="L16" s="552"/>
      <c r="M16" s="2"/>
      <c r="N16" s="558"/>
      <c r="O16" s="420"/>
      <c r="P16"/>
      <c r="Q16" s="2466"/>
      <c r="R16" s="2466"/>
    </row>
    <row r="17" spans="1:18" s="1184" customFormat="1" ht="18.75" customHeight="1">
      <c r="A17" s="1347"/>
      <c r="B17" s="675"/>
      <c r="C17" s="414" t="str">
        <f>Texte!A2907</f>
        <v>Total</v>
      </c>
      <c r="D17" s="30"/>
      <c r="E17" s="30"/>
      <c r="F17" s="30"/>
      <c r="G17" s="30"/>
      <c r="H17" s="30"/>
      <c r="I17" s="30"/>
      <c r="J17" s="296"/>
      <c r="K17" s="2"/>
      <c r="L17" s="1410"/>
      <c r="M17" s="2" t="s">
        <v>4983</v>
      </c>
      <c r="N17" s="997">
        <f>N15</f>
        <v>0</v>
      </c>
      <c r="O17" s="592"/>
      <c r="P17"/>
      <c r="Q17" s="2466"/>
      <c r="R17" s="2466"/>
    </row>
    <row r="18" spans="1:18" s="1184" customFormat="1" ht="20.25" customHeight="1">
      <c r="A18" s="1347"/>
      <c r="B18" s="675"/>
      <c r="C18" s="414" t="str">
        <f>Texte!A2949</f>
        <v>Vermögensabzug</v>
      </c>
      <c r="D18" s="414"/>
      <c r="E18" s="1400"/>
      <c r="F18" s="30"/>
      <c r="G18" s="30"/>
      <c r="H18" s="30"/>
      <c r="I18" s="30"/>
      <c r="J18" s="30"/>
      <c r="K18" s="30"/>
      <c r="L18" s="30"/>
      <c r="M18" s="2"/>
      <c r="N18" s="558"/>
      <c r="O18" s="420"/>
      <c r="P18"/>
      <c r="Q18" s="2466"/>
      <c r="R18" s="2466"/>
    </row>
    <row r="19" spans="1:18" s="1184" customFormat="1" ht="17.100000000000001" customHeight="1">
      <c r="A19" s="1347"/>
      <c r="B19" s="675"/>
      <c r="C19" s="30" t="str">
        <f>Texte!A2950</f>
        <v>steuerbares Vermögen</v>
      </c>
      <c r="D19" s="1403"/>
      <c r="E19" s="1404"/>
      <c r="F19" s="1405"/>
      <c r="G19" s="30"/>
      <c r="H19" s="1406"/>
      <c r="I19" s="30"/>
      <c r="J19" s="30"/>
      <c r="K19" s="30"/>
      <c r="L19" s="30"/>
      <c r="M19" s="2"/>
      <c r="N19" s="558"/>
      <c r="O19" s="420"/>
      <c r="P19"/>
      <c r="Q19" s="2466"/>
      <c r="R19" s="2466"/>
    </row>
    <row r="20" spans="1:18" s="1184" customFormat="1" ht="4.7" customHeight="1">
      <c r="A20" s="1347"/>
      <c r="B20" s="675"/>
      <c r="C20" s="30"/>
      <c r="D20" s="30"/>
      <c r="E20" s="30"/>
      <c r="F20" s="30"/>
      <c r="G20" s="30"/>
      <c r="H20" s="30"/>
      <c r="I20" s="30"/>
      <c r="J20" s="30"/>
      <c r="K20" s="30"/>
      <c r="L20" s="30"/>
      <c r="M20" s="2"/>
      <c r="N20" s="558"/>
      <c r="O20" s="420"/>
      <c r="P20"/>
      <c r="Q20" s="2466"/>
      <c r="R20" s="2466"/>
    </row>
    <row r="21" spans="1:18" s="1184" customFormat="1" ht="17.100000000000001" customHeight="1">
      <c r="A21" s="1347"/>
      <c r="B21" s="675"/>
      <c r="C21" s="1373" t="str">
        <f>Texte!A2951</f>
        <v>- Abzug pro verheirateter Betriebsleiter (CHF 340'000.-)</v>
      </c>
      <c r="D21" s="30"/>
      <c r="E21" s="30"/>
      <c r="F21" s="1403"/>
      <c r="G21" s="30"/>
      <c r="H21" s="1406">
        <f>IF(Allg!$H$9,D_Klick!Abzug_Verm,0)</f>
        <v>0</v>
      </c>
      <c r="I21" s="30"/>
      <c r="J21" s="30"/>
      <c r="K21" s="30"/>
      <c r="L21" s="30"/>
      <c r="M21" s="2"/>
      <c r="N21" s="558"/>
      <c r="O21" s="420"/>
      <c r="P21"/>
      <c r="Q21" s="2466"/>
      <c r="R21" s="2466"/>
    </row>
    <row r="22" spans="1:18" s="1184" customFormat="1" ht="4.7" customHeight="1">
      <c r="A22" s="1347"/>
      <c r="B22" s="675"/>
      <c r="C22" s="30"/>
      <c r="D22" s="30"/>
      <c r="E22" s="30"/>
      <c r="F22" s="30"/>
      <c r="G22" s="30"/>
      <c r="H22" s="30"/>
      <c r="I22" s="30"/>
      <c r="J22" s="30"/>
      <c r="K22" s="30"/>
      <c r="L22" s="30"/>
      <c r="M22" s="2"/>
      <c r="N22" s="558"/>
      <c r="O22" s="420"/>
      <c r="P22"/>
      <c r="Q22" s="2466"/>
      <c r="R22" s="2466"/>
    </row>
    <row r="23" spans="1:18" s="1184" customFormat="1" ht="15.75" customHeight="1">
      <c r="A23" s="1347"/>
      <c r="B23" s="675"/>
      <c r="C23" s="1373" t="str">
        <f>Texte!A2952</f>
        <v>- Abzug pro SAK a)</v>
      </c>
      <c r="D23" s="1411">
        <f>SAK!N45</f>
        <v>22.974752039999998</v>
      </c>
      <c r="E23" s="2" t="str">
        <f>Texte!A2953</f>
        <v>SAK x</v>
      </c>
      <c r="F23" s="550">
        <f>D_Klick!Abzug_SAK</f>
        <v>270000</v>
      </c>
      <c r="G23" s="30" t="s">
        <v>4983</v>
      </c>
      <c r="H23" s="557">
        <f>D23*F23</f>
        <v>6203183.0507999994</v>
      </c>
      <c r="I23" s="30"/>
      <c r="J23" s="30"/>
      <c r="K23" s="30"/>
      <c r="L23" s="30"/>
      <c r="M23" s="2"/>
      <c r="N23" s="558"/>
      <c r="O23" s="420"/>
      <c r="P23"/>
      <c r="Q23" s="2466"/>
      <c r="R23" s="2466"/>
    </row>
    <row r="24" spans="1:18" s="1184" customFormat="1" ht="6.75" customHeight="1">
      <c r="A24" s="1347"/>
      <c r="B24" s="675"/>
      <c r="C24" s="30"/>
      <c r="D24" s="1403"/>
      <c r="E24" s="2"/>
      <c r="F24" s="552"/>
      <c r="G24" s="30"/>
      <c r="H24" s="1409"/>
      <c r="I24" s="30"/>
      <c r="J24" s="30"/>
      <c r="K24" s="30"/>
      <c r="L24" s="30"/>
      <c r="M24" s="2"/>
      <c r="N24" s="558"/>
      <c r="O24" s="420"/>
      <c r="P24"/>
      <c r="Q24" s="2466"/>
      <c r="R24" s="2466"/>
    </row>
    <row r="25" spans="1:18" s="1184" customFormat="1" ht="16.5" customHeight="1">
      <c r="A25" s="1347"/>
      <c r="B25" s="675"/>
      <c r="C25" s="1373" t="str">
        <f>Texte!A2954</f>
        <v>= massgebendes Vermögen</v>
      </c>
      <c r="D25" s="30"/>
      <c r="E25" s="30"/>
      <c r="F25" s="1403">
        <v>0</v>
      </c>
      <c r="G25" s="30"/>
      <c r="H25" s="1407">
        <f>IF((H19-H21-H23)&gt;0,H19-H21-H23,0)</f>
        <v>0</v>
      </c>
      <c r="I25" s="30"/>
      <c r="J25" s="30"/>
      <c r="K25" s="30"/>
      <c r="L25" s="30"/>
      <c r="M25" s="2"/>
      <c r="N25" s="558"/>
      <c r="O25" s="420"/>
      <c r="P25"/>
      <c r="Q25" s="2466"/>
      <c r="R25" s="2466"/>
    </row>
    <row r="26" spans="1:18" s="1184" customFormat="1" ht="4.7" customHeight="1">
      <c r="A26" s="1347"/>
      <c r="B26" s="675"/>
      <c r="C26" s="30"/>
      <c r="D26" s="30"/>
      <c r="E26" s="30"/>
      <c r="F26" s="30"/>
      <c r="G26" s="30"/>
      <c r="H26" s="30"/>
      <c r="I26" s="30"/>
      <c r="J26" s="30"/>
      <c r="K26" s="30"/>
      <c r="L26" s="30"/>
      <c r="M26" s="2"/>
      <c r="N26" s="558"/>
      <c r="O26" s="420"/>
      <c r="P26"/>
      <c r="Q26" s="2466"/>
      <c r="R26" s="2466"/>
    </row>
    <row r="27" spans="1:18" customFormat="1" ht="17.100000000000001" customHeight="1">
      <c r="A27" s="1347"/>
      <c r="B27" s="675"/>
      <c r="C27" s="43" t="str">
        <f>Texte!A2955</f>
        <v>Abzug für massgebendes Vermögen</v>
      </c>
      <c r="G27" s="692"/>
      <c r="H27" s="692"/>
      <c r="I27" s="692"/>
      <c r="J27" s="692"/>
      <c r="K27" s="692"/>
      <c r="L27" s="692"/>
      <c r="M27" s="692"/>
      <c r="N27" s="1351"/>
      <c r="O27" s="420"/>
      <c r="Q27" s="2468"/>
      <c r="R27" s="2468"/>
    </row>
    <row r="28" spans="1:18" customFormat="1" ht="17.100000000000001" customHeight="1">
      <c r="A28" s="1347"/>
      <c r="B28" s="675"/>
      <c r="C28" s="414" t="str">
        <f>Texte!A2956</f>
        <v>zwischen 800'000 und 1'000'000:</v>
      </c>
      <c r="G28" s="360" t="s">
        <v>2123</v>
      </c>
      <c r="H28" s="1407">
        <f>IF(H25&gt;800000,IF(H25&lt;=1000000,H25,0),0)</f>
        <v>0</v>
      </c>
      <c r="I28" s="30" t="s">
        <v>4818</v>
      </c>
      <c r="J28" s="1412">
        <v>800000</v>
      </c>
      <c r="K28" s="359" t="s">
        <v>2127</v>
      </c>
      <c r="L28" s="1413">
        <v>0.1</v>
      </c>
      <c r="M28" s="1414" t="s">
        <v>2128</v>
      </c>
      <c r="N28" s="997">
        <f>IF(H25&lt;800000,0,IF(H25&lt;=1000000,(H28-J28)*L28,0))</f>
        <v>0</v>
      </c>
      <c r="O28" s="420"/>
      <c r="Q28" s="2468"/>
      <c r="R28" s="2468"/>
    </row>
    <row r="29" spans="1:18" s="1184" customFormat="1" ht="17.100000000000001" customHeight="1">
      <c r="A29" s="1347"/>
      <c r="B29" s="675"/>
      <c r="C29" s="43" t="str">
        <f>Texte!A2957</f>
        <v>Abzug für massgebendes Vermögen &gt; 1 Mio.</v>
      </c>
      <c r="D29"/>
      <c r="E29"/>
      <c r="F29"/>
      <c r="G29" s="30"/>
      <c r="H29" s="30"/>
      <c r="I29" s="30"/>
      <c r="J29" s="296"/>
      <c r="K29" s="30"/>
      <c r="L29" s="552"/>
      <c r="M29" s="2"/>
      <c r="N29" s="692"/>
      <c r="O29" s="420"/>
      <c r="P29"/>
      <c r="Q29" s="2466"/>
      <c r="R29" s="2466"/>
    </row>
    <row r="30" spans="1:18" s="1184" customFormat="1" ht="17.100000000000001" customHeight="1">
      <c r="A30" s="1347"/>
      <c r="B30" s="675"/>
      <c r="C30" s="414" t="str">
        <f>Texte!A2958</f>
        <v>entspricht 100 % des Übergangsbeitrags:</v>
      </c>
      <c r="D30"/>
      <c r="E30"/>
      <c r="F30"/>
      <c r="G30" s="30"/>
      <c r="H30" s="30"/>
      <c r="I30" s="30"/>
      <c r="J30" s="296"/>
      <c r="K30" s="30"/>
      <c r="L30" s="552"/>
      <c r="M30" s="2"/>
      <c r="N30" s="997">
        <f>IF(H25&lt;=1000000,0,ÜGB!O13)</f>
        <v>0</v>
      </c>
      <c r="O30" s="420"/>
      <c r="P30"/>
      <c r="Q30" s="2466"/>
      <c r="R30" s="2466"/>
    </row>
    <row r="31" spans="1:18" customFormat="1" ht="11.25" customHeight="1">
      <c r="A31" s="420"/>
      <c r="B31" s="869"/>
      <c r="C31" s="502"/>
      <c r="D31" s="869"/>
      <c r="E31" s="869"/>
      <c r="F31" s="869"/>
      <c r="G31" s="869"/>
      <c r="H31" s="1415"/>
      <c r="I31" s="869"/>
      <c r="J31" s="1398"/>
      <c r="K31" s="372"/>
      <c r="L31" s="1398"/>
      <c r="M31" s="372"/>
      <c r="N31" s="1314"/>
      <c r="O31" s="1416"/>
      <c r="Q31" s="2468"/>
      <c r="R31" s="2468"/>
    </row>
    <row r="32" spans="1:18" s="1399" customFormat="1" ht="17.100000000000001" customHeight="1">
      <c r="A32" s="1195"/>
      <c r="B32" s="30"/>
      <c r="C32" s="57"/>
      <c r="D32" s="57"/>
      <c r="E32" s="57"/>
      <c r="F32" s="57"/>
      <c r="G32" s="57"/>
      <c r="H32" s="57"/>
      <c r="I32" s="57"/>
      <c r="J32" s="213"/>
      <c r="K32" s="57"/>
      <c r="L32" s="561"/>
      <c r="M32" s="138"/>
      <c r="N32" s="742"/>
      <c r="O32" s="1417"/>
      <c r="P32" s="57"/>
      <c r="Q32" s="2467"/>
      <c r="R32" s="2467"/>
    </row>
    <row r="33" spans="1:18" s="1399" customFormat="1" ht="17.100000000000001" hidden="1" customHeight="1">
      <c r="A33" s="1195"/>
      <c r="B33" s="685" t="str">
        <f>Texte!A2959</f>
        <v>Begrenzung pro Standardarbeitskraft</v>
      </c>
      <c r="C33" s="57"/>
      <c r="D33" s="57"/>
      <c r="E33" s="57"/>
      <c r="F33" s="57"/>
      <c r="G33" s="57"/>
      <c r="H33" s="57"/>
      <c r="I33" s="57"/>
      <c r="J33" s="213"/>
      <c r="K33" s="57"/>
      <c r="L33" s="561"/>
      <c r="M33" s="138"/>
      <c r="N33" s="742"/>
      <c r="O33" s="1417"/>
      <c r="P33" s="57"/>
      <c r="Q33" s="2467"/>
      <c r="R33" s="2467"/>
    </row>
    <row r="34" spans="1:18" s="1399" customFormat="1" ht="7.15" hidden="1" customHeight="1">
      <c r="A34" s="1195"/>
      <c r="B34" s="1418"/>
      <c r="C34" s="545"/>
      <c r="D34" s="190"/>
      <c r="E34" s="190"/>
      <c r="F34" s="190"/>
      <c r="G34" s="190"/>
      <c r="H34" s="549"/>
      <c r="I34" s="190"/>
      <c r="J34" s="1419"/>
      <c r="K34" s="190"/>
      <c r="L34" s="1420"/>
      <c r="M34" s="1421"/>
      <c r="N34" s="1422"/>
      <c r="O34" s="1423"/>
      <c r="P34" s="57"/>
      <c r="Q34" s="2467"/>
      <c r="R34" s="2467"/>
    </row>
    <row r="35" spans="1:18" s="1399" customFormat="1" ht="17.100000000000001" hidden="1" customHeight="1">
      <c r="A35" s="1195"/>
      <c r="B35" s="1424"/>
      <c r="C35" s="414" t="str">
        <f>Texte!A2960</f>
        <v>von der Grenze pro SAK betroffene Direktzahlungen:</v>
      </c>
      <c r="D35" s="30"/>
      <c r="E35" s="30"/>
      <c r="F35" s="30"/>
      <c r="G35" s="30"/>
      <c r="H35" s="196" t="s">
        <v>680</v>
      </c>
      <c r="I35" s="30"/>
      <c r="J35" s="296"/>
      <c r="K35" s="30"/>
      <c r="L35" s="552"/>
      <c r="M35" s="2"/>
      <c r="N35" s="558" t="s">
        <v>680</v>
      </c>
      <c r="O35" s="643"/>
      <c r="P35" s="57"/>
      <c r="Q35" s="2467"/>
      <c r="R35" s="2467"/>
    </row>
    <row r="36" spans="1:18" s="1399" customFormat="1" ht="17.100000000000001" hidden="1" customHeight="1">
      <c r="A36" s="1195"/>
      <c r="B36" s="1424"/>
      <c r="C36" s="1" t="str">
        <f>Texte!A2961</f>
        <v>Zwischentotal Kulturlandschaftsbeiträge</v>
      </c>
      <c r="D36" s="30"/>
      <c r="E36" s="30"/>
      <c r="F36" s="30"/>
      <c r="G36" s="30"/>
      <c r="H36" s="30"/>
      <c r="I36" s="30"/>
      <c r="J36" s="1425"/>
      <c r="K36" s="30"/>
      <c r="L36" s="1426"/>
      <c r="M36" s="359"/>
      <c r="N36" s="1427"/>
      <c r="O36" s="643"/>
      <c r="P36" s="57"/>
      <c r="Q36" s="2467"/>
      <c r="R36" s="2467"/>
    </row>
    <row r="37" spans="1:18" s="1399" customFormat="1" ht="17.100000000000001" hidden="1" customHeight="1">
      <c r="A37" s="1195"/>
      <c r="B37" s="1424"/>
      <c r="C37" s="30" t="str">
        <f>Texte!A2962</f>
        <v>auf dem Ganzjahresbetrieb</v>
      </c>
      <c r="D37" s="30"/>
      <c r="E37" s="30"/>
      <c r="F37" s="30"/>
      <c r="G37" s="30"/>
      <c r="H37" s="1407">
        <f>KLB!O48</f>
        <v>0</v>
      </c>
      <c r="I37" s="30"/>
      <c r="J37" s="1425"/>
      <c r="K37" s="30"/>
      <c r="L37" s="1426"/>
      <c r="M37" s="359"/>
      <c r="N37" s="1427"/>
      <c r="O37" s="643"/>
      <c r="P37" s="57"/>
      <c r="Q37" s="2467"/>
      <c r="R37" s="2467"/>
    </row>
    <row r="38" spans="1:18" s="1399" customFormat="1" ht="17.100000000000001" hidden="1" customHeight="1">
      <c r="A38" s="1195"/>
      <c r="B38" s="1424"/>
      <c r="C38" s="30" t="str">
        <f>Texte!A2963</f>
        <v>Versorgungssicherheitsbeiträge</v>
      </c>
      <c r="D38" s="30"/>
      <c r="E38" s="30"/>
      <c r="F38" s="30"/>
      <c r="G38" s="30"/>
      <c r="H38" s="1407">
        <f>VSB!Q68</f>
        <v>80766.853863847995</v>
      </c>
      <c r="I38" s="30"/>
      <c r="J38" s="1425"/>
      <c r="K38" s="30"/>
      <c r="L38" s="1426"/>
      <c r="M38" s="359"/>
      <c r="N38" s="1427"/>
      <c r="O38" s="643"/>
      <c r="P38" s="57"/>
      <c r="Q38" s="2467"/>
      <c r="R38" s="2467"/>
    </row>
    <row r="39" spans="1:18" s="1399" customFormat="1" ht="17.100000000000001" hidden="1" customHeight="1">
      <c r="A39" s="1195"/>
      <c r="B39" s="1330"/>
      <c r="C39" s="30" t="str">
        <f>Texte!A2964</f>
        <v>Biodiversitätsbeiträge (ohne Vernetzungsbeitrag)</v>
      </c>
      <c r="D39" s="30"/>
      <c r="E39" s="30"/>
      <c r="F39" s="30"/>
      <c r="G39" s="30"/>
      <c r="H39" s="1407">
        <f>BDB!V54-BDB!T48</f>
        <v>24120.965999999993</v>
      </c>
      <c r="I39" s="30"/>
      <c r="J39" s="30"/>
      <c r="K39" s="30"/>
      <c r="L39" s="30"/>
      <c r="M39" s="2"/>
      <c r="N39" s="552"/>
      <c r="O39" s="548"/>
      <c r="P39" s="57"/>
      <c r="Q39" s="2467"/>
      <c r="R39" s="2467"/>
    </row>
    <row r="40" spans="1:18" s="1399" customFormat="1" ht="17.100000000000001" hidden="1" customHeight="1">
      <c r="A40" s="1195"/>
      <c r="B40" s="1330"/>
      <c r="C40" s="30" t="str">
        <f>Texte!A2965</f>
        <v>Produktionssystembeiträge</v>
      </c>
      <c r="D40" s="30"/>
      <c r="E40" s="30"/>
      <c r="F40" s="30"/>
      <c r="G40" s="30"/>
      <c r="H40" s="1407">
        <f>PSB!S128</f>
        <v>309938.72500000003</v>
      </c>
      <c r="I40" s="30"/>
      <c r="J40" s="30"/>
      <c r="K40" s="30"/>
      <c r="L40" s="30"/>
      <c r="M40" s="2"/>
      <c r="N40" s="552"/>
      <c r="O40" s="548"/>
      <c r="P40" s="57"/>
      <c r="Q40" s="2467"/>
      <c r="R40" s="2467"/>
    </row>
    <row r="41" spans="1:18" s="1399" customFormat="1" ht="17.100000000000001" hidden="1" customHeight="1">
      <c r="A41" s="1195"/>
      <c r="B41" s="1424"/>
      <c r="C41" s="414" t="str">
        <f>Texte!A2907</f>
        <v>Total</v>
      </c>
      <c r="D41" s="30"/>
      <c r="E41" s="30"/>
      <c r="F41" s="30"/>
      <c r="G41" s="30"/>
      <c r="H41" s="1428">
        <f>SUM(H36:H40)</f>
        <v>414826.54486384802</v>
      </c>
      <c r="I41" s="30"/>
      <c r="J41" s="224" t="s">
        <v>2129</v>
      </c>
      <c r="K41" s="30"/>
      <c r="L41" s="567"/>
      <c r="M41" s="2"/>
      <c r="N41" s="570"/>
      <c r="O41" s="548"/>
      <c r="P41" s="57"/>
      <c r="Q41" s="2467"/>
      <c r="R41" s="2467"/>
    </row>
    <row r="42" spans="1:18" s="1399" customFormat="1" ht="17.100000000000001" hidden="1" customHeight="1">
      <c r="A42" s="1195"/>
      <c r="B42" s="1424"/>
      <c r="C42" s="30"/>
      <c r="D42" s="30"/>
      <c r="E42" s="30"/>
      <c r="F42" s="30"/>
      <c r="G42" s="30"/>
      <c r="H42" s="30"/>
      <c r="I42" s="30"/>
      <c r="J42" s="296"/>
      <c r="K42" s="30"/>
      <c r="L42" s="552"/>
      <c r="M42" s="2"/>
      <c r="N42" s="558"/>
      <c r="O42" s="548"/>
      <c r="P42" s="57"/>
      <c r="Q42" s="2467"/>
      <c r="R42" s="2467"/>
    </row>
    <row r="43" spans="1:18" s="1195" customFormat="1" ht="17.100000000000001" hidden="1" customHeight="1">
      <c r="B43" s="1424"/>
      <c r="C43" s="414" t="str">
        <f>Texte!A2967</f>
        <v>Obergrenze der betroffenen Direktzahlungen:</v>
      </c>
      <c r="D43" s="30"/>
      <c r="E43" s="30"/>
      <c r="F43" s="30"/>
      <c r="G43" s="30"/>
      <c r="H43" s="30"/>
      <c r="I43" s="30"/>
      <c r="J43" s="30"/>
      <c r="K43" s="30"/>
      <c r="L43" s="30"/>
      <c r="M43" s="2"/>
      <c r="N43" s="30"/>
      <c r="O43" s="420"/>
      <c r="P43" s="919"/>
      <c r="Q43" s="2453"/>
      <c r="R43" s="2453"/>
    </row>
    <row r="44" spans="1:18" s="1195" customFormat="1" ht="17.100000000000001" hidden="1" customHeight="1">
      <c r="B44" s="1424"/>
      <c r="C44" s="196" t="s">
        <v>2126</v>
      </c>
      <c r="D44" s="2" t="str">
        <f>Texte!A2890</f>
        <v>SAK</v>
      </c>
      <c r="E44" s="224"/>
      <c r="F44" s="2" t="str">
        <f>Texte!A2968</f>
        <v>Grenze (CHF/ SAK)</v>
      </c>
      <c r="G44" s="30"/>
      <c r="H44" s="30"/>
      <c r="I44" s="30"/>
      <c r="J44" s="30"/>
      <c r="K44" s="30"/>
      <c r="L44" s="30"/>
      <c r="M44" s="2"/>
      <c r="N44" s="30"/>
      <c r="O44" s="420"/>
      <c r="P44" s="919"/>
      <c r="Q44" s="2453"/>
      <c r="R44" s="2453"/>
    </row>
    <row r="45" spans="1:18" s="1195" customFormat="1" ht="17.100000000000001" hidden="1" customHeight="1">
      <c r="B45" s="1424"/>
      <c r="C45" s="30"/>
      <c r="D45" s="1429">
        <f>SAK!N45</f>
        <v>22.974752039999998</v>
      </c>
      <c r="E45" s="2" t="s">
        <v>1045</v>
      </c>
      <c r="F45" s="550">
        <f>D_Klick!Grenze_SAK</f>
        <v>70000</v>
      </c>
      <c r="G45" s="30" t="s">
        <v>4983</v>
      </c>
      <c r="H45" s="1407">
        <f>D45*F45</f>
        <v>1608232.6427999998</v>
      </c>
      <c r="I45" s="30"/>
      <c r="J45" s="30" t="s">
        <v>2130</v>
      </c>
      <c r="K45" s="30"/>
      <c r="L45" s="30"/>
      <c r="M45" s="2"/>
      <c r="N45" s="30"/>
      <c r="O45" s="420"/>
      <c r="P45" s="919"/>
      <c r="Q45" s="2453"/>
      <c r="R45" s="2453"/>
    </row>
    <row r="46" spans="1:18" s="1195" customFormat="1" ht="17.100000000000001" hidden="1" customHeight="1">
      <c r="B46" s="1424"/>
      <c r="C46" s="30"/>
      <c r="D46" s="30"/>
      <c r="E46" s="30"/>
      <c r="F46" s="30"/>
      <c r="G46" s="30"/>
      <c r="H46" s="30"/>
      <c r="I46" s="30"/>
      <c r="J46" s="30"/>
      <c r="K46" s="30"/>
      <c r="L46" s="30"/>
      <c r="M46" s="2"/>
      <c r="N46" s="30"/>
      <c r="O46" s="420"/>
      <c r="P46" s="919"/>
      <c r="Q46" s="2453"/>
      <c r="R46" s="2453"/>
    </row>
    <row r="47" spans="1:18" s="1195" customFormat="1" ht="17.100000000000001" hidden="1" customHeight="1">
      <c r="B47" s="1424"/>
      <c r="C47" s="414" t="str">
        <f>Texte!A2969</f>
        <v>effektiv gezahlte Summe der betroffenen Direktzahlungen:</v>
      </c>
      <c r="D47" s="30"/>
      <c r="E47" s="30"/>
      <c r="F47" s="30"/>
      <c r="G47" s="30"/>
      <c r="H47" s="30"/>
      <c r="I47" s="30"/>
      <c r="J47" s="30"/>
      <c r="K47" s="30"/>
      <c r="L47" s="196"/>
      <c r="M47" s="1430"/>
      <c r="N47" s="30"/>
      <c r="O47" s="420"/>
      <c r="P47" s="919"/>
      <c r="Q47" s="2453"/>
      <c r="R47" s="2453"/>
    </row>
    <row r="48" spans="1:18" s="1195" customFormat="1" ht="17.100000000000001" hidden="1" customHeight="1">
      <c r="B48" s="1424"/>
      <c r="C48" s="414"/>
      <c r="D48" s="30"/>
      <c r="E48" s="30"/>
      <c r="F48" s="196" t="str">
        <f>Texte!A2970</f>
        <v>Minimum von b) und c)</v>
      </c>
      <c r="G48" s="1373" t="s">
        <v>4983</v>
      </c>
      <c r="H48" s="1407">
        <f>IF(AND(D45&lt;&gt;0,F45&lt;&gt;0),IF(H41&lt;=H45,H41,H45),H41)</f>
        <v>414826.54486384802</v>
      </c>
      <c r="I48" s="30"/>
      <c r="J48" s="30" t="s">
        <v>2131</v>
      </c>
      <c r="K48" s="30"/>
      <c r="L48" s="196"/>
      <c r="M48" s="1430"/>
      <c r="N48" s="1431"/>
      <c r="O48" s="420"/>
      <c r="P48" s="919"/>
      <c r="Q48" s="2453"/>
      <c r="R48" s="2453"/>
    </row>
    <row r="49" spans="2:19" s="1195" customFormat="1" ht="17.100000000000001" hidden="1" customHeight="1">
      <c r="B49" s="1424"/>
      <c r="C49" s="414"/>
      <c r="D49" s="30"/>
      <c r="E49" s="30"/>
      <c r="F49" s="30"/>
      <c r="G49" s="30"/>
      <c r="H49" s="30"/>
      <c r="I49" s="30"/>
      <c r="J49" s="30"/>
      <c r="K49" s="30"/>
      <c r="L49" s="196"/>
      <c r="M49" s="2"/>
      <c r="N49" s="1431"/>
      <c r="O49" s="420"/>
      <c r="P49" s="919"/>
      <c r="Q49" s="2469" t="str">
        <f>ADDRESS(50,14)</f>
        <v>$N$50</v>
      </c>
      <c r="R49" s="2469" t="s">
        <v>11500</v>
      </c>
      <c r="S49" s="2465"/>
    </row>
    <row r="50" spans="2:19" s="1195" customFormat="1" ht="17.100000000000001" hidden="1" customHeight="1">
      <c r="B50" s="1424"/>
      <c r="C50" s="414" t="str">
        <f>Texte!A2971</f>
        <v>Kürzung des Gesamtbetrags der Direktzahlungen</v>
      </c>
      <c r="D50" s="30"/>
      <c r="E50" s="30"/>
      <c r="F50" s="30"/>
      <c r="G50" s="30"/>
      <c r="H50" s="30"/>
      <c r="I50" s="30"/>
      <c r="J50" s="30"/>
      <c r="K50" s="30"/>
      <c r="L50" s="196" t="s">
        <v>2132</v>
      </c>
      <c r="M50" s="1430" t="s">
        <v>4983</v>
      </c>
      <c r="N50" s="997">
        <v>0</v>
      </c>
      <c r="O50" s="420"/>
      <c r="P50" s="919"/>
      <c r="Q50" s="2470" t="s">
        <v>11499</v>
      </c>
      <c r="R50" s="2469"/>
      <c r="S50" s="2465"/>
    </row>
    <row r="51" spans="2:19" s="1195" customFormat="1" ht="6" hidden="1" customHeight="1">
      <c r="B51" s="15"/>
      <c r="C51" s="869"/>
      <c r="D51" s="869"/>
      <c r="E51" s="869"/>
      <c r="F51" s="869"/>
      <c r="G51" s="869"/>
      <c r="H51" s="869"/>
      <c r="I51" s="869"/>
      <c r="J51" s="869"/>
      <c r="K51" s="869"/>
      <c r="L51" s="869"/>
      <c r="M51" s="372"/>
      <c r="N51" s="869"/>
      <c r="O51" s="1416"/>
      <c r="P51" s="919"/>
      <c r="Q51" s="2453"/>
      <c r="R51" s="2453"/>
    </row>
    <row r="52" spans="2:19" ht="6" hidden="1" customHeight="1">
      <c r="B52" s="1464"/>
      <c r="D52" s="1463"/>
      <c r="E52" s="1463"/>
      <c r="F52" s="1463"/>
      <c r="G52" s="1463"/>
      <c r="H52" s="1463"/>
      <c r="I52" s="1463"/>
      <c r="J52" s="1463"/>
      <c r="K52" s="1463"/>
      <c r="L52" s="1463"/>
      <c r="M52" s="1463"/>
      <c r="N52" s="1463"/>
      <c r="O52" s="1463"/>
      <c r="P52"/>
    </row>
    <row r="53" spans="2:19" ht="12.75" customHeight="1">
      <c r="B53" s="2809" t="str">
        <f>Texte!A20</f>
        <v>Stand der Bestimmungen gültig ab 1.1.2025 oder 1.1.2026 oder 1.1.2027, gemäss den vorgeschlagenen Verordnungen des</v>
      </c>
      <c r="D53" s="1903"/>
      <c r="E53" s="1903"/>
      <c r="F53" s="1903"/>
      <c r="G53" s="1903"/>
      <c r="H53" s="1903"/>
      <c r="I53" s="1903"/>
      <c r="J53" s="1903"/>
      <c r="K53" s="1903"/>
      <c r="L53" s="1903"/>
      <c r="M53" s="1903"/>
      <c r="N53" s="1903"/>
      <c r="O53" s="1903"/>
      <c r="P53"/>
    </row>
    <row r="54" spans="2:19" ht="12.75" customHeight="1">
      <c r="B54" s="2809" t="str">
        <f>Texte!A18</f>
        <v xml:space="preserve">Bundesrates vor der Wintersession. Die Berechnung erfolgt für das im Blatt "Allg" eingestellte Jahr. </v>
      </c>
      <c r="D54" s="1903"/>
      <c r="E54" s="1903"/>
      <c r="F54" s="1903"/>
      <c r="G54" s="1903"/>
      <c r="H54" s="1903"/>
      <c r="I54" s="1903"/>
      <c r="J54" s="1903"/>
      <c r="K54" s="1903"/>
      <c r="L54" s="1903"/>
      <c r="M54" s="1903"/>
      <c r="N54" s="1903"/>
      <c r="O54" s="1903"/>
      <c r="P54"/>
    </row>
    <row r="55" spans="2:19" ht="12.75" customHeight="1">
      <c r="B55" s="2810" t="str">
        <f>Texte!A22</f>
        <v>AGRIDEA lehnt jede Haftung und Gewährleistung ab, die aus Berechnungen mit diesem Instrument abgeleitet werden.</v>
      </c>
      <c r="D55" s="675"/>
      <c r="E55" s="675"/>
      <c r="F55" s="675"/>
      <c r="G55" s="675"/>
      <c r="H55" s="675"/>
      <c r="I55" s="675"/>
      <c r="J55" s="675"/>
      <c r="K55" s="675"/>
      <c r="L55" s="675"/>
      <c r="M55" s="675"/>
      <c r="N55" s="675"/>
      <c r="O55" s="675"/>
      <c r="P55"/>
    </row>
  </sheetData>
  <sheetProtection algorithmName="SHA-512" hashValue="rw5CNV7cgt++SYjug4ZY4+K2GHo1+76RCto9YDvrpQYCSnK23itHw9DQ1igVkkCCzQm6SwbMzOFznru7FQoS6w==" saltValue="Wjy2rNpLG+z8RYEO4+qE6Q==" spinCount="100000" sheet="1" objects="1" scenarios="1"/>
  <phoneticPr fontId="40" type="noConversion"/>
  <printOptions horizontalCentered="1"/>
  <pageMargins left="0.51181102362204722" right="0.23622047244094491" top="0.74803149606299213" bottom="0.74803149606299213" header="0.31496062992125984" footer="0.31496062992125984"/>
  <pageSetup paperSize="9" scale="95" orientation="portrait" r:id="rId1"/>
  <headerFooter alignWithMargins="0">
    <oddFooter>&amp;C&amp;9&amp;F&amp;R&amp;"Arial,Standard"&amp;9Seite &amp;P&amp;L&amp;"Arial,Fett"&amp;11AGRIDEA &amp;"Arial,Standard"&amp;9 Nachweis Version 9.9</oddFooter>
  </headerFooter>
  <drawing r:id="rId2"/>
</worksheet>
</file>

<file path=xl/worksheets/sheet31.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ns1:Ignorable="x14ac">
  <sheetPr codeName="Tabelle48">
    <tabColor indexed="31"/>
    <pageSetUpPr fitToPage="1"/>
  </sheetPr>
  <dimension ref="A1:X111"/>
  <sheetViews>
    <sheetView showRowColHeaders="0" workbookViewId="0">
      <selection activeCell="D54" sqref="D54"/>
      <extLst>
        <ext uri="{77bfe23e-c014-4d31-8a63-9c772dbf06b6}">
          <ns2:showDataTypeIcons visible="0"/>
        </ext>
      </extLst>
    </sheetView>
  </sheetViews>
  <sheetFormatPr baseColWidth="10" defaultRowHeight="12"/>
  <cols>
    <col min="1" max="1" width="0.85546875" customWidth="1"/>
    <col min="2" max="2" width="33.5703125" customWidth="1"/>
    <col min="3" max="3" width="19.28515625" customWidth="1"/>
    <col min="4" max="4" width="9.42578125" customWidth="1"/>
    <col min="5" max="5" width="10.7109375" customWidth="1"/>
    <col min="6" max="13" width="8.7109375" customWidth="1"/>
    <col min="14" max="14" width="8.7109375" style="648" customWidth="1"/>
    <col min="15" max="15" width="8.7109375" style="648" hidden="1" customWidth="1"/>
    <col min="16" max="16" width="10.5703125" style="648" customWidth="1"/>
    <col min="17" max="17" width="11.28515625" style="648" hidden="1" customWidth="1"/>
    <col min="18" max="18" width="8.28515625" style="3072" hidden="1" customWidth="1"/>
    <col min="19" max="19" width="3.42578125" style="648" hidden="1" customWidth="1"/>
    <col min="20" max="20" width="7.7109375" style="648" hidden="1" customWidth="1"/>
    <col min="21" max="21" width="5.140625" style="648" hidden="1" customWidth="1"/>
    <col min="22" max="22" width="10.85546875" style="648" hidden="1" customWidth="1"/>
    <col min="23" max="23" width="34.28515625" style="648" hidden="1" customWidth="1"/>
    <col min="24" max="24" width="49.85546875" hidden="1" customWidth="1"/>
  </cols>
  <sheetData>
    <row r="1" spans="1:24" ht="18">
      <c r="A1" s="2829"/>
      <c r="B1" s="3163" t="str">
        <f>Q!F68</f>
        <v>Datenbank Ackerkulturen und Grünland</v>
      </c>
      <c r="C1" s="3163"/>
      <c r="D1" s="2829"/>
      <c r="E1" s="2829"/>
      <c r="F1" s="2829"/>
      <c r="G1" s="2829"/>
      <c r="H1" s="2829"/>
      <c r="I1" s="2829"/>
      <c r="J1" s="2829"/>
      <c r="K1" s="2829"/>
      <c r="L1" s="2829"/>
      <c r="M1" s="2829"/>
      <c r="N1" s="2829"/>
      <c r="O1" s="2829"/>
      <c r="P1" s="2829"/>
      <c r="Q1" s="2500"/>
      <c r="R1" s="2501"/>
      <c r="S1" s="2500"/>
      <c r="T1" s="2500"/>
      <c r="U1" s="2500"/>
      <c r="V1" s="2502"/>
      <c r="W1" s="2502"/>
      <c r="X1" s="2502"/>
    </row>
    <row r="2" spans="1:24" ht="6" customHeight="1">
      <c r="A2" s="2829"/>
      <c r="B2" s="2829"/>
      <c r="C2" s="2829"/>
      <c r="D2" s="2830"/>
      <c r="E2" s="2830"/>
      <c r="F2" s="2829"/>
      <c r="G2" s="2829"/>
      <c r="H2" s="2829"/>
      <c r="I2" s="2829"/>
      <c r="J2" s="2829"/>
      <c r="K2" s="2829"/>
      <c r="L2" s="2829"/>
      <c r="M2" s="2829"/>
      <c r="N2" s="2829"/>
      <c r="O2" s="2829"/>
      <c r="P2" s="2829"/>
      <c r="Q2" s="2500"/>
      <c r="R2" s="2501"/>
      <c r="S2" s="2500"/>
      <c r="T2" s="2500"/>
      <c r="U2" s="2500"/>
      <c r="V2" s="2502"/>
      <c r="W2" s="2502"/>
      <c r="X2" s="2502"/>
    </row>
    <row r="3" spans="1:24" ht="6" customHeight="1" thickBot="1">
      <c r="A3" s="2829"/>
      <c r="B3" s="2829"/>
      <c r="C3" s="2829"/>
      <c r="D3" s="2830"/>
      <c r="E3" s="2830"/>
      <c r="F3" s="2829"/>
      <c r="G3" s="2829"/>
      <c r="H3" s="2829"/>
      <c r="I3" s="2829"/>
      <c r="J3" s="2829"/>
      <c r="K3" s="2829"/>
      <c r="L3" s="2829"/>
      <c r="M3" s="2829"/>
      <c r="N3" s="2829"/>
      <c r="O3" s="2829"/>
      <c r="P3" s="2829"/>
      <c r="Q3" s="2500"/>
      <c r="R3" s="2501"/>
      <c r="S3" s="2500"/>
      <c r="T3" s="2500"/>
      <c r="U3" s="2500"/>
      <c r="V3" s="2502"/>
      <c r="W3" s="2502"/>
      <c r="X3" s="2502"/>
    </row>
    <row r="4" spans="1:24" ht="12.75" customHeight="1">
      <c r="A4" s="2829"/>
      <c r="B4" s="3139"/>
      <c r="C4" s="3140"/>
      <c r="D4" s="3164" t="str">
        <f>Texte!A3554</f>
        <v>Standard-</v>
      </c>
      <c r="E4" s="3164" t="str">
        <f>Texte!A3556</f>
        <v>Max. Ertrag</v>
      </c>
      <c r="F4" s="3165" t="str">
        <f>Texte!A3558</f>
        <v>Nährstoffbedarf, kg / ha oder kg / dt</v>
      </c>
      <c r="G4" s="3166"/>
      <c r="H4" s="3166"/>
      <c r="I4" s="3166"/>
      <c r="J4" s="3166"/>
      <c r="K4" s="3166"/>
      <c r="L4" s="3166"/>
      <c r="M4" s="3164" t="str">
        <f>Texte!A3562</f>
        <v>Ertrag</v>
      </c>
      <c r="N4" s="3167" t="str">
        <f>Texte!A3563</f>
        <v>Fläche</v>
      </c>
      <c r="O4" s="3168" t="str">
        <f>Texte!A3564</f>
        <v>AckerS-</v>
      </c>
      <c r="P4" s="3169" t="str">
        <f>Texte!A3566</f>
        <v>Ackerkult.</v>
      </c>
      <c r="Q4" s="2503"/>
      <c r="R4" s="2504"/>
      <c r="S4" s="2505"/>
      <c r="T4" s="2505"/>
      <c r="U4" s="2505"/>
      <c r="V4" s="2506" t="str">
        <f>E4</f>
        <v>Max. Ertrag</v>
      </c>
      <c r="W4" s="2506"/>
      <c r="X4" s="2506"/>
    </row>
    <row r="5" spans="1:24" ht="12.75" customHeight="1">
      <c r="A5" s="2829"/>
      <c r="B5" s="3141" t="str">
        <f>Texte!A3553</f>
        <v>Kultur</v>
      </c>
      <c r="C5" s="3142"/>
      <c r="D5" s="3170" t="str">
        <f>Texte!A3555</f>
        <v>ertrag</v>
      </c>
      <c r="E5" s="3170" t="str">
        <f>Texte!A3557</f>
        <v>N-Korrektur</v>
      </c>
      <c r="F5" s="3171" t="str">
        <f>Texte!A3569</f>
        <v>N fix</v>
      </c>
      <c r="G5" s="3172" t="str">
        <f>Texte!A3570</f>
        <v>N korr.</v>
      </c>
      <c r="H5" s="3173" t="s">
        <v>2112</v>
      </c>
      <c r="I5" s="3173" t="s">
        <v>2113</v>
      </c>
      <c r="J5" s="3173" t="str">
        <f>Texte!A3573</f>
        <v>Mg</v>
      </c>
      <c r="K5" s="3170" t="str">
        <f>Texte!A3574</f>
        <v>N korr.</v>
      </c>
      <c r="L5" s="3170" t="str">
        <f>Texte!A3575</f>
        <v>N+korr.</v>
      </c>
      <c r="M5" s="3170"/>
      <c r="N5" s="3174"/>
      <c r="O5" s="3175" t="str">
        <f>Texte!A3565</f>
        <v>streifen</v>
      </c>
      <c r="P5" s="3176" t="str">
        <f>Texte!A3567</f>
        <v>Fläche</v>
      </c>
      <c r="Q5" s="2503"/>
      <c r="R5" s="2504"/>
      <c r="S5" s="2505"/>
      <c r="T5" s="2505"/>
      <c r="U5" s="2505"/>
      <c r="V5" s="2506" t="str">
        <f>E5</f>
        <v>N-Korrektur</v>
      </c>
      <c r="W5" s="2506" t="str">
        <f>B5</f>
        <v>Kultur</v>
      </c>
      <c r="X5" s="2506"/>
    </row>
    <row r="6" spans="1:24" ht="13.5" thickBot="1">
      <c r="A6" s="2829"/>
      <c r="B6" s="3143"/>
      <c r="C6" s="3144"/>
      <c r="D6" s="3177" t="str">
        <f>Texte!A3561</f>
        <v>dt / ha</v>
      </c>
      <c r="E6" s="3177" t="str">
        <f>$D$6</f>
        <v>dt / ha</v>
      </c>
      <c r="F6" s="3178" t="str">
        <f>Texte!$A$3560</f>
        <v>kg / ha</v>
      </c>
      <c r="G6" s="3179" t="str">
        <f>Texte!A3559</f>
        <v>kg / dt</v>
      </c>
      <c r="H6" s="3180" t="s">
        <v>11046</v>
      </c>
      <c r="I6" s="3181" t="str">
        <f>$H$6</f>
        <v>kg / ...</v>
      </c>
      <c r="J6" s="3181" t="str">
        <f>$H$6</f>
        <v>kg / ...</v>
      </c>
      <c r="K6" s="3178" t="str">
        <f>Texte!$A$3560</f>
        <v>kg / ha</v>
      </c>
      <c r="L6" s="3178" t="str">
        <f>Texte!$A$3560</f>
        <v>kg / ha</v>
      </c>
      <c r="M6" s="3177" t="str">
        <f>$D$6</f>
        <v>dt / ha</v>
      </c>
      <c r="N6" s="3182" t="s">
        <v>5675</v>
      </c>
      <c r="O6" s="3177" t="str">
        <f>N6</f>
        <v>ha</v>
      </c>
      <c r="P6" s="3183" t="str">
        <f>N6</f>
        <v>ha</v>
      </c>
      <c r="Q6" s="2503"/>
      <c r="R6" s="2504"/>
      <c r="S6" s="2505"/>
      <c r="T6" s="2505"/>
      <c r="U6" s="2505"/>
      <c r="V6" s="2506" t="str">
        <f>E6</f>
        <v>dt / ha</v>
      </c>
      <c r="W6" s="2506"/>
      <c r="X6" s="2506"/>
    </row>
    <row r="7" spans="1:24" ht="13.5" thickBot="1">
      <c r="A7" s="2829"/>
      <c r="B7" s="3138" t="str">
        <f>Texte!A3578</f>
        <v>Getreide</v>
      </c>
      <c r="C7" s="3274"/>
      <c r="D7" s="3135"/>
      <c r="E7" s="3184"/>
      <c r="F7" s="3185"/>
      <c r="G7" s="3185"/>
      <c r="H7" s="3186"/>
      <c r="I7" s="3186"/>
      <c r="J7" s="3186"/>
      <c r="K7" s="3184"/>
      <c r="L7" s="3184"/>
      <c r="M7" s="3184"/>
      <c r="N7" s="3184"/>
      <c r="O7" s="3187"/>
      <c r="P7" s="3188"/>
      <c r="Q7" s="2503"/>
      <c r="R7" s="2504"/>
      <c r="S7" s="2505"/>
      <c r="T7" s="2505"/>
      <c r="U7" s="2505"/>
      <c r="V7" s="2507"/>
      <c r="W7" s="2506"/>
      <c r="X7" s="2506"/>
    </row>
    <row r="8" spans="1:24" ht="12.75">
      <c r="A8" s="2829"/>
      <c r="B8" s="3092" t="str">
        <f>Texte!A3579</f>
        <v>Winterweizen</v>
      </c>
      <c r="C8" s="3189" t="str">
        <f>IF(R8,Texte!$A$3576,"")</f>
        <v/>
      </c>
      <c r="D8" s="3190">
        <v>60</v>
      </c>
      <c r="E8" s="3190">
        <v>80</v>
      </c>
      <c r="F8" s="3267">
        <v>140</v>
      </c>
      <c r="G8" s="3268">
        <v>1</v>
      </c>
      <c r="H8" s="3268">
        <v>0.83</v>
      </c>
      <c r="I8" s="3268">
        <v>0.1</v>
      </c>
      <c r="J8" s="3269">
        <v>0.12</v>
      </c>
      <c r="K8" s="3192">
        <f>IF(OR(M8=0,N8=0),F8,IF(M8-D8&gt;0,IF(R8,F8+(MIN(M8,E8)-D8)*G8,F8),IF(M8-D8&lt;0,F8+(M8-D8)*G8,F8)))</f>
        <v>140</v>
      </c>
      <c r="L8" s="3192">
        <f t="shared" ref="L8:L28" si="0">IF(AND(R8,K8&gt;F8),F8&amp;"+"&amp;ROUND(K8-F8,0),K8)</f>
        <v>140</v>
      </c>
      <c r="M8" s="3193">
        <f>IF(N8&gt;0,IF(Fläche!F10&gt;0,(Fläche!F10*Fläche!E10 - M9*N9)/N8,D8),0)</f>
        <v>60.000000000000007</v>
      </c>
      <c r="N8" s="3194">
        <f>IF(Fläche!E10&gt;0,Fläche!E10-N9,0)</f>
        <v>4.88</v>
      </c>
      <c r="O8" s="3279"/>
      <c r="P8" s="3195">
        <f>N8 - O8</f>
        <v>4.88</v>
      </c>
      <c r="Q8" s="2508"/>
      <c r="R8" s="2509" t="b">
        <f>Fläche!T10</f>
        <v>0</v>
      </c>
      <c r="S8" s="2510"/>
      <c r="T8" s="2510"/>
      <c r="U8" s="2510"/>
      <c r="V8" s="2507">
        <f t="shared" ref="V8:V28" si="1">MAX(D8:E8)</f>
        <v>80</v>
      </c>
      <c r="W8" s="2506"/>
      <c r="X8" s="2506"/>
    </row>
    <row r="9" spans="1:24" ht="12.75">
      <c r="A9" s="2829"/>
      <c r="B9" s="3092" t="str">
        <f>Texte!A3579</f>
        <v>Winterweizen</v>
      </c>
      <c r="C9" s="3189" t="str">
        <f>Texte!A3577</f>
        <v>in 62a Nitrat-Projekt</v>
      </c>
      <c r="D9" s="3190">
        <v>60</v>
      </c>
      <c r="E9" s="3190"/>
      <c r="F9" s="3262">
        <v>140</v>
      </c>
      <c r="G9" s="3191"/>
      <c r="H9" s="3191">
        <v>0.83</v>
      </c>
      <c r="I9" s="3191">
        <v>0.1</v>
      </c>
      <c r="J9" s="3270">
        <v>0.12</v>
      </c>
      <c r="K9" s="3192">
        <f>IF(OR(M9=0,N9=0),F9,IF(D9-M9&gt;=(0.2*D9),F9*(1-((D9-M9)/D9)),F9))</f>
        <v>140</v>
      </c>
      <c r="L9" s="3192">
        <f t="shared" si="0"/>
        <v>140</v>
      </c>
      <c r="M9" s="3281"/>
      <c r="N9" s="3282"/>
      <c r="O9" s="3280"/>
      <c r="P9" s="3195">
        <f>N9 - O9</f>
        <v>0</v>
      </c>
      <c r="Q9" s="2508"/>
      <c r="R9" s="2509"/>
      <c r="S9" s="2510"/>
      <c r="T9" s="2510"/>
      <c r="U9" s="2510"/>
      <c r="V9" s="2507">
        <f t="shared" si="1"/>
        <v>60</v>
      </c>
      <c r="W9" s="2506"/>
      <c r="X9" s="2506"/>
    </row>
    <row r="10" spans="1:24" ht="12.75">
      <c r="A10" s="2829"/>
      <c r="B10" s="3092" t="str">
        <f>Texte!A3580</f>
        <v>Futterweizen</v>
      </c>
      <c r="C10" s="3189" t="str">
        <f>IF(R10,Texte!$A$3576,"")</f>
        <v/>
      </c>
      <c r="D10" s="3190">
        <v>75</v>
      </c>
      <c r="E10" s="3190">
        <v>95</v>
      </c>
      <c r="F10" s="3262">
        <v>140</v>
      </c>
      <c r="G10" s="3191">
        <v>1</v>
      </c>
      <c r="H10" s="3191">
        <v>0.83</v>
      </c>
      <c r="I10" s="3191">
        <v>0.14000000000000001</v>
      </c>
      <c r="J10" s="3270">
        <v>0.12</v>
      </c>
      <c r="K10" s="3192">
        <f>IF(OR(M10=0,N10=0),F10,IF(M10-D10&gt;0,IF(R10,F10+(MIN(M10,E10)-D10)*G10,F10),IF(M10-D10&lt;0,F10+(M10-D10)*G10,F10)))</f>
        <v>140</v>
      </c>
      <c r="L10" s="3192">
        <f t="shared" si="0"/>
        <v>140</v>
      </c>
      <c r="M10" s="3193">
        <f>IF(N10&gt;0,IF(Fläche!F11&gt;0,(Fläche!F11*Fläche!E11 - M11*N11)/N10,D10),0)</f>
        <v>0</v>
      </c>
      <c r="N10" s="3194">
        <f>IF(Fläche!E11&gt;0,Fläche!E11-N11,0)</f>
        <v>0</v>
      </c>
      <c r="O10" s="3280"/>
      <c r="P10" s="3195">
        <f t="shared" ref="P10:P26" si="2">N10 - O10</f>
        <v>0</v>
      </c>
      <c r="Q10" s="2508"/>
      <c r="R10" s="2509" t="b">
        <f>Fläche!T11</f>
        <v>0</v>
      </c>
      <c r="S10" s="2510"/>
      <c r="T10" s="2510"/>
      <c r="U10" s="2510"/>
      <c r="V10" s="2507">
        <f t="shared" si="1"/>
        <v>95</v>
      </c>
      <c r="W10" s="2506"/>
      <c r="X10" s="2506"/>
    </row>
    <row r="11" spans="1:24" ht="12.75">
      <c r="A11" s="2829"/>
      <c r="B11" s="3092" t="str">
        <f>Texte!A3580</f>
        <v>Futterweizen</v>
      </c>
      <c r="C11" s="3189" t="str">
        <f>Texte!A3577</f>
        <v>in 62a Nitrat-Projekt</v>
      </c>
      <c r="D11" s="3190">
        <v>75</v>
      </c>
      <c r="E11" s="3190"/>
      <c r="F11" s="3262">
        <v>140</v>
      </c>
      <c r="G11" s="3191"/>
      <c r="H11" s="3191">
        <v>0.83</v>
      </c>
      <c r="I11" s="3191">
        <v>0.14000000000000001</v>
      </c>
      <c r="J11" s="3270">
        <v>0.12</v>
      </c>
      <c r="K11" s="3192">
        <f>IF(OR(M11=0,N11=0),F11,IF(D11-M11&gt;=(0.2*D11),F11*(1-((D11-M11)/D11)),F11))</f>
        <v>140</v>
      </c>
      <c r="L11" s="3192">
        <f t="shared" si="0"/>
        <v>140</v>
      </c>
      <c r="M11" s="3281"/>
      <c r="N11" s="3282"/>
      <c r="O11" s="3280"/>
      <c r="P11" s="3195">
        <f t="shared" si="2"/>
        <v>0</v>
      </c>
      <c r="Q11" s="2508"/>
      <c r="R11" s="2509"/>
      <c r="S11" s="2510"/>
      <c r="T11" s="2510"/>
      <c r="U11" s="2510"/>
      <c r="V11" s="2507">
        <f t="shared" si="1"/>
        <v>75</v>
      </c>
      <c r="W11" s="2506"/>
      <c r="X11" s="2506"/>
    </row>
    <row r="12" spans="1:24" ht="12.75">
      <c r="A12" s="2829"/>
      <c r="B12" s="3092" t="str">
        <f>Texte!A3581</f>
        <v>Sommerweizen</v>
      </c>
      <c r="C12" s="3189"/>
      <c r="D12" s="3190">
        <v>50</v>
      </c>
      <c r="E12" s="3190"/>
      <c r="F12" s="3262">
        <v>120</v>
      </c>
      <c r="G12" s="3191"/>
      <c r="H12" s="3191">
        <v>0.82</v>
      </c>
      <c r="I12" s="3191">
        <v>0.44</v>
      </c>
      <c r="J12" s="3270">
        <v>0.12</v>
      </c>
      <c r="K12" s="3192">
        <f>IF(OR(M12=0,N12=0),F12,IF(D12-M12&gt;=(0.2*D12),F12*(1-((D12-M12)/D12)),F12))</f>
        <v>120</v>
      </c>
      <c r="L12" s="3192">
        <f t="shared" si="0"/>
        <v>120</v>
      </c>
      <c r="M12" s="3193">
        <f>IF(N12&gt;0,IF(Fläche!F12&gt;0,Fläche!F12,D12),0)</f>
        <v>0</v>
      </c>
      <c r="N12" s="3194">
        <f>Fläche!E12</f>
        <v>0</v>
      </c>
      <c r="O12" s="3280"/>
      <c r="P12" s="3195">
        <f t="shared" si="2"/>
        <v>0</v>
      </c>
      <c r="Q12" s="2508"/>
      <c r="R12" s="2509"/>
      <c r="S12" s="2510"/>
      <c r="T12" s="2510"/>
      <c r="U12" s="2510"/>
      <c r="V12" s="2507">
        <f t="shared" si="1"/>
        <v>50</v>
      </c>
      <c r="W12" s="2506"/>
      <c r="X12" s="2506"/>
    </row>
    <row r="13" spans="1:24" ht="12.75">
      <c r="A13" s="2829"/>
      <c r="B13" s="3092" t="str">
        <f>Texte!A3582</f>
        <v>Wintergerste</v>
      </c>
      <c r="C13" s="3189" t="str">
        <f>IF(R13,Texte!$A$3576,"")</f>
        <v/>
      </c>
      <c r="D13" s="3190">
        <v>60</v>
      </c>
      <c r="E13" s="3190">
        <v>90</v>
      </c>
      <c r="F13" s="3262">
        <v>110</v>
      </c>
      <c r="G13" s="3191">
        <v>0.7</v>
      </c>
      <c r="H13" s="3191">
        <v>0.85</v>
      </c>
      <c r="I13" s="3191">
        <v>0.11</v>
      </c>
      <c r="J13" s="3270">
        <v>0.12</v>
      </c>
      <c r="K13" s="3192">
        <f>IF(OR(M13=0,N13=0),F13,IF(M13-D13&gt;0,IF(R13,F13+(MIN(M13,E13)-D13)*G13,F13),IF(M13-D13&lt;0,F13+(M13-D13)*G13,F13)))</f>
        <v>110</v>
      </c>
      <c r="L13" s="3192">
        <f t="shared" si="0"/>
        <v>110</v>
      </c>
      <c r="M13" s="3193">
        <f>IF(N13&gt;0,IF(Fläche!F13&gt;0,(Fläche!F13*Fläche!E13 - M14*N14)/N13,D13),0)</f>
        <v>0</v>
      </c>
      <c r="N13" s="3194">
        <f>IF(Fläche!E13&gt;0,Fläche!E13-N14,0)</f>
        <v>0</v>
      </c>
      <c r="O13" s="3280"/>
      <c r="P13" s="3195">
        <f t="shared" si="2"/>
        <v>0</v>
      </c>
      <c r="Q13" s="2508"/>
      <c r="R13" s="2509" t="b">
        <f>Fläche!T13</f>
        <v>0</v>
      </c>
      <c r="S13" s="2510"/>
      <c r="T13" s="2510"/>
      <c r="U13" s="2510"/>
      <c r="V13" s="2507">
        <f t="shared" si="1"/>
        <v>90</v>
      </c>
      <c r="W13" s="2506"/>
      <c r="X13" s="2506"/>
    </row>
    <row r="14" spans="1:24" ht="12.75">
      <c r="A14" s="2829"/>
      <c r="B14" s="3092" t="str">
        <f>Texte!A3582</f>
        <v>Wintergerste</v>
      </c>
      <c r="C14" s="3189" t="str">
        <f>Texte!A3577</f>
        <v>in 62a Nitrat-Projekt</v>
      </c>
      <c r="D14" s="3190">
        <v>60</v>
      </c>
      <c r="E14" s="3190"/>
      <c r="F14" s="3262">
        <v>110</v>
      </c>
      <c r="G14" s="3191"/>
      <c r="H14" s="3191">
        <v>0.85</v>
      </c>
      <c r="I14" s="3191">
        <v>0.11</v>
      </c>
      <c r="J14" s="3270">
        <v>0.12</v>
      </c>
      <c r="K14" s="3192">
        <f>IF(OR(M14=0,N14=0),F14,IF(D14-M14&gt;=(0.2*D14),F14*(1-((D14-M14)/D14)),F14))</f>
        <v>110</v>
      </c>
      <c r="L14" s="3192">
        <f t="shared" si="0"/>
        <v>110</v>
      </c>
      <c r="M14" s="3281"/>
      <c r="N14" s="3282"/>
      <c r="O14" s="3280"/>
      <c r="P14" s="3195">
        <f t="shared" si="2"/>
        <v>0</v>
      </c>
      <c r="Q14" s="2508"/>
      <c r="R14" s="2509"/>
      <c r="S14" s="2510"/>
      <c r="T14" s="2510"/>
      <c r="U14" s="2510"/>
      <c r="V14" s="2507">
        <f t="shared" si="1"/>
        <v>60</v>
      </c>
      <c r="W14" s="2506"/>
      <c r="X14" s="2506"/>
    </row>
    <row r="15" spans="1:24" ht="12.75">
      <c r="A15" s="2829"/>
      <c r="B15" s="3093" t="str">
        <f>Texte!A3583</f>
        <v>Sommergerste</v>
      </c>
      <c r="C15" s="3196"/>
      <c r="D15" s="3190">
        <v>55</v>
      </c>
      <c r="E15" s="3190"/>
      <c r="F15" s="3262">
        <v>90</v>
      </c>
      <c r="G15" s="3191"/>
      <c r="H15" s="3191">
        <v>0.84</v>
      </c>
      <c r="I15" s="3191">
        <v>0.55000000000000004</v>
      </c>
      <c r="J15" s="3270">
        <v>0.11</v>
      </c>
      <c r="K15" s="3192">
        <f>IF(OR(M15=0,N15=0),F15,IF(D15-M15&gt;=(0.2*D15),F15*(1-((D15-M15)/D15)),F15))</f>
        <v>90</v>
      </c>
      <c r="L15" s="3192">
        <f t="shared" si="0"/>
        <v>90</v>
      </c>
      <c r="M15" s="3193">
        <f>IF(N15&gt;0,IF(Fläche!F14&gt;0,Fläche!F14,D15),0)</f>
        <v>0</v>
      </c>
      <c r="N15" s="3194">
        <f>Fläche!E14</f>
        <v>0</v>
      </c>
      <c r="O15" s="3280"/>
      <c r="P15" s="3195">
        <f t="shared" si="2"/>
        <v>0</v>
      </c>
      <c r="Q15" s="2508"/>
      <c r="R15" s="2509"/>
      <c r="S15" s="2510"/>
      <c r="T15" s="2510"/>
      <c r="U15" s="2510"/>
      <c r="V15" s="2507">
        <f t="shared" si="1"/>
        <v>55</v>
      </c>
      <c r="W15" s="2506"/>
      <c r="X15" s="2506"/>
    </row>
    <row r="16" spans="1:24" ht="12.75">
      <c r="A16" s="2829"/>
      <c r="B16" s="3093" t="str">
        <f>Texte!A3584</f>
        <v>Winterhafer</v>
      </c>
      <c r="C16" s="3196"/>
      <c r="D16" s="3190">
        <v>55</v>
      </c>
      <c r="E16" s="3190"/>
      <c r="F16" s="3262">
        <v>90</v>
      </c>
      <c r="G16" s="3191"/>
      <c r="H16" s="3191">
        <v>0.8</v>
      </c>
      <c r="I16" s="3272">
        <v>0</v>
      </c>
      <c r="J16" s="3270">
        <v>0.11</v>
      </c>
      <c r="K16" s="3192">
        <f>IF(OR(M16=0,N16=0),F16,IF(D16-M16&gt;=(0.2*D16),F16*(1-((D16-M16)/D16)),F16))</f>
        <v>90</v>
      </c>
      <c r="L16" s="3192">
        <f t="shared" si="0"/>
        <v>90</v>
      </c>
      <c r="M16" s="3193">
        <f>IF(N16&gt;0,IF(Fläche!F15&gt;0,Fläche!F15,D16),0)</f>
        <v>0</v>
      </c>
      <c r="N16" s="3194">
        <f>Fläche!E15</f>
        <v>0</v>
      </c>
      <c r="O16" s="3280"/>
      <c r="P16" s="3195">
        <f t="shared" si="2"/>
        <v>0</v>
      </c>
      <c r="Q16" s="2508"/>
      <c r="R16" s="2509"/>
      <c r="S16" s="2510"/>
      <c r="T16" s="2510"/>
      <c r="U16" s="2510"/>
      <c r="V16" s="2507">
        <f t="shared" si="1"/>
        <v>55</v>
      </c>
      <c r="W16" s="2506"/>
      <c r="X16" s="2506"/>
    </row>
    <row r="17" spans="1:24" ht="12.75">
      <c r="A17" s="2829"/>
      <c r="B17" s="3093" t="str">
        <f>Texte!A3585</f>
        <v>Sommerhafer</v>
      </c>
      <c r="C17" s="3196"/>
      <c r="D17" s="3190">
        <v>55</v>
      </c>
      <c r="E17" s="3190"/>
      <c r="F17" s="3262">
        <v>90</v>
      </c>
      <c r="G17" s="3191"/>
      <c r="H17" s="3191">
        <v>0.8</v>
      </c>
      <c r="I17" s="3191">
        <v>0.51</v>
      </c>
      <c r="J17" s="3270">
        <v>0.11</v>
      </c>
      <c r="K17" s="3192">
        <f>IF(OR(M17=0,N17=0),F17,IF(D17-M17&gt;=(0.2*D17),F17*(1-((D17-M17)/D17)),F17))</f>
        <v>90</v>
      </c>
      <c r="L17" s="3192">
        <f t="shared" si="0"/>
        <v>90</v>
      </c>
      <c r="M17" s="3193">
        <f>IF(N17&gt;0,IF(Fläche!F16&gt;0,Fläche!F16,D17),0)</f>
        <v>0</v>
      </c>
      <c r="N17" s="3194">
        <f>Fläche!E16</f>
        <v>0</v>
      </c>
      <c r="O17" s="3280"/>
      <c r="P17" s="3195">
        <f t="shared" si="2"/>
        <v>0</v>
      </c>
      <c r="Q17" s="2508"/>
      <c r="R17" s="2509"/>
      <c r="S17" s="2510"/>
      <c r="T17" s="2510"/>
      <c r="U17" s="2510"/>
      <c r="V17" s="2507">
        <f t="shared" si="1"/>
        <v>55</v>
      </c>
      <c r="W17" s="2506"/>
      <c r="X17" s="2506"/>
    </row>
    <row r="18" spans="1:24" ht="12.75">
      <c r="A18" s="2829"/>
      <c r="B18" s="3093" t="str">
        <f>Texte!A3586</f>
        <v>Winterroggen, Populationssorten</v>
      </c>
      <c r="C18" s="3196" t="str">
        <f>IF(R18,Texte!$A$3576,"")</f>
        <v/>
      </c>
      <c r="D18" s="3190">
        <v>55</v>
      </c>
      <c r="E18" s="3190">
        <v>80</v>
      </c>
      <c r="F18" s="3262">
        <v>90</v>
      </c>
      <c r="G18" s="3191">
        <v>0.8</v>
      </c>
      <c r="H18" s="3191">
        <v>0.8</v>
      </c>
      <c r="I18" s="3191">
        <v>0.1</v>
      </c>
      <c r="J18" s="3270">
        <v>0.11</v>
      </c>
      <c r="K18" s="3192">
        <f>IF(OR(M18=0,N18=0),F18,IF(M18-D18&gt;0,IF(R18,F18+(MIN(M18,E18)-D18)*G18,F18),IF(M18-D18&lt;0,F18+(M18-D18)*G18,F18)))</f>
        <v>90</v>
      </c>
      <c r="L18" s="3192">
        <f t="shared" si="0"/>
        <v>90</v>
      </c>
      <c r="M18" s="3193">
        <f>IF(N18&gt;0,IF(Fläche!F17&gt;0,(Fläche!F17*Fläche!E17 - M19*N19)/N18,D18),0)</f>
        <v>0</v>
      </c>
      <c r="N18" s="3194">
        <f>IF(Fläche!E17&gt;0,Fläche!E17-N19,0)</f>
        <v>0</v>
      </c>
      <c r="O18" s="3280"/>
      <c r="P18" s="3195">
        <f t="shared" si="2"/>
        <v>0</v>
      </c>
      <c r="Q18" s="2508"/>
      <c r="R18" s="2509" t="b">
        <f>Fläche!T17</f>
        <v>0</v>
      </c>
      <c r="S18" s="2510"/>
      <c r="T18" s="2510"/>
      <c r="U18" s="2510"/>
      <c r="V18" s="2507">
        <f t="shared" si="1"/>
        <v>80</v>
      </c>
      <c r="W18" s="2506"/>
      <c r="X18" s="2506"/>
    </row>
    <row r="19" spans="1:24" ht="12.75">
      <c r="A19" s="2829"/>
      <c r="B19" s="3093" t="str">
        <f>Texte!A3586</f>
        <v>Winterroggen, Populationssorten</v>
      </c>
      <c r="C19" s="3196" t="str">
        <f>Texte!A3577</f>
        <v>in 62a Nitrat-Projekt</v>
      </c>
      <c r="D19" s="3190">
        <v>55</v>
      </c>
      <c r="E19" s="3190"/>
      <c r="F19" s="3262">
        <v>90</v>
      </c>
      <c r="G19" s="3191"/>
      <c r="H19" s="3191">
        <v>0.8</v>
      </c>
      <c r="I19" s="3191">
        <v>0.1</v>
      </c>
      <c r="J19" s="3270">
        <v>0.11</v>
      </c>
      <c r="K19" s="3192">
        <f>IF(OR(M19=0,N19=0),F19,IF(D19-M19&gt;=(0.2*D19),F19*(1-((D19-M19)/D19)),F19))</f>
        <v>90</v>
      </c>
      <c r="L19" s="3192">
        <f t="shared" si="0"/>
        <v>90</v>
      </c>
      <c r="M19" s="3281"/>
      <c r="N19" s="3282"/>
      <c r="O19" s="3280"/>
      <c r="P19" s="3195">
        <f t="shared" si="2"/>
        <v>0</v>
      </c>
      <c r="Q19" s="2508"/>
      <c r="R19" s="2509"/>
      <c r="S19" s="2510"/>
      <c r="T19" s="2510"/>
      <c r="U19" s="2510"/>
      <c r="V19" s="2507">
        <f t="shared" si="1"/>
        <v>55</v>
      </c>
      <c r="W19" s="2506"/>
      <c r="X19" s="2506"/>
    </row>
    <row r="20" spans="1:24" ht="12.75">
      <c r="A20" s="2829"/>
      <c r="B20" s="3093" t="str">
        <f>Texte!A3587</f>
        <v>Winterroggen, Hybridsorten</v>
      </c>
      <c r="C20" s="3196" t="str">
        <f>IF(R20,Texte!$A$3576,"")</f>
        <v/>
      </c>
      <c r="D20" s="3190">
        <v>65</v>
      </c>
      <c r="E20" s="3190">
        <v>90</v>
      </c>
      <c r="F20" s="3262">
        <v>90</v>
      </c>
      <c r="G20" s="3191">
        <v>1.2</v>
      </c>
      <c r="H20" s="3191">
        <v>0.8</v>
      </c>
      <c r="I20" s="3191">
        <v>0.13</v>
      </c>
      <c r="J20" s="3270">
        <v>0.11</v>
      </c>
      <c r="K20" s="3192">
        <f>IF(OR(M20=0,N20=0),F20,IF(M20-D20&gt;0,IF(R20,F20+(MIN(M20,E20)-D20)*G20,F20),IF(M20-D20&lt;0,F20+(M20-D20)*G20,F20)))</f>
        <v>90</v>
      </c>
      <c r="L20" s="3192">
        <f t="shared" si="0"/>
        <v>90</v>
      </c>
      <c r="M20" s="3193">
        <f>IF(N20&gt;0,IF(Fläche!F18&gt;0,(Fläche!F18*Fläche!E18 - M21*N21)/N20,D20),0)</f>
        <v>0</v>
      </c>
      <c r="N20" s="3194">
        <f>IF(Fläche!E18&gt;0,Fläche!E18-N21,0)</f>
        <v>0</v>
      </c>
      <c r="O20" s="3280"/>
      <c r="P20" s="3195">
        <f t="shared" si="2"/>
        <v>0</v>
      </c>
      <c r="Q20" s="2508"/>
      <c r="R20" s="2509" t="b">
        <f>Fläche!T18</f>
        <v>0</v>
      </c>
      <c r="S20" s="2510"/>
      <c r="T20" s="2510"/>
      <c r="U20" s="2510"/>
      <c r="V20" s="2507">
        <f t="shared" si="1"/>
        <v>90</v>
      </c>
      <c r="W20" s="2506"/>
      <c r="X20" s="2506"/>
    </row>
    <row r="21" spans="1:24" ht="12.75">
      <c r="A21" s="2829"/>
      <c r="B21" s="3093" t="str">
        <f>Texte!A3587</f>
        <v>Winterroggen, Hybridsorten</v>
      </c>
      <c r="C21" s="3196" t="str">
        <f>Texte!A3577</f>
        <v>in 62a Nitrat-Projekt</v>
      </c>
      <c r="D21" s="3190">
        <v>65</v>
      </c>
      <c r="E21" s="3190"/>
      <c r="F21" s="3262">
        <v>90</v>
      </c>
      <c r="G21" s="3191"/>
      <c r="H21" s="3191">
        <v>0.8</v>
      </c>
      <c r="I21" s="3191">
        <v>0.13</v>
      </c>
      <c r="J21" s="3270">
        <v>0.11</v>
      </c>
      <c r="K21" s="3192">
        <f>IF(OR(M21=0,N21=0),F21,IF(D21-M21&gt;=(0.2*D21),F21*(1-((D21-M21)/D21)),F21))</f>
        <v>90</v>
      </c>
      <c r="L21" s="3192">
        <f t="shared" si="0"/>
        <v>90</v>
      </c>
      <c r="M21" s="3281"/>
      <c r="N21" s="3282"/>
      <c r="O21" s="3280"/>
      <c r="P21" s="3195">
        <f t="shared" si="2"/>
        <v>0</v>
      </c>
      <c r="Q21" s="2508"/>
      <c r="R21" s="2509"/>
      <c r="S21" s="2510"/>
      <c r="T21" s="2510"/>
      <c r="U21" s="2510"/>
      <c r="V21" s="2507">
        <f t="shared" si="1"/>
        <v>65</v>
      </c>
      <c r="W21" s="2506"/>
      <c r="X21" s="2506"/>
    </row>
    <row r="22" spans="1:24" ht="12.75">
      <c r="A22" s="2829"/>
      <c r="B22" s="3093" t="str">
        <f>Texte!A3588</f>
        <v>Dinkel, Winterkorn</v>
      </c>
      <c r="C22" s="3196"/>
      <c r="D22" s="3190">
        <v>45</v>
      </c>
      <c r="E22" s="3190"/>
      <c r="F22" s="3262">
        <v>100</v>
      </c>
      <c r="G22" s="3191"/>
      <c r="H22" s="3191">
        <v>0.8</v>
      </c>
      <c r="I22" s="3191">
        <v>0.04</v>
      </c>
      <c r="J22" s="3270">
        <v>0.11</v>
      </c>
      <c r="K22" s="3192">
        <f>IF(OR(M22=0,N22=0),F22,IF(D22-M22&gt;=(0.2*D22),F22*(1-((D22-M22)/D22)),F22))</f>
        <v>100</v>
      </c>
      <c r="L22" s="3192">
        <f t="shared" si="0"/>
        <v>100</v>
      </c>
      <c r="M22" s="3193">
        <f>IF(N22&gt;0,IF(Fläche!F19&gt;0,Fläche!F19,D22),0)</f>
        <v>45</v>
      </c>
      <c r="N22" s="3194">
        <f>Fläche!E19</f>
        <v>6.9565999999999999</v>
      </c>
      <c r="O22" s="3280"/>
      <c r="P22" s="3195">
        <f t="shared" si="2"/>
        <v>6.9565999999999999</v>
      </c>
      <c r="Q22" s="2508"/>
      <c r="R22" s="2509"/>
      <c r="S22" s="2510"/>
      <c r="T22" s="2510"/>
      <c r="U22" s="2510"/>
      <c r="V22" s="2507">
        <f t="shared" si="1"/>
        <v>45</v>
      </c>
      <c r="W22" s="2506"/>
      <c r="X22" s="2506"/>
    </row>
    <row r="23" spans="1:24" ht="12.75">
      <c r="A23" s="2829"/>
      <c r="B23" s="3093" t="str">
        <f>Texte!A3589</f>
        <v>Emmer / Einkorn</v>
      </c>
      <c r="C23" s="3196"/>
      <c r="D23" s="3190">
        <v>25</v>
      </c>
      <c r="E23" s="3190"/>
      <c r="F23" s="3262">
        <v>30</v>
      </c>
      <c r="G23" s="3191"/>
      <c r="H23" s="3191">
        <v>0.8</v>
      </c>
      <c r="I23" s="3191">
        <v>0.06</v>
      </c>
      <c r="J23" s="3270">
        <v>0.16</v>
      </c>
      <c r="K23" s="3192">
        <f>IF(OR(M23=0,N23=0),F23,IF(D23-M23&gt;=(0.2*D23),F23*(1-((D23-M23)/D23)),F23))</f>
        <v>30</v>
      </c>
      <c r="L23" s="3192">
        <f t="shared" si="0"/>
        <v>30</v>
      </c>
      <c r="M23" s="3193">
        <f>IF(N23&gt;0,IF(Fläche!F20&gt;0,Fläche!F20,D23),0)</f>
        <v>0</v>
      </c>
      <c r="N23" s="3194">
        <f>Fläche!E20</f>
        <v>0</v>
      </c>
      <c r="O23" s="3280"/>
      <c r="P23" s="3195">
        <f t="shared" si="2"/>
        <v>0</v>
      </c>
      <c r="Q23" s="2508"/>
      <c r="R23" s="2509"/>
      <c r="S23" s="2510"/>
      <c r="T23" s="2510"/>
      <c r="U23" s="2510"/>
      <c r="V23" s="2507">
        <f t="shared" si="1"/>
        <v>25</v>
      </c>
      <c r="W23" s="2506"/>
      <c r="X23" s="2506"/>
    </row>
    <row r="24" spans="1:24" ht="12.75">
      <c r="A24" s="2829"/>
      <c r="B24" s="3093" t="str">
        <f>Texte!A3590</f>
        <v>Wintertriticale</v>
      </c>
      <c r="C24" s="3196" t="str">
        <f>IF(R24,Texte!$A$3576,"")</f>
        <v/>
      </c>
      <c r="D24" s="3190">
        <v>60</v>
      </c>
      <c r="E24" s="3190">
        <v>95</v>
      </c>
      <c r="F24" s="3262">
        <v>110</v>
      </c>
      <c r="G24" s="3191">
        <v>0.3</v>
      </c>
      <c r="H24" s="3191">
        <v>0.72</v>
      </c>
      <c r="I24" s="3272">
        <v>0</v>
      </c>
      <c r="J24" s="3270">
        <v>0.08</v>
      </c>
      <c r="K24" s="3192">
        <f>IF(OR(M24=0,N24=0),F24,IF(M24-D24&gt;0,IF(R24,F24+(MIN(M24,E24)-D24)*G24,F24),IF(M24-D24&lt;0,F24+(M24-D24)*G24,F24)))</f>
        <v>110</v>
      </c>
      <c r="L24" s="3192">
        <f t="shared" si="0"/>
        <v>110</v>
      </c>
      <c r="M24" s="3193">
        <f>IF(N24&gt;0,IF(Fläche!F21&gt;0,(Fläche!F21*Fläche!E21 - M25*N25)/N24,D24),0)</f>
        <v>0</v>
      </c>
      <c r="N24" s="3194">
        <f>IF(Fläche!E21&gt;0,Fläche!E21-N25,0)</f>
        <v>0</v>
      </c>
      <c r="O24" s="3280"/>
      <c r="P24" s="3195">
        <f t="shared" si="2"/>
        <v>0</v>
      </c>
      <c r="Q24" s="2508"/>
      <c r="R24" s="2509" t="b">
        <f>Fläche!T21</f>
        <v>0</v>
      </c>
      <c r="S24" s="2510"/>
      <c r="T24" s="2510"/>
      <c r="U24" s="2510"/>
      <c r="V24" s="2507">
        <f t="shared" si="1"/>
        <v>95</v>
      </c>
      <c r="W24" s="2506"/>
      <c r="X24" s="2506"/>
    </row>
    <row r="25" spans="1:24" ht="12.75">
      <c r="A25" s="2829"/>
      <c r="B25" s="3093" t="str">
        <f>Texte!A3590</f>
        <v>Wintertriticale</v>
      </c>
      <c r="C25" s="3196" t="str">
        <f>Texte!A3577</f>
        <v>in 62a Nitrat-Projekt</v>
      </c>
      <c r="D25" s="3190">
        <v>60</v>
      </c>
      <c r="E25" s="3190"/>
      <c r="F25" s="3262">
        <v>110</v>
      </c>
      <c r="G25" s="3191"/>
      <c r="H25" s="3191">
        <v>0.72</v>
      </c>
      <c r="I25" s="3272">
        <v>0</v>
      </c>
      <c r="J25" s="3270">
        <v>0.08</v>
      </c>
      <c r="K25" s="3192">
        <f>IF(OR(M25=0,N25=0),F25,IF(D25-M25&gt;=(0.2*D25),F25*(1-((D25-M25)/D25)),F25))</f>
        <v>110</v>
      </c>
      <c r="L25" s="3192">
        <f t="shared" si="0"/>
        <v>110</v>
      </c>
      <c r="M25" s="3281"/>
      <c r="N25" s="3283"/>
      <c r="O25" s="3280"/>
      <c r="P25" s="3195">
        <f t="shared" si="2"/>
        <v>0</v>
      </c>
      <c r="Q25" s="2508"/>
      <c r="R25" s="2509"/>
      <c r="S25" s="2510"/>
      <c r="T25" s="2510"/>
      <c r="U25" s="2510"/>
      <c r="V25" s="2507">
        <f t="shared" si="1"/>
        <v>60</v>
      </c>
      <c r="W25" s="2506"/>
      <c r="X25" s="2506"/>
    </row>
    <row r="26" spans="1:24" ht="12.75">
      <c r="A26" s="2829"/>
      <c r="B26" s="3092" t="str">
        <f>Texte!A3591</f>
        <v>Sommertriticale</v>
      </c>
      <c r="C26" s="3189"/>
      <c r="D26" s="3190">
        <v>55</v>
      </c>
      <c r="E26" s="3190"/>
      <c r="F26" s="3262">
        <v>100</v>
      </c>
      <c r="G26" s="3191"/>
      <c r="H26" s="3191">
        <v>0.71</v>
      </c>
      <c r="I26" s="3191">
        <v>0.49</v>
      </c>
      <c r="J26" s="3270">
        <v>0.09</v>
      </c>
      <c r="K26" s="3192">
        <f>IF(OR(M26=0,N26=0),F26,IF(D26-M26&gt;=(0.2*D26),F26*(1-((D26-M26)/D26)),F26))</f>
        <v>100</v>
      </c>
      <c r="L26" s="3192">
        <f t="shared" si="0"/>
        <v>100</v>
      </c>
      <c r="M26" s="3193">
        <f>IF(N26&gt;0,IF(Fläche!F22&gt;0,Fläche!F22,D26),0)</f>
        <v>0</v>
      </c>
      <c r="N26" s="3194">
        <f>Fläche!E22</f>
        <v>0</v>
      </c>
      <c r="O26" s="3280"/>
      <c r="P26" s="3195">
        <f t="shared" si="2"/>
        <v>0</v>
      </c>
      <c r="Q26" s="2508"/>
      <c r="R26" s="2509"/>
      <c r="S26" s="2510"/>
      <c r="T26" s="2510"/>
      <c r="U26" s="2510"/>
      <c r="V26" s="2507">
        <f t="shared" si="1"/>
        <v>55</v>
      </c>
      <c r="W26" s="2506"/>
      <c r="X26" s="2506"/>
    </row>
    <row r="27" spans="1:24" ht="12.75">
      <c r="A27" s="2829"/>
      <c r="B27" s="3092" t="str">
        <f>Texte!A3592</f>
        <v>Getreide-Silage</v>
      </c>
      <c r="C27" s="3189"/>
      <c r="D27" s="3190">
        <v>106</v>
      </c>
      <c r="E27" s="3190">
        <v>106</v>
      </c>
      <c r="F27" s="3262">
        <v>110</v>
      </c>
      <c r="G27" s="3191"/>
      <c r="H27" s="3191">
        <f>63/$D27</f>
        <v>0.59433962264150941</v>
      </c>
      <c r="I27" s="3191">
        <f>102/$D27</f>
        <v>0.96226415094339623</v>
      </c>
      <c r="J27" s="3270">
        <f>11/$D27</f>
        <v>0.10377358490566038</v>
      </c>
      <c r="K27" s="3192">
        <f>IF(OR(M27=0,N27=0),F27,IF(D27-M27&gt;=(0.2*D27),F27*(1-((D27-M27)/D27)),F27))</f>
        <v>110</v>
      </c>
      <c r="L27" s="3192">
        <f t="shared" si="0"/>
        <v>110</v>
      </c>
      <c r="M27" s="3193">
        <f>IF(N27&gt;0,IF(Fläche!F23&gt;0,Fläche!F23,D27),0)</f>
        <v>0</v>
      </c>
      <c r="N27" s="3194">
        <f>Fläche!E23</f>
        <v>0</v>
      </c>
      <c r="O27" s="3108"/>
      <c r="P27" s="3284"/>
      <c r="Q27" s="2508">
        <f>M27</f>
        <v>0</v>
      </c>
      <c r="R27" s="2901">
        <f>MIN(Q27,V27)</f>
        <v>0</v>
      </c>
      <c r="S27" s="2510"/>
      <c r="T27" s="2510"/>
      <c r="U27" s="2510"/>
      <c r="V27" s="2507">
        <f t="shared" si="1"/>
        <v>106</v>
      </c>
      <c r="W27" s="2506"/>
      <c r="X27" s="2506"/>
    </row>
    <row r="28" spans="1:24" ht="13.5" thickBot="1">
      <c r="A28" s="2829"/>
      <c r="B28" s="3092" t="str">
        <f>Texte!A3593</f>
        <v>Getreide-Silage mit Leguminosen</v>
      </c>
      <c r="C28" s="3189"/>
      <c r="D28" s="3197">
        <v>106</v>
      </c>
      <c r="E28" s="3197">
        <v>106</v>
      </c>
      <c r="F28" s="3265">
        <v>80</v>
      </c>
      <c r="G28" s="3206"/>
      <c r="H28" s="3206">
        <f>60/$D28</f>
        <v>0.56603773584905659</v>
      </c>
      <c r="I28" s="3206">
        <f>120/$D28</f>
        <v>1.1320754716981132</v>
      </c>
      <c r="J28" s="3266">
        <f>10/$D28</f>
        <v>9.4339622641509441E-2</v>
      </c>
      <c r="K28" s="3198">
        <f>IF(OR(M28=0,N28=0),F28,IF(D28-M28&gt;=(0.2*D28),F28*(1-((D28-M28)/D28)),F28))</f>
        <v>80</v>
      </c>
      <c r="L28" s="3198">
        <f t="shared" si="0"/>
        <v>80</v>
      </c>
      <c r="M28" s="3199">
        <f>IF(N28&gt;0,IF(Fläche!F24&gt;0,Fläche!F24,D28),0)</f>
        <v>106</v>
      </c>
      <c r="N28" s="3200">
        <f>Fläche!E24</f>
        <v>1.6211</v>
      </c>
      <c r="O28" s="3109"/>
      <c r="P28" s="3300"/>
      <c r="Q28" s="2508">
        <f>M28</f>
        <v>106</v>
      </c>
      <c r="R28" s="2901">
        <f>MIN(Q28,V28)</f>
        <v>106</v>
      </c>
      <c r="S28" s="2510"/>
      <c r="T28" s="2510"/>
      <c r="U28" s="2510"/>
      <c r="V28" s="2507">
        <f t="shared" si="1"/>
        <v>106</v>
      </c>
      <c r="W28" s="2506"/>
      <c r="X28" s="2506"/>
    </row>
    <row r="29" spans="1:24" ht="13.5" thickBot="1">
      <c r="A29" s="2829"/>
      <c r="B29" s="3138" t="str">
        <f>Texte!A3594</f>
        <v>Hackfrüchte</v>
      </c>
      <c r="C29" s="3274"/>
      <c r="D29" s="3135"/>
      <c r="E29" s="3135"/>
      <c r="F29" s="3134"/>
      <c r="G29" s="3134"/>
      <c r="H29" s="3134"/>
      <c r="I29" s="3134"/>
      <c r="J29" s="3134"/>
      <c r="K29" s="3135"/>
      <c r="L29" s="3135"/>
      <c r="M29" s="3201"/>
      <c r="N29" s="3202"/>
      <c r="O29" s="3203"/>
      <c r="P29" s="3204"/>
      <c r="Q29" s="2508"/>
      <c r="R29" s="2509"/>
      <c r="S29" s="2510"/>
      <c r="T29" s="2510"/>
      <c r="U29" s="2510"/>
      <c r="V29" s="2506"/>
      <c r="W29" s="2506"/>
      <c r="X29" s="2506"/>
    </row>
    <row r="30" spans="1:24" ht="12.75">
      <c r="A30" s="2829"/>
      <c r="B30" s="3094" t="str">
        <f>Texte!A3595</f>
        <v>Winterraps für Speiseöl</v>
      </c>
      <c r="C30" s="3146" t="str">
        <f>IF(R30,Texte!$A$3576,"")</f>
        <v/>
      </c>
      <c r="D30" s="3190">
        <v>35</v>
      </c>
      <c r="E30" s="3190">
        <v>45</v>
      </c>
      <c r="F30" s="3267">
        <v>150</v>
      </c>
      <c r="G30" s="3268">
        <v>3</v>
      </c>
      <c r="H30" s="3268">
        <v>1.43</v>
      </c>
      <c r="I30" s="3268">
        <v>0.86</v>
      </c>
      <c r="J30" s="3269">
        <v>0.23</v>
      </c>
      <c r="K30" s="3192">
        <f>IF(OR(M30=0,N30=0),F30,IF(M30-D30&gt;0,IF(R30,F30+(MIN(M30,E30)-D30)*G30,F30),IF(M30-D30&lt;0,F30+(M30-D30)*G30,F30)))</f>
        <v>150</v>
      </c>
      <c r="L30" s="3192">
        <f t="shared" ref="L30:L53" si="3">IF(AND(R30,K30&gt;F30),F30&amp;"+"&amp;ROUND(K30-F30,0),K30)</f>
        <v>150</v>
      </c>
      <c r="M30" s="3193">
        <f>IF(N30&gt;0,IF(Fläche!F26&gt;0,(Fläche!F26*Fläche!E26 - M31*N31)/N30,D30),0)</f>
        <v>0</v>
      </c>
      <c r="N30" s="3194">
        <f>IF(Fläche!E26&gt;0,Fläche!E26-N31,0)</f>
        <v>0</v>
      </c>
      <c r="O30" s="3280"/>
      <c r="P30" s="3195">
        <f t="shared" ref="P30:P53" si="4">N30 - O30</f>
        <v>0</v>
      </c>
      <c r="Q30" s="2508"/>
      <c r="R30" s="2509" t="b">
        <f>Fläche!T26</f>
        <v>0</v>
      </c>
      <c r="S30" s="2510"/>
      <c r="T30" s="2510"/>
      <c r="U30" s="2510"/>
      <c r="V30" s="2507">
        <f>MAX(D30:E30)</f>
        <v>45</v>
      </c>
      <c r="W30" s="2506"/>
      <c r="X30" s="2506"/>
    </row>
    <row r="31" spans="1:24" ht="12.75">
      <c r="A31" s="2829"/>
      <c r="B31" s="3094" t="str">
        <f>Texte!A3595</f>
        <v>Winterraps für Speiseöl</v>
      </c>
      <c r="C31" s="3196" t="str">
        <f>Texte!A3577</f>
        <v>in 62a Nitrat-Projekt</v>
      </c>
      <c r="D31" s="3190">
        <v>35</v>
      </c>
      <c r="E31" s="3190"/>
      <c r="F31" s="3262">
        <v>150</v>
      </c>
      <c r="G31" s="3191"/>
      <c r="H31" s="3191">
        <v>1.43</v>
      </c>
      <c r="I31" s="3191">
        <v>0.86</v>
      </c>
      <c r="J31" s="3270">
        <v>0.23</v>
      </c>
      <c r="K31" s="3192">
        <f t="shared" ref="K31:K47" si="5">IF(OR(M31=0,N31=0),F31,IF(D31-M31&gt;=(0.2*D31),F31*(1-((D31-M31)/D31)),F31))</f>
        <v>150</v>
      </c>
      <c r="L31" s="3192">
        <f t="shared" si="3"/>
        <v>150</v>
      </c>
      <c r="M31" s="3281"/>
      <c r="N31" s="3282"/>
      <c r="O31" s="3280"/>
      <c r="P31" s="3195">
        <f t="shared" si="4"/>
        <v>0</v>
      </c>
      <c r="Q31" s="2508"/>
      <c r="R31" s="2509"/>
      <c r="S31" s="2510"/>
      <c r="T31" s="2510"/>
      <c r="U31" s="2510"/>
      <c r="V31" s="2507">
        <f t="shared" ref="V31:V53" si="6">MAX(D31:E31)</f>
        <v>35</v>
      </c>
      <c r="W31" s="2506"/>
      <c r="X31" s="2506"/>
    </row>
    <row r="32" spans="1:24" ht="12.75">
      <c r="A32" s="2829"/>
      <c r="B32" s="3094" t="str">
        <f>Texte!A3596</f>
        <v>Sommerraps</v>
      </c>
      <c r="C32" s="3146"/>
      <c r="D32" s="3190">
        <v>25</v>
      </c>
      <c r="E32" s="3190"/>
      <c r="F32" s="3262">
        <v>120</v>
      </c>
      <c r="G32" s="3191"/>
      <c r="H32" s="3191">
        <v>1.48</v>
      </c>
      <c r="I32" s="3191">
        <v>0.84</v>
      </c>
      <c r="J32" s="3270">
        <v>0.28000000000000003</v>
      </c>
      <c r="K32" s="3192">
        <f t="shared" si="5"/>
        <v>120</v>
      </c>
      <c r="L32" s="3192">
        <f t="shared" si="3"/>
        <v>120</v>
      </c>
      <c r="M32" s="3193">
        <f>IF(N32&gt;0,IF(Fläche!F27&gt;0,Fläche!F27,D32),0)</f>
        <v>0</v>
      </c>
      <c r="N32" s="3194">
        <f>Fläche!E27</f>
        <v>0</v>
      </c>
      <c r="O32" s="3280"/>
      <c r="P32" s="3195">
        <f t="shared" si="4"/>
        <v>0</v>
      </c>
      <c r="Q32" s="2508"/>
      <c r="R32" s="2509"/>
      <c r="S32" s="2510"/>
      <c r="T32" s="2510"/>
      <c r="U32" s="2510"/>
      <c r="V32" s="2507">
        <f t="shared" si="6"/>
        <v>25</v>
      </c>
      <c r="W32" s="2506"/>
      <c r="X32" s="2506"/>
    </row>
    <row r="33" spans="1:24" ht="12.75">
      <c r="A33" s="2829"/>
      <c r="B33" s="3094" t="str">
        <f>Texte!A3597</f>
        <v>Kartoffeln, Speise- u. Industrie-</v>
      </c>
      <c r="C33" s="3146" t="str">
        <f xml:space="preserve"> Texte!A3601</f>
        <v>Gruppe b</v>
      </c>
      <c r="D33" s="3190">
        <v>450</v>
      </c>
      <c r="E33" s="3190"/>
      <c r="F33" s="3262">
        <v>120</v>
      </c>
      <c r="G33" s="3191"/>
      <c r="H33" s="3191">
        <v>0.16</v>
      </c>
      <c r="I33" s="3191">
        <v>0.71</v>
      </c>
      <c r="J33" s="3270">
        <v>0.03</v>
      </c>
      <c r="K33" s="3192">
        <f t="shared" ref="K33:K41" si="7">IF(OR(M33=0,N33=0),F33,IF(D33-M33&gt;=(0.2*D33),F33*(1-((D33-M33)/D33)),F33))</f>
        <v>120</v>
      </c>
      <c r="L33" s="3192">
        <f t="shared" si="3"/>
        <v>120</v>
      </c>
      <c r="M33" s="3193">
        <f>IF(N33&gt;0,IF(Fläche!F28&gt;0,Fläche!F28,D33),0)</f>
        <v>450</v>
      </c>
      <c r="N33" s="3194">
        <f>Fläche!E28-SUM(N34:N35)</f>
        <v>8</v>
      </c>
      <c r="O33" s="3108"/>
      <c r="P33" s="3195">
        <f t="shared" si="4"/>
        <v>8</v>
      </c>
      <c r="Q33" s="2508"/>
      <c r="R33" s="2509"/>
      <c r="S33" s="2510"/>
      <c r="T33" s="2510"/>
      <c r="U33" s="2510"/>
      <c r="V33" s="2507">
        <f t="shared" si="6"/>
        <v>450</v>
      </c>
      <c r="W33" s="2506"/>
      <c r="X33" s="2506"/>
    </row>
    <row r="34" spans="1:24" ht="12.75">
      <c r="A34" s="2829"/>
      <c r="B34" s="3094" t="str">
        <f>Texte!A3597</f>
        <v>Kartoffeln, Speise- u. Industrie-</v>
      </c>
      <c r="C34" s="3146" t="str">
        <f xml:space="preserve"> Texte!A3600</f>
        <v>Gruppe a</v>
      </c>
      <c r="D34" s="3190">
        <v>450</v>
      </c>
      <c r="E34" s="3190"/>
      <c r="F34" s="3262">
        <v>80</v>
      </c>
      <c r="G34" s="3191"/>
      <c r="H34" s="3191">
        <v>0.16</v>
      </c>
      <c r="I34" s="3191">
        <v>0.71</v>
      </c>
      <c r="J34" s="3270">
        <v>0.03</v>
      </c>
      <c r="K34" s="3192">
        <f t="shared" si="7"/>
        <v>80</v>
      </c>
      <c r="L34" s="3192">
        <f t="shared" si="3"/>
        <v>80</v>
      </c>
      <c r="M34" s="3281">
        <f>R34</f>
        <v>450</v>
      </c>
      <c r="N34" s="3282"/>
      <c r="O34" s="3108"/>
      <c r="P34" s="3195">
        <f t="shared" si="4"/>
        <v>0</v>
      </c>
      <c r="Q34" s="2508"/>
      <c r="R34" s="2509">
        <f>IF(Fläche!$E$28="",0,IF(Fläche!$F$28="",D34,Fläche!$F$28))</f>
        <v>450</v>
      </c>
      <c r="S34" s="2510"/>
      <c r="T34" s="2510"/>
      <c r="U34" s="2510"/>
      <c r="V34" s="2507">
        <f t="shared" si="6"/>
        <v>450</v>
      </c>
      <c r="W34" s="2506"/>
      <c r="X34" s="2506"/>
    </row>
    <row r="35" spans="1:24" ht="12.75">
      <c r="A35" s="2829"/>
      <c r="B35" s="3094" t="str">
        <f>Texte!A3597</f>
        <v>Kartoffeln, Speise- u. Industrie-</v>
      </c>
      <c r="C35" s="3146" t="str">
        <f xml:space="preserve"> Texte!A3602</f>
        <v>Gruppe c</v>
      </c>
      <c r="D35" s="3190">
        <v>450</v>
      </c>
      <c r="E35" s="3190"/>
      <c r="F35" s="3262">
        <v>160</v>
      </c>
      <c r="G35" s="3191"/>
      <c r="H35" s="3191">
        <v>0.16</v>
      </c>
      <c r="I35" s="3191">
        <v>0.71</v>
      </c>
      <c r="J35" s="3270">
        <v>0.03</v>
      </c>
      <c r="K35" s="3192">
        <f t="shared" si="7"/>
        <v>160</v>
      </c>
      <c r="L35" s="3192">
        <f t="shared" si="3"/>
        <v>160</v>
      </c>
      <c r="M35" s="3281">
        <f>R35</f>
        <v>450</v>
      </c>
      <c r="N35" s="3282"/>
      <c r="O35" s="3108"/>
      <c r="P35" s="3195">
        <f t="shared" si="4"/>
        <v>0</v>
      </c>
      <c r="Q35" s="2508"/>
      <c r="R35" s="2509">
        <f>IF(Fläche!$E$28="",0,IF(Fläche!$F$28="",D35,Fläche!$F$28))</f>
        <v>450</v>
      </c>
      <c r="S35" s="2510"/>
      <c r="T35" s="2510"/>
      <c r="U35" s="2510"/>
      <c r="V35" s="2507">
        <f t="shared" si="6"/>
        <v>450</v>
      </c>
      <c r="W35" s="2506"/>
      <c r="X35" s="2506"/>
    </row>
    <row r="36" spans="1:24" ht="12.75">
      <c r="A36" s="2829"/>
      <c r="B36" s="3094" t="str">
        <f>Texte!A3598</f>
        <v>Kartoffeln, Früh-</v>
      </c>
      <c r="C36" s="3146" t="str">
        <f xml:space="preserve"> Texte!A3601</f>
        <v>Gruppe b</v>
      </c>
      <c r="D36" s="3190">
        <v>300</v>
      </c>
      <c r="E36" s="3190"/>
      <c r="F36" s="3262">
        <v>110</v>
      </c>
      <c r="G36" s="3191"/>
      <c r="H36" s="3191">
        <v>0.19</v>
      </c>
      <c r="I36" s="3191">
        <v>0.69</v>
      </c>
      <c r="J36" s="3270">
        <v>0.03</v>
      </c>
      <c r="K36" s="3192">
        <f t="shared" si="7"/>
        <v>110</v>
      </c>
      <c r="L36" s="3192">
        <f t="shared" si="3"/>
        <v>110</v>
      </c>
      <c r="M36" s="3193">
        <f>IF(N36&gt;0,IF(Fläche!F29&gt;0,Fläche!F29,D36),0)</f>
        <v>0</v>
      </c>
      <c r="N36" s="3194">
        <f>Fläche!E29-SUM(N37:N38)</f>
        <v>0</v>
      </c>
      <c r="O36" s="3108"/>
      <c r="P36" s="3195">
        <f t="shared" si="4"/>
        <v>0</v>
      </c>
      <c r="Q36" s="2508"/>
      <c r="R36" s="2509"/>
      <c r="S36" s="2510"/>
      <c r="T36" s="2510"/>
      <c r="U36" s="2510"/>
      <c r="V36" s="2507">
        <f t="shared" si="6"/>
        <v>300</v>
      </c>
      <c r="W36" s="2506"/>
      <c r="X36" s="2506"/>
    </row>
    <row r="37" spans="1:24" ht="12.75">
      <c r="A37" s="2829"/>
      <c r="B37" s="3094" t="str">
        <f>Texte!A3598</f>
        <v>Kartoffeln, Früh-</v>
      </c>
      <c r="C37" s="3146" t="str">
        <f xml:space="preserve"> Texte!A3600</f>
        <v>Gruppe a</v>
      </c>
      <c r="D37" s="3190">
        <v>300</v>
      </c>
      <c r="E37" s="3190"/>
      <c r="F37" s="3262">
        <v>70</v>
      </c>
      <c r="G37" s="3191"/>
      <c r="H37" s="3191">
        <v>0.19</v>
      </c>
      <c r="I37" s="3191">
        <v>0.69</v>
      </c>
      <c r="J37" s="3270">
        <v>0.03</v>
      </c>
      <c r="K37" s="3192">
        <f t="shared" si="7"/>
        <v>70</v>
      </c>
      <c r="L37" s="3192">
        <f t="shared" si="3"/>
        <v>70</v>
      </c>
      <c r="M37" s="3281">
        <f>R37</f>
        <v>0</v>
      </c>
      <c r="N37" s="3282"/>
      <c r="O37" s="3108"/>
      <c r="P37" s="3195">
        <f t="shared" si="4"/>
        <v>0</v>
      </c>
      <c r="Q37" s="2508"/>
      <c r="R37" s="2509">
        <f>IF(Fläche!$E$29="",0,IF(Fläche!$F$29="",D37,Fläche!$F$29))</f>
        <v>0</v>
      </c>
      <c r="S37" s="2510"/>
      <c r="T37" s="2510"/>
      <c r="U37" s="2510"/>
      <c r="V37" s="2507">
        <f t="shared" si="6"/>
        <v>300</v>
      </c>
      <c r="W37" s="2506"/>
      <c r="X37" s="2506"/>
    </row>
    <row r="38" spans="1:24" ht="12.75">
      <c r="A38" s="2829"/>
      <c r="B38" s="3094" t="str">
        <f>Texte!A3598</f>
        <v>Kartoffeln, Früh-</v>
      </c>
      <c r="C38" s="3146" t="str">
        <f xml:space="preserve"> Texte!A3602</f>
        <v>Gruppe c</v>
      </c>
      <c r="D38" s="3190">
        <v>300</v>
      </c>
      <c r="E38" s="3190"/>
      <c r="F38" s="3262">
        <v>150</v>
      </c>
      <c r="G38" s="3191"/>
      <c r="H38" s="3191">
        <v>0.19</v>
      </c>
      <c r="I38" s="3191">
        <v>0.69</v>
      </c>
      <c r="J38" s="3270">
        <v>0.03</v>
      </c>
      <c r="K38" s="3192">
        <f t="shared" si="7"/>
        <v>150</v>
      </c>
      <c r="L38" s="3192">
        <f t="shared" si="3"/>
        <v>150</v>
      </c>
      <c r="M38" s="3281">
        <f>R38</f>
        <v>0</v>
      </c>
      <c r="N38" s="3282"/>
      <c r="O38" s="3108"/>
      <c r="P38" s="3195">
        <f t="shared" si="4"/>
        <v>0</v>
      </c>
      <c r="Q38" s="2508"/>
      <c r="R38" s="2509">
        <f>IF(Fläche!$E$29="",0,IF(Fläche!$F$29="",D38,Fläche!$F$29))</f>
        <v>0</v>
      </c>
      <c r="S38" s="2510"/>
      <c r="T38" s="2510"/>
      <c r="U38" s="2510"/>
      <c r="V38" s="2507">
        <f t="shared" si="6"/>
        <v>300</v>
      </c>
      <c r="W38" s="2506"/>
      <c r="X38" s="2506"/>
    </row>
    <row r="39" spans="1:24" ht="12.75">
      <c r="A39" s="2829"/>
      <c r="B39" s="3094" t="str">
        <f>Texte!A3599</f>
        <v>Kartoffeln, Pflanz-</v>
      </c>
      <c r="C39" s="3146" t="str">
        <f xml:space="preserve"> Texte!A3601</f>
        <v>Gruppe b</v>
      </c>
      <c r="D39" s="3190">
        <v>250</v>
      </c>
      <c r="E39" s="3190"/>
      <c r="F39" s="3262">
        <v>100</v>
      </c>
      <c r="G39" s="3191"/>
      <c r="H39" s="3191">
        <v>0.19</v>
      </c>
      <c r="I39" s="3191">
        <v>0.71</v>
      </c>
      <c r="J39" s="3270">
        <v>0.03</v>
      </c>
      <c r="K39" s="3192">
        <f t="shared" si="7"/>
        <v>100</v>
      </c>
      <c r="L39" s="3192">
        <f t="shared" si="3"/>
        <v>100</v>
      </c>
      <c r="M39" s="3193">
        <f>IF(N39&gt;0,IF(Fläche!F30&gt;0,Fläche!F30,D39),0)</f>
        <v>250</v>
      </c>
      <c r="N39" s="3194">
        <f>Fläche!E30-SUM(N40:N41)</f>
        <v>6.1825000000000001</v>
      </c>
      <c r="O39" s="3108"/>
      <c r="P39" s="3195">
        <f t="shared" si="4"/>
        <v>6.1825000000000001</v>
      </c>
      <c r="Q39" s="2508"/>
      <c r="R39" s="2509"/>
      <c r="S39" s="2510"/>
      <c r="T39" s="2510"/>
      <c r="U39" s="2510"/>
      <c r="V39" s="2507">
        <f t="shared" si="6"/>
        <v>250</v>
      </c>
      <c r="W39" s="2506"/>
      <c r="X39" s="2506"/>
    </row>
    <row r="40" spans="1:24" ht="12.75">
      <c r="A40" s="2829"/>
      <c r="B40" s="3094" t="str">
        <f>Texte!A3599</f>
        <v>Kartoffeln, Pflanz-</v>
      </c>
      <c r="C40" s="3146" t="str">
        <f xml:space="preserve"> Texte!A3600</f>
        <v>Gruppe a</v>
      </c>
      <c r="D40" s="3190">
        <v>250</v>
      </c>
      <c r="E40" s="3190"/>
      <c r="F40" s="3262">
        <v>60</v>
      </c>
      <c r="G40" s="3191"/>
      <c r="H40" s="3191">
        <v>0.19</v>
      </c>
      <c r="I40" s="3191">
        <v>0.71</v>
      </c>
      <c r="J40" s="3270">
        <v>0.03</v>
      </c>
      <c r="K40" s="3192">
        <f t="shared" si="7"/>
        <v>60</v>
      </c>
      <c r="L40" s="3192">
        <f t="shared" si="3"/>
        <v>60</v>
      </c>
      <c r="M40" s="3281">
        <f>R40</f>
        <v>250</v>
      </c>
      <c r="N40" s="3282"/>
      <c r="O40" s="3108"/>
      <c r="P40" s="3195">
        <f t="shared" si="4"/>
        <v>0</v>
      </c>
      <c r="Q40" s="2508"/>
      <c r="R40" s="2509">
        <f>IF(Fläche!$E$30="",0,IF(Fläche!$F$30="",D40,Fläche!$F$30))</f>
        <v>250</v>
      </c>
      <c r="S40" s="2510"/>
      <c r="T40" s="2510"/>
      <c r="U40" s="2510"/>
      <c r="V40" s="2507">
        <f t="shared" si="6"/>
        <v>250</v>
      </c>
      <c r="W40" s="2506"/>
      <c r="X40" s="2506"/>
    </row>
    <row r="41" spans="1:24" ht="12.75">
      <c r="A41" s="2829"/>
      <c r="B41" s="3094" t="str">
        <f>Texte!A3599</f>
        <v>Kartoffeln, Pflanz-</v>
      </c>
      <c r="C41" s="3146" t="str">
        <f xml:space="preserve"> Texte!A3602</f>
        <v>Gruppe c</v>
      </c>
      <c r="D41" s="3190">
        <v>250</v>
      </c>
      <c r="E41" s="3190"/>
      <c r="F41" s="3262">
        <v>140</v>
      </c>
      <c r="G41" s="3191"/>
      <c r="H41" s="3191">
        <v>0.19</v>
      </c>
      <c r="I41" s="3191">
        <v>0.71</v>
      </c>
      <c r="J41" s="3270">
        <v>0.03</v>
      </c>
      <c r="K41" s="3192">
        <f t="shared" si="7"/>
        <v>140</v>
      </c>
      <c r="L41" s="3192">
        <f t="shared" si="3"/>
        <v>140</v>
      </c>
      <c r="M41" s="3281">
        <f>R41</f>
        <v>250</v>
      </c>
      <c r="N41" s="3282"/>
      <c r="O41" s="3108"/>
      <c r="P41" s="3195">
        <f t="shared" si="4"/>
        <v>0</v>
      </c>
      <c r="Q41" s="2508"/>
      <c r="R41" s="2509">
        <f>IF(Fläche!$E$30="",0,IF(Fläche!$F$30="",D41,Fläche!$F$30))</f>
        <v>250</v>
      </c>
      <c r="S41" s="2510"/>
      <c r="T41" s="2510"/>
      <c r="U41" s="2510"/>
      <c r="V41" s="2507">
        <f t="shared" si="6"/>
        <v>250</v>
      </c>
      <c r="W41" s="2506"/>
      <c r="X41" s="2506"/>
    </row>
    <row r="42" spans="1:24" ht="12.75">
      <c r="A42" s="2829"/>
      <c r="B42" s="3094" t="str">
        <f>Texte!A3603</f>
        <v>Zuckerrüben</v>
      </c>
      <c r="C42" s="3146"/>
      <c r="D42" s="3190">
        <v>900</v>
      </c>
      <c r="E42" s="3190"/>
      <c r="F42" s="3262">
        <v>100</v>
      </c>
      <c r="G42" s="3191"/>
      <c r="H42" s="3191">
        <v>0.06</v>
      </c>
      <c r="I42" s="3191">
        <v>0.09</v>
      </c>
      <c r="J42" s="3270">
        <v>0.03</v>
      </c>
      <c r="K42" s="3192">
        <f t="shared" si="5"/>
        <v>100</v>
      </c>
      <c r="L42" s="3192">
        <f t="shared" si="3"/>
        <v>100</v>
      </c>
      <c r="M42" s="3193">
        <f>IF(N42&gt;0,IF(Fläche!F31&gt;0,Fläche!F31,D42),0)</f>
        <v>0</v>
      </c>
      <c r="N42" s="3194">
        <f>Fläche!E31</f>
        <v>0</v>
      </c>
      <c r="O42" s="3108"/>
      <c r="P42" s="3195">
        <f t="shared" si="4"/>
        <v>0</v>
      </c>
      <c r="Q42" s="2508">
        <f>M42</f>
        <v>0</v>
      </c>
      <c r="R42" s="3055">
        <f>Q42</f>
        <v>0</v>
      </c>
      <c r="S42" s="2510"/>
      <c r="T42" s="2510"/>
      <c r="U42" s="2510"/>
      <c r="V42" s="3060">
        <f t="shared" si="6"/>
        <v>900</v>
      </c>
      <c r="W42" s="2506"/>
      <c r="X42" s="2506"/>
    </row>
    <row r="43" spans="1:24" ht="12.75">
      <c r="A43" s="2829"/>
      <c r="B43" s="3094" t="str">
        <f>Texte!A3604</f>
        <v>Futterrüben</v>
      </c>
      <c r="C43" s="3146"/>
      <c r="D43" s="3190">
        <v>175</v>
      </c>
      <c r="E43" s="3190"/>
      <c r="F43" s="3262">
        <v>100</v>
      </c>
      <c r="G43" s="3191"/>
      <c r="H43" s="3191">
        <v>0.5</v>
      </c>
      <c r="I43" s="3191">
        <v>1.1200000000000001</v>
      </c>
      <c r="J43" s="3270">
        <v>0.13</v>
      </c>
      <c r="K43" s="3192">
        <f t="shared" si="5"/>
        <v>100</v>
      </c>
      <c r="L43" s="3192">
        <f t="shared" si="3"/>
        <v>100</v>
      </c>
      <c r="M43" s="3193">
        <f>IF(N43&gt;0,IF(Fläche!O29&gt;0,Fläche!O29,D43),0)</f>
        <v>0</v>
      </c>
      <c r="N43" s="3194">
        <f>Fläche!N29</f>
        <v>0</v>
      </c>
      <c r="O43" s="3108"/>
      <c r="P43" s="3284"/>
      <c r="Q43" s="2508">
        <f>M43</f>
        <v>0</v>
      </c>
      <c r="R43" s="3055">
        <f t="shared" ref="R43:R53" si="8">Q43</f>
        <v>0</v>
      </c>
      <c r="S43" s="2510"/>
      <c r="T43" s="2510"/>
      <c r="U43" s="2510"/>
      <c r="V43" s="3060">
        <f t="shared" si="6"/>
        <v>175</v>
      </c>
      <c r="W43" s="2506"/>
      <c r="X43" s="2506"/>
    </row>
    <row r="44" spans="1:24" ht="12.75">
      <c r="A44" s="2829"/>
      <c r="B44" s="3094" t="str">
        <f>Texte!A3605</f>
        <v>Körnermais</v>
      </c>
      <c r="C44" s="3146"/>
      <c r="D44" s="3190">
        <v>100</v>
      </c>
      <c r="E44" s="3190"/>
      <c r="F44" s="3262">
        <v>110</v>
      </c>
      <c r="G44" s="3191"/>
      <c r="H44" s="3191">
        <v>0.76</v>
      </c>
      <c r="I44" s="3191">
        <v>0.4</v>
      </c>
      <c r="J44" s="3270">
        <v>0.09</v>
      </c>
      <c r="K44" s="3192">
        <f t="shared" si="5"/>
        <v>110</v>
      </c>
      <c r="L44" s="3192">
        <f t="shared" si="3"/>
        <v>110</v>
      </c>
      <c r="M44" s="3193">
        <f>IF(N44&gt;0,IF(Fläche!F32&gt;0,Fläche!F32,D44),0)</f>
        <v>0</v>
      </c>
      <c r="N44" s="3194">
        <f>Fläche!E32</f>
        <v>0</v>
      </c>
      <c r="O44" s="3108"/>
      <c r="P44" s="3195">
        <f t="shared" si="4"/>
        <v>0</v>
      </c>
      <c r="Q44" s="2508">
        <f t="shared" ref="Q44:Q53" si="9">M44</f>
        <v>0</v>
      </c>
      <c r="R44" s="3055">
        <f t="shared" si="8"/>
        <v>0</v>
      </c>
      <c r="S44" s="2510"/>
      <c r="T44" s="2510"/>
      <c r="U44" s="2510"/>
      <c r="V44" s="3060">
        <f t="shared" si="6"/>
        <v>100</v>
      </c>
      <c r="W44" s="2506"/>
      <c r="X44" s="2506"/>
    </row>
    <row r="45" spans="1:24" ht="12.75">
      <c r="A45" s="2829"/>
      <c r="B45" s="3094" t="str">
        <f>Texte!A3606</f>
        <v>CCM, Feuchtkörnermais</v>
      </c>
      <c r="C45" s="3146"/>
      <c r="D45" s="3190">
        <v>100</v>
      </c>
      <c r="E45" s="3190"/>
      <c r="F45" s="3262">
        <v>110</v>
      </c>
      <c r="G45" s="3191"/>
      <c r="H45" s="3191">
        <v>0.76</v>
      </c>
      <c r="I45" s="3191">
        <v>0.4</v>
      </c>
      <c r="J45" s="3270">
        <v>0.09</v>
      </c>
      <c r="K45" s="3192">
        <f t="shared" si="5"/>
        <v>110</v>
      </c>
      <c r="L45" s="3192">
        <f t="shared" si="3"/>
        <v>110</v>
      </c>
      <c r="M45" s="3193">
        <f>IF(N45&gt;0,IF(Fläche!O30&gt;0,Fläche!O30,D45),0)</f>
        <v>0</v>
      </c>
      <c r="N45" s="3194">
        <f>Fläche!N30</f>
        <v>0</v>
      </c>
      <c r="O45" s="3108"/>
      <c r="P45" s="3195">
        <f t="shared" si="4"/>
        <v>0</v>
      </c>
      <c r="Q45" s="2508">
        <f t="shared" si="9"/>
        <v>0</v>
      </c>
      <c r="R45" s="3055">
        <f t="shared" si="8"/>
        <v>0</v>
      </c>
      <c r="S45" s="2510"/>
      <c r="T45" s="2510"/>
      <c r="U45" s="2510"/>
      <c r="V45" s="3060">
        <f t="shared" si="6"/>
        <v>100</v>
      </c>
      <c r="W45" s="2506"/>
      <c r="X45" s="2506"/>
    </row>
    <row r="46" spans="1:24" ht="12.75">
      <c r="A46" s="2829"/>
      <c r="B46" s="3094" t="str">
        <f>Texte!A3607</f>
        <v>Lieschkolbenschrot</v>
      </c>
      <c r="C46" s="3146"/>
      <c r="D46" s="3190">
        <v>100</v>
      </c>
      <c r="E46" s="3190"/>
      <c r="F46" s="3262">
        <v>110</v>
      </c>
      <c r="G46" s="3191"/>
      <c r="H46" s="3191">
        <v>0.76</v>
      </c>
      <c r="I46" s="3191">
        <v>0.4</v>
      </c>
      <c r="J46" s="3270">
        <v>0.09</v>
      </c>
      <c r="K46" s="3192">
        <f t="shared" si="5"/>
        <v>110</v>
      </c>
      <c r="L46" s="3192">
        <f t="shared" si="3"/>
        <v>110</v>
      </c>
      <c r="M46" s="3193">
        <f>IF(N46&gt;0,IF(Fläche!O31&gt;0,Fläche!O31,D46),0)</f>
        <v>0</v>
      </c>
      <c r="N46" s="3194">
        <f>Fläche!N31</f>
        <v>0</v>
      </c>
      <c r="O46" s="3108"/>
      <c r="P46" s="3195">
        <f t="shared" si="4"/>
        <v>0</v>
      </c>
      <c r="Q46" s="2508">
        <f t="shared" si="9"/>
        <v>0</v>
      </c>
      <c r="R46" s="3055">
        <f t="shared" si="8"/>
        <v>0</v>
      </c>
      <c r="S46" s="2510"/>
      <c r="T46" s="2510"/>
      <c r="U46" s="2510"/>
      <c r="V46" s="3060">
        <f t="shared" si="6"/>
        <v>100</v>
      </c>
      <c r="W46" s="2506"/>
      <c r="X46" s="2506"/>
    </row>
    <row r="47" spans="1:24" ht="12.75">
      <c r="A47" s="2829"/>
      <c r="B47" s="3094" t="str">
        <f>Texte!A3608</f>
        <v>Silomais</v>
      </c>
      <c r="C47" s="3146"/>
      <c r="D47" s="3190">
        <v>185</v>
      </c>
      <c r="E47" s="3190"/>
      <c r="F47" s="3262">
        <v>110</v>
      </c>
      <c r="G47" s="3191"/>
      <c r="H47" s="3191">
        <v>0.57999999999999996</v>
      </c>
      <c r="I47" s="3191">
        <v>1.3</v>
      </c>
      <c r="J47" s="3270">
        <v>0.13</v>
      </c>
      <c r="K47" s="3192">
        <f t="shared" si="5"/>
        <v>110</v>
      </c>
      <c r="L47" s="3192">
        <f t="shared" si="3"/>
        <v>110</v>
      </c>
      <c r="M47" s="3193">
        <f>IF(N47&gt;0,IF(Fläche!O27&gt;0,Fläche!O27,D47),0)</f>
        <v>185</v>
      </c>
      <c r="N47" s="3194">
        <f>Fläche!N27</f>
        <v>2</v>
      </c>
      <c r="O47" s="3108"/>
      <c r="P47" s="3284"/>
      <c r="Q47" s="2508">
        <f t="shared" si="9"/>
        <v>185</v>
      </c>
      <c r="R47" s="3055">
        <f t="shared" si="8"/>
        <v>185</v>
      </c>
      <c r="S47" s="3056"/>
      <c r="T47" s="3056"/>
      <c r="U47" s="3056"/>
      <c r="V47" s="3061">
        <f t="shared" si="6"/>
        <v>185</v>
      </c>
      <c r="W47" s="3057" t="str">
        <f>Fläche!K27</f>
        <v>Silomais</v>
      </c>
      <c r="X47" s="3057" t="s">
        <v>12011</v>
      </c>
    </row>
    <row r="48" spans="1:24" ht="12.75">
      <c r="A48" s="2829"/>
      <c r="B48" s="3094" t="str">
        <f>Texte!A3609</f>
        <v>Ganzpflanzen-Sorghum</v>
      </c>
      <c r="C48" s="3146"/>
      <c r="D48" s="3190">
        <v>185</v>
      </c>
      <c r="E48" s="3190"/>
      <c r="F48" s="3262">
        <v>110</v>
      </c>
      <c r="G48" s="3191"/>
      <c r="H48" s="3191">
        <v>0.57999999999999996</v>
      </c>
      <c r="I48" s="3191">
        <v>1.3</v>
      </c>
      <c r="J48" s="3270">
        <v>0.13</v>
      </c>
      <c r="K48" s="3192">
        <f>IF(OR(M48=0,N48=0),F48,IF(D48-M48&gt;=(0.2*D48),F48*(1-((D48-M48)/D48)),F48))</f>
        <v>110</v>
      </c>
      <c r="L48" s="3192">
        <f t="shared" si="3"/>
        <v>110</v>
      </c>
      <c r="M48" s="3193">
        <f>IF(N48&gt;0,IF(Fläche!O28&gt;0,Fläche!O28,D48),0)</f>
        <v>0</v>
      </c>
      <c r="N48" s="3194">
        <f>Fläche!N28</f>
        <v>0</v>
      </c>
      <c r="O48" s="3108"/>
      <c r="P48" s="3284"/>
      <c r="Q48" s="2508">
        <f t="shared" si="9"/>
        <v>0</v>
      </c>
      <c r="R48" s="3055">
        <f t="shared" si="8"/>
        <v>0</v>
      </c>
      <c r="S48" s="2510"/>
      <c r="T48" s="2510"/>
      <c r="U48" s="2510"/>
      <c r="V48" s="3060">
        <f t="shared" si="6"/>
        <v>185</v>
      </c>
      <c r="W48" s="2506"/>
      <c r="X48" s="2506"/>
    </row>
    <row r="49" spans="1:24" ht="12.75">
      <c r="A49" s="2829"/>
      <c r="B49" s="3094" t="str">
        <f>Texte!A3610</f>
        <v>Eiweisserbsen</v>
      </c>
      <c r="C49" s="3146"/>
      <c r="D49" s="3190">
        <v>40</v>
      </c>
      <c r="E49" s="3190"/>
      <c r="F49" s="3262">
        <v>0</v>
      </c>
      <c r="G49" s="3191"/>
      <c r="H49" s="3191">
        <v>0.98</v>
      </c>
      <c r="I49" s="3191">
        <v>1.84</v>
      </c>
      <c r="J49" s="3270">
        <v>0.13</v>
      </c>
      <c r="K49" s="3192">
        <v>0</v>
      </c>
      <c r="L49" s="3192">
        <f t="shared" si="3"/>
        <v>0</v>
      </c>
      <c r="M49" s="3193">
        <f>IF(N49&gt;0,IF(Fläche!F33&gt;0,Fläche!F33,D49),0)</f>
        <v>0</v>
      </c>
      <c r="N49" s="3194">
        <f>Fläche!E33</f>
        <v>0</v>
      </c>
      <c r="O49" s="3280"/>
      <c r="P49" s="3195">
        <f t="shared" si="4"/>
        <v>0</v>
      </c>
      <c r="Q49" s="2508">
        <f t="shared" si="9"/>
        <v>0</v>
      </c>
      <c r="R49" s="3055">
        <f t="shared" si="8"/>
        <v>0</v>
      </c>
      <c r="S49" s="2510"/>
      <c r="T49" s="2510"/>
      <c r="U49" s="2510"/>
      <c r="V49" s="3060">
        <f t="shared" si="6"/>
        <v>40</v>
      </c>
      <c r="W49" s="2506"/>
      <c r="X49" s="2506"/>
    </row>
    <row r="50" spans="1:24" ht="12.75">
      <c r="A50" s="2829"/>
      <c r="B50" s="3094" t="str">
        <f>Texte!A3611</f>
        <v>Ackerbohnen</v>
      </c>
      <c r="C50" s="3146"/>
      <c r="D50" s="3190">
        <v>40</v>
      </c>
      <c r="E50" s="3190"/>
      <c r="F50" s="3262">
        <v>0</v>
      </c>
      <c r="G50" s="3191"/>
      <c r="H50" s="3191">
        <v>1.4</v>
      </c>
      <c r="I50" s="3191">
        <v>2.13</v>
      </c>
      <c r="J50" s="3270">
        <v>0.25</v>
      </c>
      <c r="K50" s="3192">
        <v>0</v>
      </c>
      <c r="L50" s="3192">
        <f t="shared" si="3"/>
        <v>0</v>
      </c>
      <c r="M50" s="3193">
        <f>IF(N50&gt;0,IF(Fläche!F34&gt;0,Fläche!F34,D50),0)</f>
        <v>0</v>
      </c>
      <c r="N50" s="3194">
        <f>Fläche!E34</f>
        <v>0</v>
      </c>
      <c r="O50" s="3280"/>
      <c r="P50" s="3195">
        <f t="shared" si="4"/>
        <v>0</v>
      </c>
      <c r="Q50" s="2508">
        <f t="shared" si="9"/>
        <v>0</v>
      </c>
      <c r="R50" s="3055">
        <f t="shared" si="8"/>
        <v>0</v>
      </c>
      <c r="S50" s="2510"/>
      <c r="T50" s="2510"/>
      <c r="U50" s="2510"/>
      <c r="V50" s="3060">
        <f t="shared" si="6"/>
        <v>40</v>
      </c>
      <c r="W50" s="2506"/>
      <c r="X50" s="2506"/>
    </row>
    <row r="51" spans="1:24" ht="12.75">
      <c r="A51" s="2829"/>
      <c r="B51" s="3094" t="str">
        <f>Texte!A3612</f>
        <v>Sojabohnen</v>
      </c>
      <c r="C51" s="3146"/>
      <c r="D51" s="3190">
        <v>30</v>
      </c>
      <c r="E51" s="3190"/>
      <c r="F51" s="3262">
        <v>0</v>
      </c>
      <c r="G51" s="3191"/>
      <c r="H51" s="3191">
        <v>1.17</v>
      </c>
      <c r="I51" s="3191">
        <v>2.75</v>
      </c>
      <c r="J51" s="3270">
        <v>0.2</v>
      </c>
      <c r="K51" s="3192">
        <v>0</v>
      </c>
      <c r="L51" s="3192">
        <f t="shared" si="3"/>
        <v>0</v>
      </c>
      <c r="M51" s="3193">
        <f>IF(N51&gt;0,IF(Fläche!F35&gt;0,Fläche!F35,D51),0)</f>
        <v>0</v>
      </c>
      <c r="N51" s="3194">
        <f>Fläche!E35</f>
        <v>0</v>
      </c>
      <c r="O51" s="3280"/>
      <c r="P51" s="3195">
        <f t="shared" si="4"/>
        <v>0</v>
      </c>
      <c r="Q51" s="2508">
        <f t="shared" si="9"/>
        <v>0</v>
      </c>
      <c r="R51" s="3055">
        <f t="shared" si="8"/>
        <v>0</v>
      </c>
      <c r="S51" s="2505"/>
      <c r="T51" s="2505"/>
      <c r="U51" s="2505"/>
      <c r="V51" s="3060">
        <f t="shared" si="6"/>
        <v>30</v>
      </c>
      <c r="W51" s="2506"/>
      <c r="X51" s="2506"/>
    </row>
    <row r="52" spans="1:24" ht="12.75">
      <c r="A52" s="2829"/>
      <c r="B52" s="3094" t="str">
        <f>Texte!A3613</f>
        <v>Hirse</v>
      </c>
      <c r="C52" s="3146"/>
      <c r="D52" s="3190">
        <v>35</v>
      </c>
      <c r="E52" s="3190"/>
      <c r="F52" s="3262">
        <v>70</v>
      </c>
      <c r="G52" s="3191"/>
      <c r="H52" s="3191">
        <v>0.66</v>
      </c>
      <c r="I52" s="3191">
        <v>0.28999999999999998</v>
      </c>
      <c r="J52" s="3270">
        <v>0.11</v>
      </c>
      <c r="K52" s="3192">
        <f>IF(OR(M52=0,N52=0),F52,IF(D52-M52&gt;=(0.2*D52),F52*(1-((D52-M52)/D52)),F52))</f>
        <v>70</v>
      </c>
      <c r="L52" s="3192">
        <f t="shared" si="3"/>
        <v>70</v>
      </c>
      <c r="M52" s="3193">
        <f>IF(N52&gt;0,IF(Fläche!F36&gt;0,Fläche!F36,D52),0)</f>
        <v>0</v>
      </c>
      <c r="N52" s="3194">
        <f>Fläche!E36</f>
        <v>0</v>
      </c>
      <c r="O52" s="3108"/>
      <c r="P52" s="3195">
        <f t="shared" si="4"/>
        <v>0</v>
      </c>
      <c r="Q52" s="2508">
        <f t="shared" si="9"/>
        <v>0</v>
      </c>
      <c r="R52" s="3055">
        <f t="shared" si="8"/>
        <v>0</v>
      </c>
      <c r="S52" s="2505"/>
      <c r="T52" s="2505"/>
      <c r="U52" s="2505"/>
      <c r="V52" s="3060">
        <f t="shared" si="6"/>
        <v>35</v>
      </c>
      <c r="W52" s="2506"/>
      <c r="X52" s="2506"/>
    </row>
    <row r="53" spans="1:24" ht="13.5" thickBot="1">
      <c r="A53" s="2829"/>
      <c r="B53" s="3095" t="str">
        <f>IF(Fläche!B37="","",Fläche!B37)</f>
        <v>Nicht aufgefuehrte Ackerkultur</v>
      </c>
      <c r="C53" s="3205"/>
      <c r="D53" s="3275">
        <v>1</v>
      </c>
      <c r="E53" s="3275"/>
      <c r="F53" s="3276">
        <v>80</v>
      </c>
      <c r="G53" s="3206"/>
      <c r="H53" s="3277">
        <v>60</v>
      </c>
      <c r="I53" s="3277">
        <v>120</v>
      </c>
      <c r="J53" s="3278">
        <v>10</v>
      </c>
      <c r="K53" s="3207">
        <f>IF(OR(M53=0,N53=0),F53,IF(D53-M53&gt;=(0.2*D53),ROUND(F53*(1-((D53-M53)/D53)/2),0),F53))</f>
        <v>80</v>
      </c>
      <c r="L53" s="3207">
        <f t="shared" si="3"/>
        <v>80</v>
      </c>
      <c r="M53" s="3193">
        <f>IF(N53&gt;0,IF(Fläche!F37&gt;0,Fläche!F37,D53),0)</f>
        <v>1</v>
      </c>
      <c r="N53" s="3208">
        <f>Fläche!E37</f>
        <v>0.76600000000000001</v>
      </c>
      <c r="O53" s="3280"/>
      <c r="P53" s="3195">
        <f t="shared" si="4"/>
        <v>0.76600000000000001</v>
      </c>
      <c r="Q53" s="2508">
        <f t="shared" si="9"/>
        <v>1</v>
      </c>
      <c r="R53" s="3055">
        <f t="shared" si="8"/>
        <v>1</v>
      </c>
      <c r="S53" s="2505"/>
      <c r="T53" s="2505"/>
      <c r="U53" s="2505"/>
      <c r="V53" s="3060">
        <f t="shared" si="6"/>
        <v>1</v>
      </c>
      <c r="W53" s="2506"/>
      <c r="X53" s="2506"/>
    </row>
    <row r="54" spans="1:24" ht="13.5" thickBot="1">
      <c r="A54" s="2829"/>
      <c r="B54" s="3145" t="str">
        <f>Texte!A3614</f>
        <v>Gemüsebau, Diverses</v>
      </c>
      <c r="C54" s="3273"/>
      <c r="D54" s="3209"/>
      <c r="E54" s="3209"/>
      <c r="F54" s="3209"/>
      <c r="G54" s="3209"/>
      <c r="H54" s="3210"/>
      <c r="I54" s="3210"/>
      <c r="J54" s="3210"/>
      <c r="K54" s="3135"/>
      <c r="L54" s="3135"/>
      <c r="M54" s="3201"/>
      <c r="N54" s="3201"/>
      <c r="O54" s="3211"/>
      <c r="P54" s="3204"/>
      <c r="Q54" s="2508"/>
      <c r="R54" s="2509"/>
      <c r="S54" s="2510"/>
      <c r="T54" s="2510"/>
      <c r="U54" s="2510"/>
      <c r="V54" s="3062"/>
      <c r="W54" s="2506"/>
      <c r="X54" s="2506"/>
    </row>
    <row r="55" spans="1:24" ht="12.75">
      <c r="A55" s="2829"/>
      <c r="B55" s="3094" t="str">
        <f>Texte!A3615</f>
        <v>Freilandgemüse</v>
      </c>
      <c r="C55" s="3146"/>
      <c r="D55" s="3212"/>
      <c r="E55" s="3212"/>
      <c r="F55" s="3267"/>
      <c r="G55" s="3268"/>
      <c r="H55" s="3268"/>
      <c r="I55" s="3268"/>
      <c r="J55" s="3269"/>
      <c r="K55" s="3192"/>
      <c r="L55" s="3192"/>
      <c r="M55" s="3193"/>
      <c r="N55" s="3194"/>
      <c r="O55" s="3108"/>
      <c r="P55" s="3284"/>
      <c r="Q55" s="2511"/>
      <c r="R55" s="2509"/>
      <c r="S55" s="2512"/>
      <c r="T55" s="2512"/>
      <c r="U55" s="2512"/>
      <c r="V55" s="2506"/>
      <c r="W55" s="2506"/>
      <c r="X55" s="2506"/>
    </row>
    <row r="56" spans="1:24" ht="12.75">
      <c r="A56" s="2829"/>
      <c r="B56" s="3096" t="str">
        <f>Texte!A3616</f>
        <v>Freiland-Konservengemüse</v>
      </c>
      <c r="C56" s="3147"/>
      <c r="D56" s="3212"/>
      <c r="E56" s="3212"/>
      <c r="F56" s="3262"/>
      <c r="G56" s="3191"/>
      <c r="H56" s="3191"/>
      <c r="I56" s="3191"/>
      <c r="J56" s="3270"/>
      <c r="K56" s="3192"/>
      <c r="L56" s="3192"/>
      <c r="M56" s="3193"/>
      <c r="N56" s="3194"/>
      <c r="O56" s="3108"/>
      <c r="P56" s="3195">
        <f>N56 - O56</f>
        <v>0</v>
      </c>
      <c r="Q56" s="2503"/>
      <c r="R56" s="2509"/>
      <c r="S56" s="2505"/>
      <c r="T56" s="2505"/>
      <c r="U56" s="2505"/>
      <c r="V56" s="2506"/>
      <c r="W56" s="2506"/>
      <c r="X56" s="2506"/>
    </row>
    <row r="57" spans="1:24" ht="12.75">
      <c r="A57" s="2829"/>
      <c r="B57" s="3094" t="str">
        <f>Texte!A3617</f>
        <v>Erdbeeren, 1-jährig</v>
      </c>
      <c r="C57" s="3146"/>
      <c r="D57" s="3212"/>
      <c r="E57" s="3212"/>
      <c r="F57" s="3262"/>
      <c r="G57" s="3191"/>
      <c r="H57" s="3263"/>
      <c r="I57" s="3263"/>
      <c r="J57" s="3264"/>
      <c r="K57" s="3192"/>
      <c r="L57" s="3192"/>
      <c r="M57" s="3193"/>
      <c r="N57" s="3194"/>
      <c r="O57" s="3108"/>
      <c r="P57" s="3284"/>
      <c r="Q57" s="2503"/>
      <c r="R57" s="2509"/>
      <c r="S57" s="2505"/>
      <c r="T57" s="2505"/>
      <c r="U57" s="2505"/>
      <c r="V57" s="2506"/>
      <c r="W57" s="2506"/>
      <c r="X57" s="2506"/>
    </row>
    <row r="58" spans="1:24" ht="12.75">
      <c r="A58" s="2829"/>
      <c r="B58" s="3094" t="str">
        <f>Texte!A3618</f>
        <v>Heil-, Gewürzpflanzen, 1-j.</v>
      </c>
      <c r="C58" s="3146"/>
      <c r="D58" s="3212"/>
      <c r="E58" s="3212"/>
      <c r="F58" s="3262"/>
      <c r="G58" s="3191"/>
      <c r="H58" s="3263"/>
      <c r="I58" s="3263"/>
      <c r="J58" s="3264"/>
      <c r="K58" s="3192"/>
      <c r="L58" s="3192"/>
      <c r="M58" s="3193"/>
      <c r="N58" s="3194"/>
      <c r="O58" s="3108"/>
      <c r="P58" s="3284"/>
      <c r="Q58" s="2503"/>
      <c r="R58" s="2509"/>
      <c r="S58" s="2505"/>
      <c r="T58" s="2505"/>
      <c r="U58" s="2505"/>
      <c r="V58" s="2506"/>
      <c r="W58" s="2506"/>
      <c r="X58" s="2506"/>
    </row>
    <row r="59" spans="1:24" ht="12.75">
      <c r="A59" s="2829"/>
      <c r="B59" s="3094" t="str">
        <f>Texte!A3619</f>
        <v>Öllein</v>
      </c>
      <c r="C59" s="3146"/>
      <c r="D59" s="3190">
        <v>20</v>
      </c>
      <c r="E59" s="3190"/>
      <c r="F59" s="3262">
        <v>80</v>
      </c>
      <c r="G59" s="3191"/>
      <c r="H59" s="3191">
        <v>1.2</v>
      </c>
      <c r="I59" s="3191">
        <v>0.95</v>
      </c>
      <c r="J59" s="3270">
        <v>0.05</v>
      </c>
      <c r="K59" s="3192">
        <f>IF(OR(M59=0,N59=0),F59,IF(D59-M59&gt;=(0.2*D59),F59*(1-((D59-M59)/D59)),F59))</f>
        <v>80</v>
      </c>
      <c r="L59" s="3192">
        <f t="shared" ref="L59:L67" si="10">IF(AND(R59,K59&gt;F59),F59&amp;"+"&amp;ROUND(K59-F59,0),K59)</f>
        <v>80</v>
      </c>
      <c r="M59" s="3193">
        <f>IF(N59&gt;0,IF(Fläche!F44&gt;0,Fläche!F44,D59),0)</f>
        <v>0</v>
      </c>
      <c r="N59" s="3194">
        <f>Fläche!E44</f>
        <v>0</v>
      </c>
      <c r="O59" s="3280"/>
      <c r="P59" s="3195">
        <f t="shared" ref="P59:P67" si="11">N59 - O59</f>
        <v>0</v>
      </c>
      <c r="Q59" s="2503"/>
      <c r="R59" s="2509"/>
      <c r="S59" s="2505"/>
      <c r="T59" s="2505"/>
      <c r="U59" s="2505"/>
      <c r="V59" s="2506"/>
      <c r="W59" s="2506"/>
      <c r="X59" s="2506"/>
    </row>
    <row r="60" spans="1:24" ht="12.75">
      <c r="A60" s="2829"/>
      <c r="B60" s="3093" t="str">
        <f>Texte!A3620</f>
        <v>Faserlein</v>
      </c>
      <c r="C60" s="3196"/>
      <c r="D60" s="3190">
        <v>45</v>
      </c>
      <c r="E60" s="3190"/>
      <c r="F60" s="3262">
        <v>60</v>
      </c>
      <c r="G60" s="3191"/>
      <c r="H60" s="3191">
        <v>0.71</v>
      </c>
      <c r="I60" s="3191">
        <v>2</v>
      </c>
      <c r="J60" s="3270">
        <v>0.2</v>
      </c>
      <c r="K60" s="3192">
        <f>IF(OR(M60=0,N60=0),F60,IF(D60-M60&gt;=(0.2*D60),F60*(1-((D60-M60)/D60)),F60))</f>
        <v>60</v>
      </c>
      <c r="L60" s="3192">
        <f t="shared" si="10"/>
        <v>60</v>
      </c>
      <c r="M60" s="3193">
        <f>IF(N60&gt;0,IF(Fläche!F45&gt;0,Fläche!F45,D60),0)</f>
        <v>0</v>
      </c>
      <c r="N60" s="3194">
        <f>Fläche!E45</f>
        <v>0</v>
      </c>
      <c r="O60" s="3280"/>
      <c r="P60" s="3195">
        <f t="shared" si="11"/>
        <v>0</v>
      </c>
      <c r="Q60" s="2503"/>
      <c r="R60" s="2509"/>
      <c r="S60" s="2505"/>
      <c r="T60" s="2505"/>
      <c r="U60" s="2505"/>
      <c r="V60" s="2506"/>
      <c r="W60" s="2506"/>
      <c r="X60" s="2506"/>
    </row>
    <row r="61" spans="1:24" ht="12.75">
      <c r="A61" s="2829"/>
      <c r="B61" s="3093" t="str">
        <f>Texte!A3621</f>
        <v>Ölhanf</v>
      </c>
      <c r="C61" s="3196"/>
      <c r="D61" s="3190">
        <v>13</v>
      </c>
      <c r="E61" s="3190"/>
      <c r="F61" s="3262">
        <v>60</v>
      </c>
      <c r="G61" s="3191"/>
      <c r="H61" s="3191">
        <v>2.54</v>
      </c>
      <c r="I61" s="3191">
        <v>1.08</v>
      </c>
      <c r="J61" s="3270">
        <v>0.54</v>
      </c>
      <c r="K61" s="3192">
        <f>IF(OR(M61=0,N61=0),F61,IF(D61-M61&gt;=(0.2*D61),F61*(1-((D61-M61)/D61)),F61))</f>
        <v>60</v>
      </c>
      <c r="L61" s="3192">
        <f t="shared" si="10"/>
        <v>60</v>
      </c>
      <c r="M61" s="3193">
        <f>IF(N61&gt;0,IF(Fläche!F46&gt;0,Fläche!F46,D61),0)</f>
        <v>0</v>
      </c>
      <c r="N61" s="3194">
        <f>Fläche!E46</f>
        <v>0</v>
      </c>
      <c r="O61" s="3108"/>
      <c r="P61" s="3195">
        <f t="shared" si="11"/>
        <v>0</v>
      </c>
      <c r="Q61" s="2503"/>
      <c r="R61" s="2509"/>
      <c r="S61" s="2505"/>
      <c r="T61" s="2505"/>
      <c r="U61" s="2505"/>
      <c r="V61" s="2506"/>
      <c r="W61" s="2506"/>
      <c r="X61" s="2506"/>
    </row>
    <row r="62" spans="1:24" ht="12.75">
      <c r="A62" s="2829"/>
      <c r="B62" s="3093" t="str">
        <f>Texte!A3622</f>
        <v>Faserhanf</v>
      </c>
      <c r="C62" s="3196"/>
      <c r="D62" s="3190">
        <v>100</v>
      </c>
      <c r="E62" s="3190"/>
      <c r="F62" s="3262">
        <v>100</v>
      </c>
      <c r="G62" s="3191"/>
      <c r="H62" s="3191">
        <v>0.3</v>
      </c>
      <c r="I62" s="3191">
        <v>0.9</v>
      </c>
      <c r="J62" s="3270">
        <v>0.05</v>
      </c>
      <c r="K62" s="3192">
        <f>IF(OR(M62=0,N62=0),F62,IF(D62-M62&gt;=(0.2*D62),F62*(1-((D62-M62)/D62)),F62))</f>
        <v>100</v>
      </c>
      <c r="L62" s="3192">
        <f t="shared" si="10"/>
        <v>100</v>
      </c>
      <c r="M62" s="3193">
        <f>IF(N62&gt;0,IF(Fläche!F47&gt;0,Fläche!F47,D62),0)</f>
        <v>0</v>
      </c>
      <c r="N62" s="3194">
        <f>Fläche!E47</f>
        <v>0</v>
      </c>
      <c r="O62" s="3108"/>
      <c r="P62" s="3195">
        <f t="shared" si="11"/>
        <v>0</v>
      </c>
      <c r="Q62" s="2503"/>
      <c r="R62" s="2509"/>
      <c r="S62" s="2505"/>
      <c r="T62" s="2505"/>
      <c r="U62" s="2505"/>
      <c r="V62" s="2506"/>
      <c r="W62" s="2506"/>
      <c r="X62" s="2506"/>
    </row>
    <row r="63" spans="1:24" ht="12.75">
      <c r="A63" s="2829"/>
      <c r="B63" s="3094" t="str">
        <f>Texte!A3623</f>
        <v>Winterraps für RME</v>
      </c>
      <c r="C63" s="3146" t="str">
        <f>IF(R63,Texte!$A$3576,"")</f>
        <v/>
      </c>
      <c r="D63" s="3190">
        <v>35</v>
      </c>
      <c r="E63" s="3190">
        <v>45</v>
      </c>
      <c r="F63" s="3262">
        <v>150</v>
      </c>
      <c r="G63" s="3191">
        <v>3</v>
      </c>
      <c r="H63" s="3191">
        <v>1.43</v>
      </c>
      <c r="I63" s="3191">
        <v>0.86</v>
      </c>
      <c r="J63" s="3270">
        <v>0.23</v>
      </c>
      <c r="K63" s="3192">
        <f>IF(OR(M63=0,N63=0),F63,IF(M63-D63&gt;0,IF(R63,F63+(MIN(M63,E63)-D63)*G63,F63),IF(M63-D63&lt;0,F63+(M63-D63)*G63,F63)))</f>
        <v>150</v>
      </c>
      <c r="L63" s="3192">
        <f t="shared" si="10"/>
        <v>150</v>
      </c>
      <c r="M63" s="3193">
        <f>IF(N63&gt;0,IF(Fläche!F48&gt;0,(Fläche!F48*Fläche!E48 - M64*N64)/N63,D63),0)</f>
        <v>0</v>
      </c>
      <c r="N63" s="3194">
        <f>IF(Fläche!E48&gt;0,Fläche!E48-N64,0)</f>
        <v>0</v>
      </c>
      <c r="O63" s="3280"/>
      <c r="P63" s="3195">
        <f t="shared" si="11"/>
        <v>0</v>
      </c>
      <c r="Q63" s="2503"/>
      <c r="R63" s="2509" t="b">
        <f>Fläche!T48</f>
        <v>0</v>
      </c>
      <c r="S63" s="2505"/>
      <c r="T63" s="2505"/>
      <c r="U63" s="2505"/>
      <c r="V63" s="2506"/>
      <c r="W63" s="2506"/>
      <c r="X63" s="2506"/>
    </row>
    <row r="64" spans="1:24" ht="12.75">
      <c r="A64" s="2829"/>
      <c r="B64" s="3094" t="str">
        <f>Texte!A3623</f>
        <v>Winterraps für RME</v>
      </c>
      <c r="C64" s="3196" t="str">
        <f>Texte!A3577</f>
        <v>in 62a Nitrat-Projekt</v>
      </c>
      <c r="D64" s="3190">
        <v>35</v>
      </c>
      <c r="E64" s="3190"/>
      <c r="F64" s="3262">
        <v>150</v>
      </c>
      <c r="G64" s="3191"/>
      <c r="H64" s="3191">
        <v>1.43</v>
      </c>
      <c r="I64" s="3191">
        <v>0.86</v>
      </c>
      <c r="J64" s="3270">
        <v>0.23</v>
      </c>
      <c r="K64" s="3192">
        <f>IF(OR(M64=0,N64=0),F64,IF(D64-M64&gt;=(0.2*D64),F64*(1-((D64-M64)/D64)),F64))</f>
        <v>150</v>
      </c>
      <c r="L64" s="3192">
        <f t="shared" si="10"/>
        <v>150</v>
      </c>
      <c r="M64" s="3281"/>
      <c r="N64" s="3282"/>
      <c r="O64" s="3280"/>
      <c r="P64" s="3195">
        <f t="shared" si="11"/>
        <v>0</v>
      </c>
      <c r="Q64" s="2503"/>
      <c r="R64" s="2509"/>
      <c r="S64" s="2505"/>
      <c r="T64" s="2505"/>
      <c r="U64" s="2505"/>
      <c r="V64" s="2506"/>
      <c r="W64" s="2506"/>
      <c r="X64" s="2506"/>
    </row>
    <row r="65" spans="1:24" ht="12.75">
      <c r="A65" s="2829"/>
      <c r="B65" s="3094" t="str">
        <f>Texte!A3624</f>
        <v>Sonnenblumen</v>
      </c>
      <c r="C65" s="3146"/>
      <c r="D65" s="3190">
        <v>30</v>
      </c>
      <c r="E65" s="3190"/>
      <c r="F65" s="3262">
        <v>60</v>
      </c>
      <c r="G65" s="3191"/>
      <c r="H65" s="3191">
        <v>1.1000000000000001</v>
      </c>
      <c r="I65" s="3191">
        <v>0.83</v>
      </c>
      <c r="J65" s="3270">
        <v>0.3</v>
      </c>
      <c r="K65" s="3192">
        <f>IF(OR(M65=0,N65=0),F65,IF(D65-M65&gt;=(0.2*D65),F65*(1-((D65-M65)/D65)),F65))</f>
        <v>60</v>
      </c>
      <c r="L65" s="3192">
        <f t="shared" si="10"/>
        <v>60</v>
      </c>
      <c r="M65" s="3193">
        <f>IF(N65&gt;0,IF(Fläche!F49&gt;0,Fläche!F49,D65),0)</f>
        <v>0</v>
      </c>
      <c r="N65" s="3194">
        <f>Fläche!E49</f>
        <v>0</v>
      </c>
      <c r="O65" s="3280"/>
      <c r="P65" s="3195">
        <f t="shared" si="11"/>
        <v>0</v>
      </c>
      <c r="Q65" s="2503"/>
      <c r="R65" s="2509"/>
      <c r="S65" s="2505"/>
      <c r="T65" s="2505"/>
      <c r="U65" s="2505"/>
      <c r="V65" s="2506"/>
      <c r="W65" s="2506"/>
      <c r="X65" s="2506"/>
    </row>
    <row r="66" spans="1:24" ht="12.75">
      <c r="A66" s="2829"/>
      <c r="B66" s="3094" t="str">
        <f>Texte!A3625</f>
        <v>Tabak Burley</v>
      </c>
      <c r="C66" s="3146"/>
      <c r="D66" s="3190">
        <v>25</v>
      </c>
      <c r="E66" s="3190"/>
      <c r="F66" s="3262">
        <v>170</v>
      </c>
      <c r="G66" s="3191"/>
      <c r="H66" s="3191">
        <v>0.72</v>
      </c>
      <c r="I66" s="3191">
        <v>5</v>
      </c>
      <c r="J66" s="3270">
        <v>0.28000000000000003</v>
      </c>
      <c r="K66" s="3192">
        <f>IF(OR(M66=0,N66=0),F66,IF(D66-M66&gt;=(0.2*D66),F66*(1-((D66-M66)/D66)),F66))</f>
        <v>170</v>
      </c>
      <c r="L66" s="3192">
        <f t="shared" si="10"/>
        <v>170</v>
      </c>
      <c r="M66" s="3193">
        <f>IF(N66&gt;0,IF(Fläche!F50&gt;0,Fläche!F50,D66),0)</f>
        <v>0</v>
      </c>
      <c r="N66" s="3194">
        <f>Fläche!E50</f>
        <v>0</v>
      </c>
      <c r="O66" s="3108"/>
      <c r="P66" s="3195">
        <f t="shared" si="11"/>
        <v>0</v>
      </c>
      <c r="Q66" s="2503"/>
      <c r="R66" s="2504"/>
      <c r="S66" s="2505"/>
      <c r="T66" s="2505"/>
      <c r="U66" s="2505"/>
      <c r="V66" s="2506"/>
      <c r="W66" s="2506"/>
      <c r="X66" s="2506"/>
    </row>
    <row r="67" spans="1:24" ht="12.75">
      <c r="A67" s="2829"/>
      <c r="B67" s="3094" t="str">
        <f>Texte!A3626</f>
        <v>Tabak Virgine</v>
      </c>
      <c r="C67" s="3146"/>
      <c r="D67" s="3190">
        <v>25</v>
      </c>
      <c r="E67" s="3190"/>
      <c r="F67" s="3271">
        <v>30</v>
      </c>
      <c r="G67" s="3213"/>
      <c r="H67" s="3191">
        <v>0.56000000000000005</v>
      </c>
      <c r="I67" s="3191">
        <v>4.76</v>
      </c>
      <c r="J67" s="3270">
        <v>0.2</v>
      </c>
      <c r="K67" s="3192">
        <f>F67</f>
        <v>30</v>
      </c>
      <c r="L67" s="3192">
        <f t="shared" si="10"/>
        <v>30</v>
      </c>
      <c r="M67" s="3193">
        <f>IF(N67&gt;0,IF(Fläche!F51&gt;0,Fläche!F51,D67),0)</f>
        <v>0</v>
      </c>
      <c r="N67" s="3194">
        <f>Fläche!E51</f>
        <v>0</v>
      </c>
      <c r="O67" s="3108"/>
      <c r="P67" s="3195">
        <f t="shared" si="11"/>
        <v>0</v>
      </c>
      <c r="Q67" s="2503"/>
      <c r="R67" s="2504"/>
      <c r="S67" s="2505"/>
      <c r="T67" s="2505"/>
      <c r="U67" s="2505"/>
      <c r="V67" s="2506"/>
      <c r="W67" s="2506"/>
      <c r="X67" s="2506"/>
    </row>
    <row r="68" spans="1:24" ht="12.75">
      <c r="A68" s="2829"/>
      <c r="B68" s="3094" t="str">
        <f>Texte!A3627</f>
        <v>Schnittblumen</v>
      </c>
      <c r="C68" s="3146"/>
      <c r="D68" s="3285"/>
      <c r="E68" s="3285"/>
      <c r="F68" s="3286"/>
      <c r="G68" s="3287"/>
      <c r="H68" s="3288"/>
      <c r="I68" s="3288"/>
      <c r="J68" s="3289"/>
      <c r="K68" s="3290"/>
      <c r="L68" s="3290"/>
      <c r="M68" s="3291"/>
      <c r="N68" s="3194"/>
      <c r="O68" s="3108"/>
      <c r="P68" s="3284"/>
      <c r="Q68" s="2503"/>
      <c r="R68" s="2504"/>
      <c r="S68" s="2505"/>
      <c r="T68" s="2505"/>
      <c r="U68" s="2505"/>
      <c r="V68" s="2506"/>
      <c r="W68" s="2506"/>
      <c r="X68" s="2506"/>
    </row>
    <row r="69" spans="1:24" ht="12.75">
      <c r="A69" s="2829"/>
      <c r="B69" s="3094" t="str">
        <f>Texte!A3628</f>
        <v>Rotationsbrache</v>
      </c>
      <c r="C69" s="3146"/>
      <c r="D69" s="3292"/>
      <c r="E69" s="3292"/>
      <c r="F69" s="3286"/>
      <c r="G69" s="3287"/>
      <c r="H69" s="3288"/>
      <c r="I69" s="3288"/>
      <c r="J69" s="3289"/>
      <c r="K69" s="3290"/>
      <c r="L69" s="3290"/>
      <c r="M69" s="3291"/>
      <c r="N69" s="3194"/>
      <c r="O69" s="3108"/>
      <c r="P69" s="3284"/>
      <c r="Q69" s="2513"/>
      <c r="R69" s="2504"/>
      <c r="S69" s="2514"/>
      <c r="T69" s="2514"/>
      <c r="U69" s="2514"/>
      <c r="V69" s="2506"/>
      <c r="W69" s="2506"/>
      <c r="X69" s="2506"/>
    </row>
    <row r="70" spans="1:24" ht="12.75">
      <c r="A70" s="2829"/>
      <c r="B70" s="3094" t="str">
        <f>Texte!A3629</f>
        <v>Buntbrache</v>
      </c>
      <c r="C70" s="3146"/>
      <c r="D70" s="3293"/>
      <c r="E70" s="3293"/>
      <c r="F70" s="3294"/>
      <c r="G70" s="3295"/>
      <c r="H70" s="3296"/>
      <c r="I70" s="3296"/>
      <c r="J70" s="3297"/>
      <c r="K70" s="3298"/>
      <c r="L70" s="3298"/>
      <c r="M70" s="3299"/>
      <c r="N70" s="3200"/>
      <c r="O70" s="3109"/>
      <c r="P70" s="3300"/>
      <c r="Q70" s="2513">
        <f>COUNT(Fläche!$E$10:$E$22,Fläche!$E$26:$E$37,Fläche!$E$44:$E$51,Fläche!$N$30:$N$31)</f>
        <v>5</v>
      </c>
      <c r="R70" s="2504"/>
      <c r="S70" s="2514"/>
      <c r="T70" s="2514"/>
      <c r="U70" s="2514"/>
      <c r="V70" s="2506"/>
      <c r="W70" s="2506"/>
      <c r="X70" s="2506"/>
    </row>
    <row r="71" spans="1:24" ht="12.75">
      <c r="A71" s="2829"/>
      <c r="B71" s="2831" t="str">
        <f>Texte!A3630</f>
        <v>Dauerkulturen</v>
      </c>
      <c r="C71" s="2832"/>
      <c r="D71" s="2833"/>
      <c r="E71" s="2833"/>
      <c r="F71" s="2834"/>
      <c r="G71" s="2834"/>
      <c r="H71" s="2835"/>
      <c r="I71" s="2835"/>
      <c r="J71" s="2835"/>
      <c r="K71" s="2836"/>
      <c r="L71" s="2836"/>
      <c r="M71" s="2837"/>
      <c r="N71" s="2837"/>
      <c r="O71" s="3110"/>
      <c r="P71" s="3113"/>
      <c r="Q71" s="2503"/>
      <c r="R71" s="2504"/>
      <c r="S71" s="2505"/>
      <c r="T71" s="2505"/>
      <c r="U71" s="2505"/>
      <c r="V71" s="2506"/>
      <c r="W71" s="2506"/>
      <c r="X71" s="2506"/>
    </row>
    <row r="72" spans="1:24" ht="12.75">
      <c r="A72" s="2829"/>
      <c r="B72" s="3094" t="str">
        <f>Texte!A3631</f>
        <v>Reben</v>
      </c>
      <c r="C72" s="3146"/>
      <c r="D72" s="3285"/>
      <c r="E72" s="3285"/>
      <c r="F72" s="3259"/>
      <c r="G72" s="3260"/>
      <c r="H72" s="3260"/>
      <c r="I72" s="3260"/>
      <c r="J72" s="3261"/>
      <c r="K72" s="3192"/>
      <c r="L72" s="3192"/>
      <c r="M72" s="3291"/>
      <c r="N72" s="3194"/>
      <c r="O72" s="3108"/>
      <c r="P72" s="3284"/>
      <c r="Q72" s="2503"/>
      <c r="R72" s="2504"/>
      <c r="S72" s="2505"/>
      <c r="T72" s="2505"/>
      <c r="U72" s="2505"/>
      <c r="V72" s="2506"/>
      <c r="W72" s="2506"/>
      <c r="X72" s="2506"/>
    </row>
    <row r="73" spans="1:24" ht="12.75">
      <c r="A73" s="2829"/>
      <c r="B73" s="3094" t="str">
        <f>Texte!A3632</f>
        <v>Hopfen</v>
      </c>
      <c r="C73" s="3146"/>
      <c r="D73" s="3285"/>
      <c r="E73" s="3285"/>
      <c r="F73" s="3262"/>
      <c r="G73" s="3263"/>
      <c r="H73" s="3263"/>
      <c r="I73" s="3263"/>
      <c r="J73" s="3264"/>
      <c r="K73" s="3192"/>
      <c r="L73" s="3192"/>
      <c r="M73" s="3291"/>
      <c r="N73" s="3194"/>
      <c r="O73" s="3108"/>
      <c r="P73" s="3284"/>
      <c r="Q73" s="2503"/>
      <c r="R73" s="2504"/>
      <c r="S73" s="2505"/>
      <c r="T73" s="2505"/>
      <c r="U73" s="2505"/>
      <c r="V73" s="2506"/>
      <c r="W73" s="2506"/>
      <c r="X73" s="2506"/>
    </row>
    <row r="74" spans="1:24" ht="12.75">
      <c r="A74" s="2829"/>
      <c r="B74" s="3094" t="str">
        <f>Texte!A3633</f>
        <v>Obstanlagen</v>
      </c>
      <c r="C74" s="3146"/>
      <c r="D74" s="3285"/>
      <c r="E74" s="3285"/>
      <c r="F74" s="3262"/>
      <c r="G74" s="3263"/>
      <c r="H74" s="3263"/>
      <c r="I74" s="3263"/>
      <c r="J74" s="3264"/>
      <c r="K74" s="3192"/>
      <c r="L74" s="3192"/>
      <c r="M74" s="3291"/>
      <c r="N74" s="3194"/>
      <c r="O74" s="3108"/>
      <c r="P74" s="3284"/>
      <c r="Q74" s="2503"/>
      <c r="R74" s="2504"/>
      <c r="S74" s="2505"/>
      <c r="T74" s="2505"/>
      <c r="U74" s="2505"/>
      <c r="V74" s="2506"/>
      <c r="W74" s="2506"/>
      <c r="X74" s="2506"/>
    </row>
    <row r="75" spans="1:24" ht="12.75">
      <c r="A75" s="2829"/>
      <c r="B75" s="3094" t="str">
        <f>Texte!A3634</f>
        <v>Gemüsekulturen, mehrj.</v>
      </c>
      <c r="C75" s="3146"/>
      <c r="D75" s="3285"/>
      <c r="E75" s="3285"/>
      <c r="F75" s="3262"/>
      <c r="G75" s="3263"/>
      <c r="H75" s="3263"/>
      <c r="I75" s="3263"/>
      <c r="J75" s="3264"/>
      <c r="K75" s="3192"/>
      <c r="L75" s="3192"/>
      <c r="M75" s="3291"/>
      <c r="N75" s="3194"/>
      <c r="O75" s="3108"/>
      <c r="P75" s="3284"/>
      <c r="Q75" s="2503"/>
      <c r="R75" s="2504"/>
      <c r="S75" s="2505"/>
      <c r="T75" s="2505"/>
      <c r="U75" s="2505"/>
      <c r="V75" s="2506"/>
      <c r="W75" s="2506"/>
      <c r="X75" s="2506"/>
    </row>
    <row r="76" spans="1:24" ht="12.75">
      <c r="A76" s="2829"/>
      <c r="B76" s="3094" t="str">
        <f>Texte!A3635</f>
        <v>Erdbeeren, mehrj.</v>
      </c>
      <c r="C76" s="3146"/>
      <c r="D76" s="3285"/>
      <c r="E76" s="3285"/>
      <c r="F76" s="3262"/>
      <c r="G76" s="3263"/>
      <c r="H76" s="3263"/>
      <c r="I76" s="3263"/>
      <c r="J76" s="3264"/>
      <c r="K76" s="3192"/>
      <c r="L76" s="3192"/>
      <c r="M76" s="3291"/>
      <c r="N76" s="3194"/>
      <c r="O76" s="3108"/>
      <c r="P76" s="3284"/>
      <c r="Q76" s="2503"/>
      <c r="R76" s="2504"/>
      <c r="S76" s="2505"/>
      <c r="T76" s="2505"/>
      <c r="U76" s="2505"/>
      <c r="V76" s="2506"/>
      <c r="W76" s="2506"/>
      <c r="X76" s="2506"/>
    </row>
    <row r="77" spans="1:24" ht="12.75">
      <c r="A77" s="2829"/>
      <c r="B77" s="3094" t="str">
        <f>Texte!A3636</f>
        <v>Strauchbeeren</v>
      </c>
      <c r="C77" s="3146"/>
      <c r="D77" s="3285"/>
      <c r="E77" s="3285"/>
      <c r="F77" s="3262"/>
      <c r="G77" s="3263"/>
      <c r="H77" s="3263"/>
      <c r="I77" s="3263"/>
      <c r="J77" s="3264"/>
      <c r="K77" s="3192"/>
      <c r="L77" s="3192"/>
      <c r="M77" s="3291"/>
      <c r="N77" s="3194"/>
      <c r="O77" s="3108"/>
      <c r="P77" s="3284"/>
      <c r="Q77" s="2503"/>
      <c r="R77" s="2504"/>
      <c r="S77" s="2505"/>
      <c r="T77" s="2505"/>
      <c r="U77" s="2505"/>
      <c r="V77" s="2506"/>
      <c r="W77" s="2506"/>
      <c r="X77" s="2506"/>
    </row>
    <row r="78" spans="1:24" ht="12.75">
      <c r="A78" s="2829"/>
      <c r="B78" s="3094" t="str">
        <f>Texte!A3637</f>
        <v>Alternative Strauchbeeren</v>
      </c>
      <c r="C78" s="3146"/>
      <c r="D78" s="3285"/>
      <c r="E78" s="3285"/>
      <c r="F78" s="3262"/>
      <c r="G78" s="3263"/>
      <c r="H78" s="3263"/>
      <c r="I78" s="3263"/>
      <c r="J78" s="3264"/>
      <c r="K78" s="3192"/>
      <c r="L78" s="3192"/>
      <c r="M78" s="3291"/>
      <c r="N78" s="3194"/>
      <c r="O78" s="3108"/>
      <c r="P78" s="3284"/>
      <c r="Q78" s="2503"/>
      <c r="R78" s="2504"/>
      <c r="S78" s="2505"/>
      <c r="T78" s="2505"/>
      <c r="U78" s="2505"/>
      <c r="V78" s="2506"/>
      <c r="W78" s="2506"/>
      <c r="X78" s="2506"/>
    </row>
    <row r="79" spans="1:24" ht="12.75">
      <c r="A79" s="2829"/>
      <c r="B79" s="3094" t="str">
        <f>Texte!A3638</f>
        <v>Heil-, Gewürzpflanzen, mehrj.</v>
      </c>
      <c r="C79" s="3146"/>
      <c r="D79" s="3285"/>
      <c r="E79" s="3285"/>
      <c r="F79" s="3262"/>
      <c r="G79" s="3263"/>
      <c r="H79" s="3263"/>
      <c r="I79" s="3263"/>
      <c r="J79" s="3264"/>
      <c r="K79" s="3192"/>
      <c r="L79" s="3192"/>
      <c r="M79" s="3291"/>
      <c r="N79" s="3194"/>
      <c r="O79" s="3108"/>
      <c r="P79" s="3284"/>
      <c r="Q79" s="2503"/>
      <c r="R79" s="2504"/>
      <c r="S79" s="2505"/>
      <c r="T79" s="2505"/>
      <c r="U79" s="2505"/>
      <c r="V79" s="2506"/>
      <c r="W79" s="2506"/>
      <c r="X79" s="2506"/>
    </row>
    <row r="80" spans="1:24" ht="12.75">
      <c r="A80" s="2829"/>
      <c r="B80" s="3094" t="str">
        <f>Texte!A3639</f>
        <v>Chinaschilf</v>
      </c>
      <c r="C80" s="3146"/>
      <c r="D80" s="3190">
        <v>200</v>
      </c>
      <c r="E80" s="3285"/>
      <c r="F80" s="3262">
        <v>30</v>
      </c>
      <c r="G80" s="3263"/>
      <c r="H80" s="3263">
        <v>20</v>
      </c>
      <c r="I80" s="3263">
        <v>112</v>
      </c>
      <c r="J80" s="3264">
        <v>6</v>
      </c>
      <c r="K80" s="3192">
        <f>IF(OR(M80=0,N80=0),F80,IF(D80-M80&gt;=(0.2*D80),F80*(1-((D80-M80)/D80)),F80))</f>
        <v>30</v>
      </c>
      <c r="L80" s="3192">
        <f>IF(AND(R80,K80&gt;F80),F80&amp;"+"&amp;ROUND(K80-F80,0),K80)</f>
        <v>30</v>
      </c>
      <c r="M80" s="3193">
        <f>IF(N80&gt;0,IF(Fläche!F65&gt;0,Fläche!F65,D80),0)</f>
        <v>0</v>
      </c>
      <c r="N80" s="3194">
        <f>Fläche!E65</f>
        <v>0</v>
      </c>
      <c r="O80" s="3108"/>
      <c r="P80" s="3284"/>
      <c r="Q80" s="2503"/>
      <c r="R80" s="2504"/>
      <c r="S80" s="2505"/>
      <c r="T80" s="2505"/>
      <c r="U80" s="2505"/>
      <c r="V80" s="2506"/>
      <c r="W80" s="2506"/>
      <c r="X80" s="2506"/>
    </row>
    <row r="81" spans="1:24" ht="12.75">
      <c r="A81" s="2829"/>
      <c r="B81" s="3094" t="str">
        <f>Texte!A3640</f>
        <v>Christbäume</v>
      </c>
      <c r="C81" s="3146"/>
      <c r="D81" s="3285"/>
      <c r="E81" s="3285"/>
      <c r="F81" s="3262">
        <v>50</v>
      </c>
      <c r="G81" s="3263"/>
      <c r="H81" s="3263">
        <v>35</v>
      </c>
      <c r="I81" s="3263">
        <v>95</v>
      </c>
      <c r="J81" s="3264">
        <v>20</v>
      </c>
      <c r="K81" s="3192">
        <f>F81</f>
        <v>50</v>
      </c>
      <c r="L81" s="3192">
        <f>IF(AND(R81,K81&gt;F81),F81&amp;"+"&amp;ROUND(K81-F81,0),K81)</f>
        <v>50</v>
      </c>
      <c r="M81" s="3291"/>
      <c r="N81" s="3194">
        <f>Fläche!E66</f>
        <v>0</v>
      </c>
      <c r="O81" s="3108"/>
      <c r="P81" s="3284"/>
      <c r="Q81" s="2503"/>
      <c r="R81" s="2504"/>
      <c r="S81" s="2505"/>
      <c r="T81" s="2505"/>
      <c r="U81" s="2505"/>
      <c r="V81" s="2506"/>
      <c r="W81" s="2506"/>
      <c r="X81" s="2506"/>
    </row>
    <row r="82" spans="1:24" ht="12.75">
      <c r="A82" s="2829"/>
      <c r="B82" s="3094" t="str">
        <f>Texte!A3641</f>
        <v>Selven</v>
      </c>
      <c r="C82" s="3146"/>
      <c r="D82" s="3285"/>
      <c r="E82" s="3285"/>
      <c r="F82" s="3262">
        <v>0</v>
      </c>
      <c r="G82" s="3263"/>
      <c r="H82" s="3263">
        <v>0</v>
      </c>
      <c r="I82" s="3263">
        <v>0</v>
      </c>
      <c r="J82" s="3264">
        <v>0</v>
      </c>
      <c r="K82" s="3192">
        <f>F82</f>
        <v>0</v>
      </c>
      <c r="L82" s="3192">
        <f>IF(AND(R82,K82&gt;F82),F82&amp;"+"&amp;ROUND(K82-F82,0),K82)</f>
        <v>0</v>
      </c>
      <c r="M82" s="3285"/>
      <c r="N82" s="3194">
        <f>Fläche!E67</f>
        <v>0</v>
      </c>
      <c r="O82" s="3111"/>
      <c r="P82" s="3284"/>
      <c r="Q82" s="2503"/>
      <c r="R82" s="2504"/>
      <c r="S82" s="2505"/>
      <c r="T82" s="2505"/>
      <c r="U82" s="2505"/>
      <c r="V82" s="2506"/>
      <c r="W82" s="2506"/>
      <c r="X82" s="2506"/>
    </row>
    <row r="83" spans="1:24" ht="13.5" thickBot="1">
      <c r="A83" s="2829"/>
      <c r="B83" s="3133" t="str">
        <f>Texte!A3642</f>
        <v>andere Dauerkulturen</v>
      </c>
      <c r="C83" s="3214"/>
      <c r="D83" s="3301"/>
      <c r="E83" s="3301"/>
      <c r="F83" s="3302"/>
      <c r="G83" s="3303"/>
      <c r="H83" s="3304"/>
      <c r="I83" s="3304"/>
      <c r="J83" s="3305"/>
      <c r="K83" s="3298"/>
      <c r="L83" s="3298"/>
      <c r="M83" s="3299"/>
      <c r="N83" s="3200">
        <f>Fläche!E69</f>
        <v>0</v>
      </c>
      <c r="O83" s="3109"/>
      <c r="P83" s="3300"/>
      <c r="Q83" s="2515">
        <f>COUNT(Fläche!E65:E69)</f>
        <v>0</v>
      </c>
      <c r="R83" s="2504"/>
      <c r="S83" s="2516"/>
      <c r="T83" s="2516"/>
      <c r="U83" s="2516"/>
      <c r="V83" s="2936"/>
      <c r="W83" s="2506"/>
      <c r="X83" s="2506"/>
    </row>
    <row r="84" spans="1:24" ht="13.5" thickBot="1">
      <c r="A84" s="2829"/>
      <c r="B84" s="3134"/>
      <c r="C84" s="3134"/>
      <c r="D84" s="3135"/>
      <c r="E84" s="3135"/>
      <c r="F84" s="3134"/>
      <c r="G84" s="3134"/>
      <c r="H84" s="3134"/>
      <c r="I84" s="3134"/>
      <c r="J84" s="3134"/>
      <c r="K84" s="3134"/>
      <c r="L84" s="3134"/>
      <c r="M84" s="3134"/>
      <c r="N84" s="3136" t="str">
        <f>Texte!A3568</f>
        <v>Ackerschonstreifen, Summe</v>
      </c>
      <c r="O84" s="3137">
        <f>SUM(O8:O70)</f>
        <v>0</v>
      </c>
      <c r="P84" s="3137"/>
      <c r="Q84" s="2954"/>
      <c r="R84" s="2954" t="s">
        <v>11741</v>
      </c>
      <c r="S84" s="2517"/>
      <c r="T84" s="2517"/>
      <c r="U84" s="2517"/>
      <c r="V84" s="2937"/>
      <c r="W84" s="2502"/>
      <c r="X84" s="2502"/>
    </row>
    <row r="85" spans="1:24" ht="12.75">
      <c r="A85" s="2829"/>
      <c r="B85" s="3148" t="str">
        <f>Texte!A3644</f>
        <v>Grünland</v>
      </c>
      <c r="C85" s="3149"/>
      <c r="D85" s="3253" t="str">
        <f>D4</f>
        <v>Standard-</v>
      </c>
      <c r="E85" s="3149"/>
      <c r="F85" s="3215"/>
      <c r="G85" s="3215"/>
      <c r="H85" s="3215"/>
      <c r="I85" s="3215"/>
      <c r="J85" s="3215"/>
      <c r="K85" s="3167" t="str">
        <f>Texte!A3645</f>
        <v>Ertrag tot.</v>
      </c>
      <c r="L85" s="3167" t="str">
        <f>Texte!A3646</f>
        <v>Ertrag</v>
      </c>
      <c r="M85" s="3164" t="str">
        <f>Texte!A3646</f>
        <v>Ertrag</v>
      </c>
      <c r="N85" s="3167" t="str">
        <f>Texte!A3647</f>
        <v>Fläche</v>
      </c>
      <c r="O85" s="3216"/>
      <c r="P85" s="3217"/>
      <c r="Q85" s="2954"/>
      <c r="R85" s="2954" t="str">
        <f>Texte!B3648</f>
        <v>Ø-Ertrag</v>
      </c>
      <c r="S85" s="2517"/>
      <c r="T85" s="2517"/>
      <c r="U85" s="2517"/>
      <c r="V85" s="2937"/>
      <c r="W85" s="2502"/>
      <c r="X85" s="2502"/>
    </row>
    <row r="86" spans="1:24" ht="12.75">
      <c r="A86" s="2829"/>
      <c r="B86" s="3150"/>
      <c r="C86" s="3151"/>
      <c r="D86" s="3254" t="str">
        <f>D5</f>
        <v>ertrag</v>
      </c>
      <c r="E86" s="3151"/>
      <c r="F86" s="3218"/>
      <c r="G86" s="3218"/>
      <c r="H86" s="3218"/>
      <c r="I86" s="3218"/>
      <c r="J86" s="3218"/>
      <c r="K86" s="3219"/>
      <c r="L86" s="3219" t="str">
        <f>"|" &amp; Q!B13 &amp; "|"</f>
        <v>|Fläche|</v>
      </c>
      <c r="M86" s="3220"/>
      <c r="N86" s="3219"/>
      <c r="O86" s="3221"/>
      <c r="P86" s="3222"/>
      <c r="Q86" s="3026"/>
      <c r="R86" s="3025" t="str">
        <f>V86</f>
        <v>Max.</v>
      </c>
      <c r="S86" s="3011"/>
      <c r="T86" s="3024" t="s">
        <v>11981</v>
      </c>
      <c r="U86" s="3011"/>
      <c r="V86" s="3023" t="s">
        <v>11972</v>
      </c>
      <c r="W86" s="3012" t="s">
        <v>11976</v>
      </c>
      <c r="X86" s="3012"/>
    </row>
    <row r="87" spans="1:24" ht="12.75">
      <c r="A87" s="2829"/>
      <c r="B87" s="3152" t="str">
        <f>Texte!A3649</f>
        <v xml:space="preserve">Naturwiese       extensiv </v>
      </c>
      <c r="C87" s="3153" t="s">
        <v>4272</v>
      </c>
      <c r="D87" s="3255">
        <v>25</v>
      </c>
      <c r="E87" s="3223"/>
      <c r="F87" s="3224"/>
      <c r="G87" s="3224"/>
      <c r="H87" s="3224"/>
      <c r="I87" s="3224"/>
      <c r="J87" s="3224"/>
      <c r="K87" s="3225">
        <f t="shared" ref="K87:K103" si="12">N87*M87</f>
        <v>351.35999999999996</v>
      </c>
      <c r="L87" s="3225">
        <f>Fläche!O10</f>
        <v>25</v>
      </c>
      <c r="M87" s="3225">
        <f t="shared" ref="M87:M103" si="13">IF(N87&gt;0,IF(L87&gt;0,L87,D87),0)</f>
        <v>25</v>
      </c>
      <c r="N87" s="3226">
        <f>Fläche!N10</f>
        <v>14.054399999999999</v>
      </c>
      <c r="O87" s="3227"/>
      <c r="P87" s="3228"/>
      <c r="Q87" s="3027">
        <f>IF(SUM(N87,N103)=0,0,(N87*M87 + N103*M103 ) / SUM(N87,N103))</f>
        <v>24.999999999999996</v>
      </c>
      <c r="R87" s="3036">
        <f>MIN(Q87,V87)</f>
        <v>24.999999999999996</v>
      </c>
      <c r="S87" s="2838" t="str">
        <f>C87</f>
        <v>a</v>
      </c>
      <c r="T87" s="2838">
        <v>2</v>
      </c>
      <c r="U87" s="2839"/>
      <c r="V87" s="3002">
        <v>30</v>
      </c>
      <c r="W87" s="3013" t="str">
        <f>'SB2'!C24</f>
        <v>Extensive Wiesen</v>
      </c>
      <c r="X87" s="3013" t="str">
        <f>C87</f>
        <v>a</v>
      </c>
    </row>
    <row r="88" spans="1:24" ht="12.75">
      <c r="A88" s="2829"/>
      <c r="B88" s="3154" t="str">
        <f>Texte!A3650</f>
        <v xml:space="preserve">                           wenig intensiv</v>
      </c>
      <c r="C88" s="3155" t="s">
        <v>2427</v>
      </c>
      <c r="D88" s="3256">
        <v>45</v>
      </c>
      <c r="E88" s="3229"/>
      <c r="F88" s="3230"/>
      <c r="G88" s="3230"/>
      <c r="H88" s="3230"/>
      <c r="I88" s="3230"/>
      <c r="J88" s="3230"/>
      <c r="K88" s="3231">
        <f t="shared" si="12"/>
        <v>972.7349999999999</v>
      </c>
      <c r="L88" s="3231">
        <f>Fläche!O11</f>
        <v>50</v>
      </c>
      <c r="M88" s="3231">
        <f t="shared" si="13"/>
        <v>50</v>
      </c>
      <c r="N88" s="3232">
        <f>Fläche!N11</f>
        <v>19.454699999999999</v>
      </c>
      <c r="O88" s="3233"/>
      <c r="P88" s="3234"/>
      <c r="Q88" s="3028">
        <f>IF(SUM(N88,N93)=0,0,((N88*M88)+(N93*M93))/SUM(N88,N93))</f>
        <v>49.969348189244272</v>
      </c>
      <c r="R88" s="3037">
        <f>MIN(Q88,V88)</f>
        <v>49.969348189244272</v>
      </c>
      <c r="S88" s="2812" t="str">
        <f>C88</f>
        <v>b</v>
      </c>
      <c r="T88" s="2812">
        <v>2</v>
      </c>
      <c r="U88" s="2569"/>
      <c r="V88" s="3003">
        <v>65</v>
      </c>
      <c r="W88" s="3014" t="str">
        <f>'SB2'!C27</f>
        <v>Wenig intensive Wiesen und Weiden, 1-3 Nutzungen</v>
      </c>
      <c r="X88" s="3014" t="str">
        <f>C88</f>
        <v>b</v>
      </c>
    </row>
    <row r="89" spans="1:24" ht="12.75">
      <c r="A89" s="2829"/>
      <c r="B89" s="3156" t="str">
        <f>Texte!A3651</f>
        <v>Uebr. Wiesen mit Düngeverbot</v>
      </c>
      <c r="C89" s="3155" t="s">
        <v>927</v>
      </c>
      <c r="D89" s="3256">
        <v>30</v>
      </c>
      <c r="E89" s="3229"/>
      <c r="F89" s="3230"/>
      <c r="G89" s="3230"/>
      <c r="H89" s="3230"/>
      <c r="I89" s="3230"/>
      <c r="J89" s="3230"/>
      <c r="K89" s="3231">
        <f t="shared" si="12"/>
        <v>0</v>
      </c>
      <c r="L89" s="3231">
        <f>Fläche!O12</f>
        <v>0</v>
      </c>
      <c r="M89" s="3231">
        <f t="shared" si="13"/>
        <v>0</v>
      </c>
      <c r="N89" s="3232">
        <f>Fläche!N12</f>
        <v>0</v>
      </c>
      <c r="O89" s="3233"/>
      <c r="P89" s="3234"/>
      <c r="Q89" s="3029">
        <f>M89</f>
        <v>0</v>
      </c>
      <c r="R89" s="3038">
        <f>MIN(Q89,V89)</f>
        <v>0</v>
      </c>
      <c r="S89" s="2811" t="str">
        <f>C89</f>
        <v>c</v>
      </c>
      <c r="T89" s="2811">
        <v>1</v>
      </c>
      <c r="U89" s="2504"/>
      <c r="V89" s="3004">
        <v>30</v>
      </c>
      <c r="W89" s="3015" t="str">
        <f>'SB2'!C25</f>
        <v>Übrige Wiesen mit Düngeverbot</v>
      </c>
      <c r="X89" s="3015" t="str">
        <f>C89</f>
        <v>c</v>
      </c>
    </row>
    <row r="90" spans="1:24" ht="12.75">
      <c r="A90" s="2829"/>
      <c r="B90" s="3156" t="str">
        <f>Texte!A3652</f>
        <v>Wiesen im Sömmerungsgebiet</v>
      </c>
      <c r="C90" s="3155" t="s">
        <v>4277</v>
      </c>
      <c r="D90" s="3256">
        <v>45</v>
      </c>
      <c r="E90" s="3229"/>
      <c r="F90" s="3230"/>
      <c r="G90" s="3230"/>
      <c r="H90" s="3230"/>
      <c r="I90" s="3230"/>
      <c r="J90" s="3230"/>
      <c r="K90" s="3231">
        <f t="shared" si="12"/>
        <v>0</v>
      </c>
      <c r="L90" s="3231">
        <f>Fläche!O13</f>
        <v>0</v>
      </c>
      <c r="M90" s="3231">
        <f t="shared" si="13"/>
        <v>0</v>
      </c>
      <c r="N90" s="3232">
        <f>Fläche!N13</f>
        <v>0</v>
      </c>
      <c r="O90" s="3233"/>
      <c r="P90" s="3234"/>
      <c r="Q90" s="3030" t="s">
        <v>856</v>
      </c>
      <c r="R90" s="3039" t="s">
        <v>856</v>
      </c>
      <c r="S90" s="2822" t="str">
        <f>C90</f>
        <v>g</v>
      </c>
      <c r="T90" s="2822">
        <f>T96</f>
        <v>5</v>
      </c>
      <c r="U90" s="2821"/>
      <c r="V90" s="3001">
        <f>$V$96</f>
        <v>135</v>
      </c>
      <c r="W90" s="3016" t="s">
        <v>856</v>
      </c>
      <c r="X90" s="3016" t="s">
        <v>856</v>
      </c>
    </row>
    <row r="91" spans="1:24" ht="12.75">
      <c r="A91" s="2829"/>
      <c r="B91" s="3156" t="str">
        <f>Texte!A3653</f>
        <v>Waldweide</v>
      </c>
      <c r="C91" s="3155" t="s">
        <v>858</v>
      </c>
      <c r="D91" s="3256">
        <v>20</v>
      </c>
      <c r="E91" s="3229"/>
      <c r="F91" s="3230"/>
      <c r="G91" s="3230"/>
      <c r="H91" s="3230"/>
      <c r="I91" s="3230"/>
      <c r="J91" s="3230"/>
      <c r="K91" s="3231">
        <f t="shared" si="12"/>
        <v>0</v>
      </c>
      <c r="L91" s="3231">
        <f>Fläche!O14</f>
        <v>0</v>
      </c>
      <c r="M91" s="3231">
        <f t="shared" si="13"/>
        <v>0</v>
      </c>
      <c r="N91" s="3232">
        <f>Fläche!N14</f>
        <v>0</v>
      </c>
      <c r="O91" s="3233"/>
      <c r="P91" s="3234"/>
      <c r="Q91" s="3031" t="s">
        <v>856</v>
      </c>
      <c r="R91" s="3040" t="s">
        <v>856</v>
      </c>
      <c r="S91" s="2820" t="str">
        <f>C91</f>
        <v>d</v>
      </c>
      <c r="T91" s="2820">
        <v>2</v>
      </c>
      <c r="U91" s="2819"/>
      <c r="V91" s="3010">
        <f>$V$92</f>
        <v>25</v>
      </c>
      <c r="W91" s="3017" t="s">
        <v>856</v>
      </c>
      <c r="X91" s="3017" t="s">
        <v>856</v>
      </c>
    </row>
    <row r="92" spans="1:24" ht="12.75">
      <c r="A92" s="2829"/>
      <c r="B92" s="3154" t="str">
        <f>Texte!A3654</f>
        <v>Weide               extensiv</v>
      </c>
      <c r="C92" s="3155" t="s">
        <v>858</v>
      </c>
      <c r="D92" s="3256">
        <v>20</v>
      </c>
      <c r="E92" s="3229"/>
      <c r="F92" s="3230"/>
      <c r="G92" s="3230"/>
      <c r="H92" s="3230"/>
      <c r="I92" s="3230"/>
      <c r="J92" s="3230"/>
      <c r="K92" s="3231">
        <f t="shared" si="12"/>
        <v>44.408000000000001</v>
      </c>
      <c r="L92" s="3231">
        <f>Fläche!O15</f>
        <v>20</v>
      </c>
      <c r="M92" s="3231">
        <f t="shared" si="13"/>
        <v>20</v>
      </c>
      <c r="N92" s="3232">
        <f>Fläche!N15</f>
        <v>2.2204000000000002</v>
      </c>
      <c r="O92" s="3233"/>
      <c r="P92" s="3234"/>
      <c r="Q92" s="3031">
        <f>IF(SUM(N91,N92)=0,0,((N91*M91)+(N92*M92))/SUM(N91,N92))</f>
        <v>20</v>
      </c>
      <c r="R92" s="3040">
        <f>MIN(Q92,V92)</f>
        <v>20</v>
      </c>
      <c r="S92" s="2820" t="s">
        <v>858</v>
      </c>
      <c r="T92" s="2820">
        <v>2</v>
      </c>
      <c r="U92" s="2819"/>
      <c r="V92" s="3005">
        <v>25</v>
      </c>
      <c r="W92" s="3017" t="str">
        <f>'SB2'!C26</f>
        <v>Extensive Weiden, Waldweiden</v>
      </c>
      <c r="X92" s="3017" t="s">
        <v>856</v>
      </c>
    </row>
    <row r="93" spans="1:24" ht="12.75">
      <c r="A93" s="2829"/>
      <c r="B93" s="3154" t="str">
        <f>Texte!A3655</f>
        <v xml:space="preserve">                          wenig intensiv</v>
      </c>
      <c r="C93" s="3155" t="s">
        <v>2427</v>
      </c>
      <c r="D93" s="3256">
        <v>45</v>
      </c>
      <c r="E93" s="3229"/>
      <c r="F93" s="3230"/>
      <c r="G93" s="3230"/>
      <c r="H93" s="3230"/>
      <c r="I93" s="3230"/>
      <c r="J93" s="3230"/>
      <c r="K93" s="3231">
        <f t="shared" si="12"/>
        <v>5.3999999999999995</v>
      </c>
      <c r="L93" s="3231">
        <f>Fläche!O16</f>
        <v>0</v>
      </c>
      <c r="M93" s="3231">
        <f t="shared" si="13"/>
        <v>45</v>
      </c>
      <c r="N93" s="3232">
        <f>Fläche!N16</f>
        <v>0.12</v>
      </c>
      <c r="O93" s="3233"/>
      <c r="P93" s="3234"/>
      <c r="Q93" s="3028" t="s">
        <v>856</v>
      </c>
      <c r="R93" s="3037" t="s">
        <v>856</v>
      </c>
      <c r="S93" s="2812" t="str">
        <f t="shared" ref="S93:S100" si="14">C93</f>
        <v>b</v>
      </c>
      <c r="T93" s="2812"/>
      <c r="U93" s="2569"/>
      <c r="V93" s="3006">
        <f>$V$88</f>
        <v>65</v>
      </c>
      <c r="W93" s="3014" t="s">
        <v>856</v>
      </c>
      <c r="X93" s="3014"/>
    </row>
    <row r="94" spans="1:24" ht="12.75">
      <c r="A94" s="2829"/>
      <c r="B94" s="3157" t="str">
        <f>Texte!A3656</f>
        <v>Naturwiese/      mittelintensiv</v>
      </c>
      <c r="C94" s="3155" t="s">
        <v>4274</v>
      </c>
      <c r="D94" s="3256">
        <v>68</v>
      </c>
      <c r="E94" s="3229"/>
      <c r="F94" s="3230"/>
      <c r="G94" s="3230"/>
      <c r="H94" s="3230"/>
      <c r="I94" s="3230"/>
      <c r="J94" s="3230"/>
      <c r="K94" s="3231">
        <f t="shared" si="12"/>
        <v>0</v>
      </c>
      <c r="L94" s="3231">
        <f>Fläche!O17</f>
        <v>0</v>
      </c>
      <c r="M94" s="3231">
        <f t="shared" si="13"/>
        <v>0</v>
      </c>
      <c r="N94" s="3232">
        <f>Fläche!N17</f>
        <v>0</v>
      </c>
      <c r="O94" s="3233"/>
      <c r="P94" s="3234"/>
      <c r="Q94" s="3032">
        <f>IF(SUM(N94:N95,N98)=0,0,((N94*M94)+(N95*M95)+(N98*M98))/SUM(N94:N95,N98))</f>
        <v>0</v>
      </c>
      <c r="R94" s="3041">
        <f>MIN(Q94,V94)</f>
        <v>0</v>
      </c>
      <c r="S94" s="2813" t="str">
        <f t="shared" si="14"/>
        <v>f</v>
      </c>
      <c r="T94" s="2813"/>
      <c r="U94" s="2520"/>
      <c r="V94" s="2955">
        <v>100</v>
      </c>
      <c r="W94" s="3018" t="str">
        <f>'SB2'!C28</f>
        <v>Mittelintensive Wiesen und Weiden, 1-5 Nutzungen</v>
      </c>
      <c r="X94" s="3018" t="s">
        <v>11744</v>
      </c>
    </row>
    <row r="95" spans="1:24" ht="12.75">
      <c r="A95" s="2829"/>
      <c r="B95" s="3158" t="str">
        <f>Texte!A3657</f>
        <v>(Mäh-) Weide    mittelintensiv</v>
      </c>
      <c r="C95" s="3155" t="s">
        <v>4274</v>
      </c>
      <c r="D95" s="3256">
        <v>68</v>
      </c>
      <c r="E95" s="3229"/>
      <c r="F95" s="3230"/>
      <c r="G95" s="3230"/>
      <c r="H95" s="3230"/>
      <c r="I95" s="3230"/>
      <c r="J95" s="3230"/>
      <c r="K95" s="3231">
        <f t="shared" si="12"/>
        <v>0</v>
      </c>
      <c r="L95" s="3231">
        <f>Fläche!O18</f>
        <v>0</v>
      </c>
      <c r="M95" s="3231">
        <f t="shared" si="13"/>
        <v>0</v>
      </c>
      <c r="N95" s="3232">
        <f>Fläche!N18</f>
        <v>0</v>
      </c>
      <c r="O95" s="3233"/>
      <c r="P95" s="3234"/>
      <c r="Q95" s="3032" t="s">
        <v>856</v>
      </c>
      <c r="R95" s="3041" t="s">
        <v>856</v>
      </c>
      <c r="S95" s="2813" t="str">
        <f t="shared" si="14"/>
        <v>f</v>
      </c>
      <c r="T95" s="2813"/>
      <c r="U95" s="2520"/>
      <c r="V95" s="3007">
        <f>$V$94</f>
        <v>100</v>
      </c>
      <c r="W95" s="3018" t="s">
        <v>856</v>
      </c>
      <c r="X95" s="3018" t="s">
        <v>856</v>
      </c>
    </row>
    <row r="96" spans="1:24" ht="12.75">
      <c r="A96" s="2829"/>
      <c r="B96" s="3157" t="str">
        <f>Texte!A3658</f>
        <v>Naturwiese/              intensiv</v>
      </c>
      <c r="C96" s="3155" t="s">
        <v>4277</v>
      </c>
      <c r="D96" s="3256">
        <v>110</v>
      </c>
      <c r="E96" s="3229"/>
      <c r="F96" s="3230"/>
      <c r="G96" s="3230"/>
      <c r="H96" s="3230"/>
      <c r="I96" s="3230"/>
      <c r="J96" s="3230"/>
      <c r="K96" s="3231">
        <f t="shared" si="12"/>
        <v>1701.3354000000004</v>
      </c>
      <c r="L96" s="3235">
        <f>Fläche!O19</f>
        <v>89.543968421052654</v>
      </c>
      <c r="M96" s="3231">
        <f t="shared" si="13"/>
        <v>89.543968421052654</v>
      </c>
      <c r="N96" s="3232">
        <f>Fläche!N19</f>
        <v>19</v>
      </c>
      <c r="O96" s="3233"/>
      <c r="P96" s="3234"/>
      <c r="Q96" s="3030">
        <f>IF(SUM(N90,N96,N97,N99,N102)=0,0,(N90*M90 + N96*M96 + N97*M97 +  N99*M99 + N102*M102) / SUM(N90,N96,N97,N99,N102))</f>
        <v>89.543968421052654</v>
      </c>
      <c r="R96" s="3039">
        <f>MIN(Q96,V96)</f>
        <v>89.543968421052654</v>
      </c>
      <c r="S96" s="2822" t="str">
        <f t="shared" si="14"/>
        <v>g</v>
      </c>
      <c r="T96" s="2822">
        <v>5</v>
      </c>
      <c r="U96" s="2821"/>
      <c r="V96" s="3008">
        <v>135</v>
      </c>
      <c r="W96" s="3016" t="str">
        <f>'SB2'!C29</f>
        <v>Intensive Wiesen und Weiden, 2-6 Nutzungen</v>
      </c>
      <c r="X96" s="3016" t="str">
        <f>C96</f>
        <v>g</v>
      </c>
    </row>
    <row r="97" spans="1:24" ht="12.75">
      <c r="A97" s="2829"/>
      <c r="B97" s="3158" t="str">
        <f>Texte!A3659</f>
        <v>(Mäh-) Weide            intensiv</v>
      </c>
      <c r="C97" s="3155" t="s">
        <v>4277</v>
      </c>
      <c r="D97" s="3256">
        <v>110</v>
      </c>
      <c r="E97" s="3229"/>
      <c r="F97" s="3230"/>
      <c r="G97" s="3230"/>
      <c r="H97" s="3230"/>
      <c r="I97" s="3230"/>
      <c r="J97" s="3230"/>
      <c r="K97" s="3231">
        <f t="shared" si="12"/>
        <v>0</v>
      </c>
      <c r="L97" s="3235">
        <f>Fläche!O20</f>
        <v>0</v>
      </c>
      <c r="M97" s="3231">
        <f t="shared" si="13"/>
        <v>0</v>
      </c>
      <c r="N97" s="3232">
        <f>Fläche!N20</f>
        <v>0</v>
      </c>
      <c r="O97" s="3233"/>
      <c r="P97" s="3234"/>
      <c r="Q97" s="3030" t="s">
        <v>856</v>
      </c>
      <c r="R97" s="3039" t="s">
        <v>856</v>
      </c>
      <c r="S97" s="2823" t="str">
        <f t="shared" si="14"/>
        <v>g</v>
      </c>
      <c r="T97" s="2822">
        <f>T96</f>
        <v>5</v>
      </c>
      <c r="U97" s="2824"/>
      <c r="V97" s="3001">
        <f>$V$96</f>
        <v>135</v>
      </c>
      <c r="W97" s="3016" t="s">
        <v>856</v>
      </c>
      <c r="X97" s="3016" t="s">
        <v>856</v>
      </c>
    </row>
    <row r="98" spans="1:24" ht="12.75">
      <c r="A98" s="2829"/>
      <c r="B98" s="3156" t="str">
        <f>Texte!A3660</f>
        <v>Kunstwiese       mittelintensiv</v>
      </c>
      <c r="C98" s="3155" t="s">
        <v>4274</v>
      </c>
      <c r="D98" s="3256">
        <v>68</v>
      </c>
      <c r="E98" s="3229"/>
      <c r="F98" s="3230"/>
      <c r="G98" s="3230"/>
      <c r="H98" s="3230"/>
      <c r="I98" s="3230"/>
      <c r="J98" s="3230"/>
      <c r="K98" s="3231">
        <f t="shared" si="12"/>
        <v>0</v>
      </c>
      <c r="L98" s="3231">
        <f>Fläche!O21</f>
        <v>0</v>
      </c>
      <c r="M98" s="3231">
        <f t="shared" si="13"/>
        <v>0</v>
      </c>
      <c r="N98" s="3232">
        <f>Fläche!N21</f>
        <v>0</v>
      </c>
      <c r="O98" s="3233"/>
      <c r="P98" s="3234"/>
      <c r="Q98" s="3032" t="s">
        <v>856</v>
      </c>
      <c r="R98" s="3041" t="s">
        <v>856</v>
      </c>
      <c r="S98" s="2814" t="str">
        <f t="shared" si="14"/>
        <v>f</v>
      </c>
      <c r="T98" s="2814"/>
      <c r="U98" s="2518"/>
      <c r="V98" s="3007">
        <f>$V$95</f>
        <v>100</v>
      </c>
      <c r="W98" s="3018" t="s">
        <v>856</v>
      </c>
      <c r="X98" s="3018" t="s">
        <v>856</v>
      </c>
    </row>
    <row r="99" spans="1:24" ht="12.75">
      <c r="A99" s="2829"/>
      <c r="B99" s="3154" t="str">
        <f>Texte!A3661</f>
        <v xml:space="preserve">                             intensiv</v>
      </c>
      <c r="C99" s="3155" t="s">
        <v>4277</v>
      </c>
      <c r="D99" s="3256">
        <v>110</v>
      </c>
      <c r="E99" s="3229"/>
      <c r="F99" s="3230"/>
      <c r="G99" s="3230"/>
      <c r="H99" s="3230"/>
      <c r="I99" s="3230"/>
      <c r="J99" s="3230"/>
      <c r="K99" s="3231">
        <f t="shared" si="12"/>
        <v>0</v>
      </c>
      <c r="L99" s="3235">
        <f>Fläche!O22</f>
        <v>0</v>
      </c>
      <c r="M99" s="3231">
        <f t="shared" si="13"/>
        <v>0</v>
      </c>
      <c r="N99" s="3232">
        <f>Fläche!N22</f>
        <v>0</v>
      </c>
      <c r="O99" s="3233"/>
      <c r="P99" s="3234"/>
      <c r="Q99" s="3030" t="s">
        <v>856</v>
      </c>
      <c r="R99" s="3039"/>
      <c r="S99" s="2823" t="str">
        <f t="shared" si="14"/>
        <v>g</v>
      </c>
      <c r="T99" s="2822">
        <f>T96</f>
        <v>5</v>
      </c>
      <c r="U99" s="2824"/>
      <c r="V99" s="3001">
        <f>$V$96</f>
        <v>135</v>
      </c>
      <c r="W99" s="3016" t="s">
        <v>856</v>
      </c>
      <c r="X99" s="3016" t="s">
        <v>856</v>
      </c>
    </row>
    <row r="100" spans="1:24" ht="12.75">
      <c r="A100" s="2829"/>
      <c r="B100" s="3156" t="str">
        <f>Texte!A3662</f>
        <v>Samenproduktion: Leguminosen Reinbestand</v>
      </c>
      <c r="C100" s="3155" t="s">
        <v>11820</v>
      </c>
      <c r="D100" s="3256">
        <v>120</v>
      </c>
      <c r="E100" s="3229"/>
      <c r="F100" s="3230"/>
      <c r="G100" s="3230"/>
      <c r="H100" s="3230"/>
      <c r="I100" s="3230"/>
      <c r="J100" s="3230"/>
      <c r="K100" s="3231">
        <f t="shared" si="12"/>
        <v>0</v>
      </c>
      <c r="L100" s="3235">
        <f>Fläche!O23</f>
        <v>0</v>
      </c>
      <c r="M100" s="3231">
        <f t="shared" si="13"/>
        <v>0</v>
      </c>
      <c r="N100" s="3232">
        <f>Fläche!N23</f>
        <v>0</v>
      </c>
      <c r="O100" s="3233"/>
      <c r="P100" s="3234"/>
      <c r="Q100" s="3033">
        <f>M100</f>
        <v>0</v>
      </c>
      <c r="R100" s="3042">
        <f>MIN(Q100,V100)</f>
        <v>0</v>
      </c>
      <c r="S100" s="2943" t="str">
        <f t="shared" si="14"/>
        <v>i</v>
      </c>
      <c r="T100" s="2941">
        <v>1</v>
      </c>
      <c r="U100" s="2942"/>
      <c r="V100" s="2945">
        <v>120</v>
      </c>
      <c r="W100" s="3019" t="str">
        <f>'SB2'!C21</f>
        <v>Samenproduktion: Leguminosen Reinbestand</v>
      </c>
      <c r="X100" s="3019" t="str">
        <f>C100</f>
        <v>i</v>
      </c>
    </row>
    <row r="101" spans="1:24" ht="12.75">
      <c r="A101" s="2829"/>
      <c r="B101" s="3156" t="str">
        <f>Texte!A3663</f>
        <v>Samenproduktion: Gras Reinbestand</v>
      </c>
      <c r="C101" s="3155" t="s">
        <v>11821</v>
      </c>
      <c r="D101" s="3256">
        <v>120</v>
      </c>
      <c r="E101" s="3229"/>
      <c r="F101" s="3230"/>
      <c r="G101" s="3230"/>
      <c r="H101" s="3230"/>
      <c r="I101" s="3230"/>
      <c r="J101" s="3230"/>
      <c r="K101" s="3231">
        <f t="shared" si="12"/>
        <v>0</v>
      </c>
      <c r="L101" s="3235">
        <f>Fläche!O24</f>
        <v>0</v>
      </c>
      <c r="M101" s="3231">
        <f t="shared" si="13"/>
        <v>0</v>
      </c>
      <c r="N101" s="3232">
        <f>Fläche!N24</f>
        <v>0</v>
      </c>
      <c r="O101" s="3233"/>
      <c r="P101" s="3234"/>
      <c r="Q101" s="3034">
        <f>M101</f>
        <v>0</v>
      </c>
      <c r="R101" s="3043">
        <f>MIN(Q101,V101)</f>
        <v>0</v>
      </c>
      <c r="S101" s="2938" t="s">
        <v>11821</v>
      </c>
      <c r="T101" s="2939">
        <v>1</v>
      </c>
      <c r="U101" s="2940"/>
      <c r="V101" s="2944">
        <v>180</v>
      </c>
      <c r="W101" s="3020" t="str">
        <f>'SB2'!C22</f>
        <v>Samenproduktion: Gras Reinbestand</v>
      </c>
      <c r="X101" s="3020" t="str">
        <f>C101</f>
        <v>j</v>
      </c>
    </row>
    <row r="102" spans="1:24" ht="12.75">
      <c r="A102" s="2829"/>
      <c r="B102" s="3156" t="str">
        <f>Texte!A3664</f>
        <v>Weide für Schweine</v>
      </c>
      <c r="C102" s="3155" t="s">
        <v>4277</v>
      </c>
      <c r="D102" s="3256">
        <v>110</v>
      </c>
      <c r="E102" s="3229"/>
      <c r="F102" s="3230"/>
      <c r="G102" s="3230"/>
      <c r="H102" s="3230"/>
      <c r="I102" s="3230"/>
      <c r="J102" s="3230"/>
      <c r="K102" s="3231">
        <f t="shared" si="12"/>
        <v>0</v>
      </c>
      <c r="L102" s="3235">
        <f>Fläche!O25</f>
        <v>0</v>
      </c>
      <c r="M102" s="3231">
        <f t="shared" si="13"/>
        <v>0</v>
      </c>
      <c r="N102" s="3232">
        <f>Fläche!N25</f>
        <v>0</v>
      </c>
      <c r="O102" s="3233"/>
      <c r="P102" s="3234"/>
      <c r="Q102" s="3030" t="s">
        <v>856</v>
      </c>
      <c r="R102" s="3039" t="s">
        <v>856</v>
      </c>
      <c r="S102" s="2823" t="str">
        <f>C102</f>
        <v>g</v>
      </c>
      <c r="T102" s="2822">
        <f>T96</f>
        <v>5</v>
      </c>
      <c r="U102" s="2824"/>
      <c r="V102" s="3001">
        <f>$V$96</f>
        <v>135</v>
      </c>
      <c r="W102" s="3016" t="s">
        <v>856</v>
      </c>
      <c r="X102" s="3016" t="s">
        <v>856</v>
      </c>
    </row>
    <row r="103" spans="1:24" ht="12.75">
      <c r="A103" s="2829"/>
      <c r="B103" s="3159" t="str">
        <f>Texte!A3665</f>
        <v>Uferwiese, ohne Weiden</v>
      </c>
      <c r="C103" s="3160" t="s">
        <v>4272</v>
      </c>
      <c r="D103" s="3257">
        <f>D87</f>
        <v>25</v>
      </c>
      <c r="E103" s="3236"/>
      <c r="F103" s="3237"/>
      <c r="G103" s="3237"/>
      <c r="H103" s="3237"/>
      <c r="I103" s="3237"/>
      <c r="J103" s="3237"/>
      <c r="K103" s="3238">
        <f t="shared" si="12"/>
        <v>3.08</v>
      </c>
      <c r="L103" s="3239">
        <f>Fläche!O37</f>
        <v>25</v>
      </c>
      <c r="M103" s="3238">
        <f t="shared" si="13"/>
        <v>25</v>
      </c>
      <c r="N103" s="3240">
        <f>Fläche!N37</f>
        <v>0.1232</v>
      </c>
      <c r="O103" s="3241"/>
      <c r="P103" s="3242"/>
      <c r="Q103" s="3027" t="s">
        <v>856</v>
      </c>
      <c r="R103" s="3036" t="s">
        <v>856</v>
      </c>
      <c r="S103" s="2840" t="s">
        <v>4272</v>
      </c>
      <c r="T103" s="2838">
        <f>T87</f>
        <v>2</v>
      </c>
      <c r="U103" s="2841"/>
      <c r="V103" s="3009">
        <f>$V$87</f>
        <v>30</v>
      </c>
      <c r="W103" s="3021" t="s">
        <v>856</v>
      </c>
      <c r="X103" s="3021" t="s">
        <v>856</v>
      </c>
    </row>
    <row r="104" spans="1:24" ht="12.75">
      <c r="A104" s="2829"/>
      <c r="B104" s="2825" t="str">
        <f>Texte!A3666</f>
        <v>Zweit-, Dritt- oder Zwischenkulturen</v>
      </c>
      <c r="C104" s="2934"/>
      <c r="D104" s="2826"/>
      <c r="E104" s="2826"/>
      <c r="F104" s="2827"/>
      <c r="G104" s="2827"/>
      <c r="H104" s="2827"/>
      <c r="I104" s="2827"/>
      <c r="J104" s="2828"/>
      <c r="K104" s="2828"/>
      <c r="L104" s="2828"/>
      <c r="M104" s="2828"/>
      <c r="N104" s="2828"/>
      <c r="O104" s="3112"/>
      <c r="P104" s="3114"/>
      <c r="Q104" s="3035"/>
      <c r="R104" s="3026"/>
      <c r="S104" s="2816"/>
      <c r="T104" s="2817"/>
      <c r="U104" s="2818"/>
      <c r="V104" s="3022"/>
      <c r="W104" s="3022" t="s">
        <v>11975</v>
      </c>
      <c r="X104" s="3022"/>
    </row>
    <row r="105" spans="1:24" ht="12.75">
      <c r="A105" s="2829"/>
      <c r="B105" s="3161" t="str">
        <f>Fläche!K44</f>
        <v>Grünmais</v>
      </c>
      <c r="C105" s="3153" t="s">
        <v>6074</v>
      </c>
      <c r="D105" s="3255">
        <v>60</v>
      </c>
      <c r="E105" s="3223"/>
      <c r="F105" s="3224"/>
      <c r="G105" s="3224"/>
      <c r="H105" s="3224"/>
      <c r="I105" s="3224"/>
      <c r="J105" s="3224"/>
      <c r="K105" s="3225">
        <f t="shared" ref="K105:K110" si="15">N105*M105</f>
        <v>0</v>
      </c>
      <c r="L105" s="3225">
        <f>Fläche!O44</f>
        <v>0</v>
      </c>
      <c r="M105" s="3225">
        <f>IF(N105&gt;0,IF(L105&gt;0,L105,D105),0)</f>
        <v>0</v>
      </c>
      <c r="N105" s="3243">
        <f>Fläche!N44</f>
        <v>0</v>
      </c>
      <c r="O105" s="3227"/>
      <c r="P105" s="3244"/>
      <c r="Q105" s="3033">
        <f>M105</f>
        <v>0</v>
      </c>
      <c r="R105" s="3042">
        <f>Q105</f>
        <v>0</v>
      </c>
      <c r="S105" s="2943" t="str">
        <f t="shared" ref="S105:S110" si="16">C105</f>
        <v>l</v>
      </c>
      <c r="T105" s="2941">
        <v>1</v>
      </c>
      <c r="U105" s="2942"/>
      <c r="V105" s="3058">
        <f>D105</f>
        <v>60</v>
      </c>
      <c r="W105" s="3019" t="str">
        <f>Fläche!K44</f>
        <v>Grünmais</v>
      </c>
      <c r="X105" s="3019" t="str">
        <f>S105</f>
        <v>l</v>
      </c>
    </row>
    <row r="106" spans="1:24" ht="12.75">
      <c r="A106" s="2829"/>
      <c r="B106" s="3156" t="str">
        <f>Fläche!K45</f>
        <v>Ganzpflanzen-Sorghum, Zweitkultur</v>
      </c>
      <c r="C106" s="3155" t="s">
        <v>4986</v>
      </c>
      <c r="D106" s="3256">
        <v>60</v>
      </c>
      <c r="E106" s="3229"/>
      <c r="F106" s="3230"/>
      <c r="G106" s="3230"/>
      <c r="H106" s="3230"/>
      <c r="I106" s="3230"/>
      <c r="J106" s="3230"/>
      <c r="K106" s="3231">
        <f t="shared" si="15"/>
        <v>0</v>
      </c>
      <c r="L106" s="3231">
        <f>Fläche!O45</f>
        <v>0</v>
      </c>
      <c r="M106" s="3231">
        <f>IF(N106&gt;0,IF(L106&gt;0,L106,D106),0)</f>
        <v>0</v>
      </c>
      <c r="N106" s="3245">
        <f>Fläche!N45</f>
        <v>0</v>
      </c>
      <c r="O106" s="3233"/>
      <c r="P106" s="3246"/>
      <c r="Q106" s="3034">
        <f>M106</f>
        <v>0</v>
      </c>
      <c r="R106" s="3043">
        <f>Q106</f>
        <v>0</v>
      </c>
      <c r="S106" s="2938" t="str">
        <f t="shared" si="16"/>
        <v>m</v>
      </c>
      <c r="T106" s="2939">
        <v>1</v>
      </c>
      <c r="U106" s="2940"/>
      <c r="V106" s="3059">
        <f>D106</f>
        <v>60</v>
      </c>
      <c r="W106" s="3020" t="str">
        <f>Fläche!K45</f>
        <v>Ganzpflanzen-Sorghum, Zweitkultur</v>
      </c>
      <c r="X106" s="3020" t="str">
        <f>S106</f>
        <v>m</v>
      </c>
    </row>
    <row r="107" spans="1:24" ht="12.75">
      <c r="A107" s="2829"/>
      <c r="B107" s="3156" t="str">
        <f>Texte!A3667</f>
        <v>Zwischenfutter, kein Kleegras</v>
      </c>
      <c r="C107" s="3155" t="s">
        <v>11974</v>
      </c>
      <c r="D107" s="3256">
        <v>25</v>
      </c>
      <c r="E107" s="3229"/>
      <c r="F107" s="3230"/>
      <c r="G107" s="3230"/>
      <c r="H107" s="3230"/>
      <c r="I107" s="3230"/>
      <c r="J107" s="3230"/>
      <c r="K107" s="3231">
        <f t="shared" si="15"/>
        <v>0</v>
      </c>
      <c r="L107" s="3231">
        <f>Fläche!O46</f>
        <v>0</v>
      </c>
      <c r="M107" s="3231">
        <f>IF(N107&gt;0,IF(L107&gt;0,L107,D107),0)</f>
        <v>0</v>
      </c>
      <c r="N107" s="3245">
        <f>Fläche!N46</f>
        <v>0</v>
      </c>
      <c r="O107" s="3233"/>
      <c r="P107" s="3246"/>
      <c r="Q107" s="3033">
        <f>M107</f>
        <v>0</v>
      </c>
      <c r="R107" s="3042">
        <f>MIN(Q107,V107)</f>
        <v>0</v>
      </c>
      <c r="S107" s="2943" t="str">
        <f t="shared" si="16"/>
        <v>k</v>
      </c>
      <c r="T107" s="2941">
        <v>1</v>
      </c>
      <c r="U107" s="2942"/>
      <c r="V107" s="2945">
        <v>25</v>
      </c>
      <c r="W107" s="3019" t="str">
        <f>Fläche!K46</f>
        <v>Zwischenfutter, ohne Kunstwiesen</v>
      </c>
      <c r="X107" s="3019" t="str">
        <f>S107</f>
        <v>k</v>
      </c>
    </row>
    <row r="108" spans="1:24" ht="12.75">
      <c r="A108" s="2829"/>
      <c r="B108" s="3156" t="str">
        <f>Texte!A3668</f>
        <v>Zwischenfutter, Kleegras</v>
      </c>
      <c r="C108" s="3155" t="s">
        <v>6499</v>
      </c>
      <c r="D108" s="3256">
        <v>25</v>
      </c>
      <c r="E108" s="3229"/>
      <c r="F108" s="3230"/>
      <c r="G108" s="3230"/>
      <c r="H108" s="3230"/>
      <c r="I108" s="3230"/>
      <c r="J108" s="3230"/>
      <c r="K108" s="3231">
        <f t="shared" si="15"/>
        <v>0</v>
      </c>
      <c r="L108" s="3231">
        <f>Fläche!O47</f>
        <v>0</v>
      </c>
      <c r="M108" s="3231">
        <f>IF(N108&gt;0,IF(L108&gt;0,MIN(L108,D108),D108),0)</f>
        <v>0</v>
      </c>
      <c r="N108" s="3245">
        <f>Fläche!N47</f>
        <v>0</v>
      </c>
      <c r="O108" s="3233"/>
      <c r="P108" s="3246"/>
      <c r="Q108" s="3032">
        <f>IF(SUM(N108:N110)=0,0,SUM(K108:K110)/SUM(N108:N110))</f>
        <v>0</v>
      </c>
      <c r="R108" s="3073">
        <f>Q108</f>
        <v>0</v>
      </c>
      <c r="S108" s="2815" t="str">
        <f t="shared" si="16"/>
        <v>h</v>
      </c>
      <c r="T108" s="2815">
        <v>3</v>
      </c>
      <c r="U108" s="2519"/>
      <c r="V108" s="2955">
        <v>25</v>
      </c>
      <c r="W108" s="3018" t="str">
        <f>Fläche!K47</f>
        <v>Zwischenfutter, herbstgesäte Kunstwiesen</v>
      </c>
      <c r="X108" s="3018" t="s">
        <v>11743</v>
      </c>
    </row>
    <row r="109" spans="1:24" ht="12.75">
      <c r="A109" s="2829"/>
      <c r="B109" s="3156" t="str">
        <f>Texte!A3669</f>
        <v>Äugstlen</v>
      </c>
      <c r="C109" s="3155" t="s">
        <v>6499</v>
      </c>
      <c r="D109" s="3256">
        <v>25</v>
      </c>
      <c r="E109" s="3229"/>
      <c r="F109" s="3230"/>
      <c r="G109" s="3230"/>
      <c r="H109" s="3230"/>
      <c r="I109" s="3230"/>
      <c r="J109" s="3230"/>
      <c r="K109" s="3231">
        <f t="shared" si="15"/>
        <v>0</v>
      </c>
      <c r="L109" s="3231">
        <f>Fläche!O48</f>
        <v>0</v>
      </c>
      <c r="M109" s="3231">
        <f>IF(N109&gt;0,IF(L109&gt;0,MIN(L109,D109),D109),0)</f>
        <v>0</v>
      </c>
      <c r="N109" s="3245">
        <f>Fläche!N48</f>
        <v>0</v>
      </c>
      <c r="O109" s="3233"/>
      <c r="P109" s="3246"/>
      <c r="Q109" s="3032" t="s">
        <v>856</v>
      </c>
      <c r="R109" s="3044" t="s">
        <v>856</v>
      </c>
      <c r="S109" s="2815" t="str">
        <f t="shared" si="16"/>
        <v>h</v>
      </c>
      <c r="T109" s="2815">
        <v>3</v>
      </c>
      <c r="U109" s="2519"/>
      <c r="V109" s="2955">
        <v>25</v>
      </c>
      <c r="W109" s="3018" t="str">
        <f>Fläche!K48</f>
        <v>Äugstlen</v>
      </c>
      <c r="X109" s="3018" t="s">
        <v>856</v>
      </c>
    </row>
    <row r="110" spans="1:24" ht="13.5" thickBot="1">
      <c r="A110" s="2829"/>
      <c r="B110" s="3306" t="str">
        <f>Texte!A3670</f>
        <v>Frühjahrsschnitt vor Wiesenumbruch</v>
      </c>
      <c r="C110" s="3162" t="s">
        <v>6499</v>
      </c>
      <c r="D110" s="3258">
        <v>50</v>
      </c>
      <c r="E110" s="3247"/>
      <c r="F110" s="3248"/>
      <c r="G110" s="3248"/>
      <c r="H110" s="3248"/>
      <c r="I110" s="3248"/>
      <c r="J110" s="3248"/>
      <c r="K110" s="3249">
        <f t="shared" si="15"/>
        <v>0</v>
      </c>
      <c r="L110" s="3249">
        <f>Fläche!O49</f>
        <v>0</v>
      </c>
      <c r="M110" s="3249">
        <f>IF(N110&gt;0,IF(L110&gt;0,MIN(L110,D110),D110),0)</f>
        <v>0</v>
      </c>
      <c r="N110" s="3250">
        <f>Fläche!N49</f>
        <v>0</v>
      </c>
      <c r="O110" s="3251"/>
      <c r="P110" s="3252"/>
      <c r="Q110" s="3032" t="s">
        <v>856</v>
      </c>
      <c r="R110" s="3044" t="s">
        <v>856</v>
      </c>
      <c r="S110" s="2815" t="str">
        <f t="shared" si="16"/>
        <v>h</v>
      </c>
      <c r="T110" s="2815">
        <v>3</v>
      </c>
      <c r="U110" s="2519"/>
      <c r="V110" s="2955">
        <v>50</v>
      </c>
      <c r="W110" s="3018" t="str">
        <f>Fläche!K49</f>
        <v>Frühjahrsschnitt vor Wiesenumbruch</v>
      </c>
      <c r="X110" s="3018" t="s">
        <v>856</v>
      </c>
    </row>
    <row r="111" spans="1:24">
      <c r="B111" s="2935"/>
      <c r="C111" s="2935"/>
      <c r="D111" s="2935"/>
      <c r="E111" s="2935"/>
      <c r="F111" s="2935"/>
      <c r="G111" s="2935"/>
      <c r="H111" s="2935"/>
      <c r="I111" s="2935"/>
      <c r="J111" s="2935"/>
      <c r="K111" s="2935"/>
      <c r="L111" s="2935"/>
      <c r="M111" s="2935"/>
      <c r="N111" s="3071"/>
      <c r="O111" s="3071"/>
      <c r="P111" s="3071"/>
    </row>
  </sheetData>
  <sheetProtection algorithmName="SHA-512" hashValue="4XX/6Jj83n3aS5ktNoWlu2Q7OIngUgQxxty3zdLPVWdrn7W0d1ezXrDlwwRfYnLiCzIbLQ71O6TQweHTLjO+SA==" saltValue="TncqJnpyeodbpBULg8VAJQ==" spinCount="100000" sheet="1" objects="1" scenarios="1"/>
  <phoneticPr fontId="65" type="noConversion"/>
  <pageMargins left="0.6692913385826772" right="0.59055118110236227" top="0.59055118110236227" bottom="0.59055118110236227" header="0" footer="0.43307086614173229"/>
  <pageSetup paperSize="9" scale="58" orientation="portrait" r:id="rId1"/>
  <headerFooter alignWithMargins="0">
    <oddFooter>&amp;C&amp;9&amp;F&amp;R&amp;"Arial,Standard"&amp;9Seite &amp;P&amp;L&amp;"Arial,Fett"&amp;11AGRIDEA &amp;"Arial,Standard"&amp;9 Nachweis Version 9.9</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9">
    <tabColor indexed="31"/>
    <pageSetUpPr fitToPage="1"/>
  </sheetPr>
  <dimension ref="A1:BS81"/>
  <sheetViews>
    <sheetView showRowColHeaders="0" topLeftCell="B1" workbookViewId="0">
      <selection activeCell="J30" sqref="J30"/>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4.7109375" style="681" hidden="1" customWidth="1"/>
    <col min="2" max="2" width="12.7109375" style="681" customWidth="1"/>
    <col min="3" max="3" width="23.7109375" style="681" customWidth="1"/>
    <col min="4" max="4" width="12.7109375" style="681" customWidth="1"/>
    <col min="5" max="5" width="3.140625" style="681" hidden="1" customWidth="1"/>
    <col min="6" max="28" width="9.42578125" style="681" customWidth="1"/>
    <col min="29" max="29" width="8.7109375" style="681" customWidth="1"/>
    <col min="30" max="30" width="8" style="681" customWidth="1"/>
    <col min="31" max="31" width="7.42578125" style="681" customWidth="1"/>
    <col min="32" max="32" width="5.42578125" style="681" customWidth="1"/>
    <col min="33" max="33" width="10.7109375" style="681" customWidth="1"/>
    <col min="34" max="34" width="18.7109375" style="199" customWidth="1"/>
    <col min="35" max="46" width="10.7109375" style="681" customWidth="1"/>
    <col min="47" max="47" width="11.42578125" style="681"/>
    <col min="48" max="48" width="11.42578125" style="681" customWidth="1"/>
    <col min="49" max="49" width="8.7109375" style="681" customWidth="1"/>
    <col min="50" max="50" width="41" style="681" customWidth="1"/>
    <col min="51" max="56" width="6.7109375" style="681" customWidth="1"/>
    <col min="57" max="57" width="8.5703125" style="681" customWidth="1"/>
    <col min="58" max="62" width="8.7109375" style="681" customWidth="1"/>
    <col min="63" max="64" width="11.42578125" style="681" hidden="1" customWidth="1"/>
    <col min="65" max="16384" width="11.42578125" style="681"/>
  </cols>
  <sheetData>
    <row r="1" spans="1:42" ht="18" customHeight="1">
      <c r="B1" s="182" t="str">
        <f>Q!F69</f>
        <v>Datenbank Tierhaltung</v>
      </c>
      <c r="C1" s="2203"/>
      <c r="D1" s="2203"/>
      <c r="E1" s="2203"/>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I1" s="57"/>
      <c r="AJ1" s="57"/>
      <c r="AK1" s="57"/>
      <c r="AL1" s="57"/>
      <c r="AM1" s="57"/>
      <c r="AN1" s="57"/>
      <c r="AO1" s="57"/>
    </row>
    <row r="2" spans="1:42" ht="7.5" customHeight="1">
      <c r="B2" s="182"/>
      <c r="C2" s="2203"/>
      <c r="D2" s="2203"/>
      <c r="E2" s="2203"/>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I2" s="57"/>
      <c r="AJ2" s="57"/>
      <c r="AK2" s="57"/>
      <c r="AL2" s="57"/>
      <c r="AM2" s="57"/>
      <c r="AN2" s="57"/>
      <c r="AO2" s="57"/>
    </row>
    <row r="3" spans="1:42" ht="7.5" customHeight="1">
      <c r="B3" s="182"/>
      <c r="C3" s="2203"/>
      <c r="D3" s="2203"/>
      <c r="E3" s="2203"/>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I3" s="57"/>
      <c r="AJ3" s="57"/>
      <c r="AK3" s="57"/>
      <c r="AL3" s="57"/>
      <c r="AM3" s="57"/>
      <c r="AN3" s="57"/>
      <c r="AO3" s="57"/>
    </row>
    <row r="4" spans="1:42" ht="10.5" customHeight="1" thickBot="1">
      <c r="B4" s="57"/>
      <c r="C4" s="57"/>
      <c r="D4" s="57"/>
      <c r="E4" s="57"/>
      <c r="F4" s="57"/>
      <c r="G4" s="57"/>
      <c r="H4" s="57"/>
      <c r="I4" s="57"/>
      <c r="J4" s="57"/>
      <c r="K4" s="57"/>
      <c r="L4" s="57"/>
      <c r="M4" s="57"/>
      <c r="N4" s="57"/>
      <c r="O4" s="57"/>
      <c r="P4" s="57"/>
      <c r="Q4" s="57"/>
      <c r="R4" s="57"/>
      <c r="S4" s="57"/>
      <c r="T4" s="57"/>
      <c r="U4" s="57"/>
      <c r="V4" s="57"/>
      <c r="W4" s="57"/>
      <c r="X4" s="57"/>
      <c r="Y4" s="57"/>
      <c r="Z4" s="57"/>
      <c r="AA4" s="57"/>
      <c r="AB4" s="57"/>
      <c r="AC4" s="57"/>
      <c r="AD4" s="125"/>
      <c r="AE4" s="125"/>
      <c r="AF4" s="57"/>
      <c r="AG4" s="2190"/>
      <c r="AI4" s="57"/>
      <c r="AJ4" s="57"/>
      <c r="AK4" s="57"/>
      <c r="AL4" s="57"/>
      <c r="AM4" s="57"/>
      <c r="AN4" s="57"/>
      <c r="AO4" s="57"/>
    </row>
    <row r="5" spans="1:42" ht="14.25" customHeight="1">
      <c r="B5" s="58"/>
      <c r="C5" s="2191"/>
      <c r="D5" s="2191"/>
      <c r="E5" s="2191"/>
      <c r="F5" s="133" t="str">
        <f>Texte!A3673</f>
        <v/>
      </c>
      <c r="G5" s="133" t="str">
        <f>Texte!A3675</f>
        <v xml:space="preserve">Anzahl </v>
      </c>
      <c r="H5" s="133" t="str">
        <f>Texte!A3678</f>
        <v>Anzahl</v>
      </c>
      <c r="I5" s="52" t="str">
        <f>Texte!A3681</f>
        <v>Grundfutterverzehr</v>
      </c>
      <c r="J5" s="1751"/>
      <c r="K5" s="1751"/>
      <c r="L5" s="52" t="str">
        <f>Texte!A3683</f>
        <v>Abzug</v>
      </c>
      <c r="M5" s="1751"/>
      <c r="N5" s="3447" t="str">
        <f>Texte!A3682</f>
        <v>Grundfutterv. Sömmerung</v>
      </c>
      <c r="O5" s="3448"/>
      <c r="P5" s="3449"/>
      <c r="Q5" s="133" t="s">
        <v>4899</v>
      </c>
      <c r="R5" s="3447" t="str">
        <f>Texte!A3693</f>
        <v>Anfall je Einheit u. Jahr</v>
      </c>
      <c r="S5" s="3448"/>
      <c r="T5" s="3448"/>
      <c r="U5" s="3449"/>
      <c r="V5" s="52"/>
      <c r="W5" s="1751"/>
      <c r="X5" s="59"/>
      <c r="Y5" s="52" t="str">
        <f>Texte!A3702</f>
        <v>Weide</v>
      </c>
      <c r="Z5" s="1751"/>
      <c r="AA5" s="1751"/>
      <c r="AB5" s="59"/>
      <c r="AC5" s="125"/>
      <c r="AD5" s="199" t="str">
        <f>Texte!A3707</f>
        <v>Abzug /</v>
      </c>
      <c r="AE5" s="125" t="str">
        <f>Texte!A3709</f>
        <v>GVE-</v>
      </c>
      <c r="AF5" s="125" t="str">
        <f>Texte!A3711</f>
        <v>Nges-</v>
      </c>
      <c r="AG5" s="2190"/>
      <c r="AI5" s="57"/>
      <c r="AJ5" s="57"/>
      <c r="AK5" s="57"/>
      <c r="AL5" s="57"/>
      <c r="AM5" s="57"/>
      <c r="AN5" s="57"/>
      <c r="AO5" s="57"/>
    </row>
    <row r="6" spans="1:42" ht="14.25" customHeight="1">
      <c r="B6" s="2192" t="str">
        <f>Texte!A3672</f>
        <v>Tierart bzw.Tierkategorie</v>
      </c>
      <c r="C6" s="227"/>
      <c r="D6" s="125"/>
      <c r="E6" s="125"/>
      <c r="F6" s="64" t="str">
        <f>Texte!A3674</f>
        <v>Einheit</v>
      </c>
      <c r="G6" s="64" t="str">
        <f>Texte!A3676</f>
        <v>Ein-</v>
      </c>
      <c r="H6" s="64" t="str">
        <f>Texte!A3679</f>
        <v>korri-</v>
      </c>
      <c r="I6" s="64" t="str">
        <f>Texte!A3686</f>
        <v>kg TS</v>
      </c>
      <c r="J6" s="64" t="str">
        <f>Texte!A3688</f>
        <v>dt TS</v>
      </c>
      <c r="K6" s="64" t="str">
        <f>Texte!A3690</f>
        <v>dt TS</v>
      </c>
      <c r="L6" s="64" t="str">
        <f>Texte!A3696</f>
        <v>Anzahl</v>
      </c>
      <c r="M6" s="64" t="str">
        <f>Texte!A3696</f>
        <v>Anzahl</v>
      </c>
      <c r="N6" s="64" t="str">
        <f t="shared" ref="N6:P7" si="0">I6</f>
        <v>kg TS</v>
      </c>
      <c r="O6" s="64" t="str">
        <f t="shared" si="0"/>
        <v>dt TS</v>
      </c>
      <c r="P6" s="64" t="str">
        <f t="shared" si="0"/>
        <v>dt TS</v>
      </c>
      <c r="Q6" s="64" t="s">
        <v>5484</v>
      </c>
      <c r="R6" s="64" t="s">
        <v>5484</v>
      </c>
      <c r="S6" s="542" t="s">
        <v>5484</v>
      </c>
      <c r="T6" s="542" t="s">
        <v>5484</v>
      </c>
      <c r="U6" s="542" t="s">
        <v>5484</v>
      </c>
      <c r="V6" s="64" t="str">
        <f>Texte!A3696</f>
        <v>Anzahl</v>
      </c>
      <c r="W6" s="542" t="str">
        <f>Texte!A3698</f>
        <v>Tage je</v>
      </c>
      <c r="X6" s="2193" t="str">
        <f>Texte!A3700</f>
        <v>Nges-</v>
      </c>
      <c r="Y6" s="64" t="str">
        <f>Texte!A3696</f>
        <v>Anzahl</v>
      </c>
      <c r="Z6" s="542" t="str">
        <f>Texte!A3703</f>
        <v>Std. je</v>
      </c>
      <c r="AA6" s="542" t="str">
        <f>Texte!A3705</f>
        <v>Tage je</v>
      </c>
      <c r="AB6" s="2193" t="str">
        <f>Texte!A3700</f>
        <v>Nges-</v>
      </c>
      <c r="AC6" s="125"/>
      <c r="AD6" s="199" t="str">
        <f>Texte!A3708</f>
        <v>Zuschlag</v>
      </c>
      <c r="AE6" s="125" t="str">
        <f>Texte!A3710</f>
        <v>Faktor</v>
      </c>
      <c r="AF6" s="125" t="str">
        <f>Texte!A3712</f>
        <v>Faktor</v>
      </c>
      <c r="AG6" s="223"/>
      <c r="AH6" s="2202"/>
      <c r="AI6" s="57"/>
      <c r="AK6" s="57"/>
      <c r="AL6" s="57"/>
      <c r="AM6" s="57"/>
      <c r="AN6" s="57"/>
      <c r="AO6" s="57"/>
    </row>
    <row r="7" spans="1:42" ht="14.25" customHeight="1" thickBot="1">
      <c r="B7" s="382"/>
      <c r="C7" s="117"/>
      <c r="D7" s="117"/>
      <c r="E7" s="117"/>
      <c r="F7" s="143"/>
      <c r="G7" s="72" t="str">
        <f>Texte!A3677</f>
        <v>heiten</v>
      </c>
      <c r="H7" s="72" t="str">
        <f>Texte!A3680</f>
        <v>giert</v>
      </c>
      <c r="I7" s="72" t="str">
        <f>Texte!A3687</f>
        <v>je Tag</v>
      </c>
      <c r="J7" s="72" t="str">
        <f>Texte!A3689</f>
        <v>je Jahr</v>
      </c>
      <c r="K7" s="72" t="str">
        <f>Texte!A3691</f>
        <v>total</v>
      </c>
      <c r="L7" s="72" t="str">
        <f>Texte!A3697</f>
        <v>Tiere</v>
      </c>
      <c r="M7" s="72" t="str">
        <f>Texte!A3684</f>
        <v>Tage</v>
      </c>
      <c r="N7" s="72" t="str">
        <f t="shared" si="0"/>
        <v>je Tag</v>
      </c>
      <c r="O7" s="72" t="str">
        <f t="shared" si="0"/>
        <v>je Jahr</v>
      </c>
      <c r="P7" s="72" t="str">
        <f t="shared" si="0"/>
        <v>total</v>
      </c>
      <c r="Q7" s="72" t="s">
        <v>1511</v>
      </c>
      <c r="R7" s="2194" t="str">
        <f>Texte!A3694</f>
        <v>Nges.</v>
      </c>
      <c r="S7" s="583" t="s">
        <v>1710</v>
      </c>
      <c r="T7" s="583" t="s">
        <v>1711</v>
      </c>
      <c r="U7" s="583" t="s">
        <v>7031</v>
      </c>
      <c r="V7" s="72" t="str">
        <f>Texte!A3697</f>
        <v>Tiere</v>
      </c>
      <c r="W7" s="71" t="str">
        <f>Texte!A3699</f>
        <v>Jahr</v>
      </c>
      <c r="X7" s="73" t="str">
        <f>Texte!A3701</f>
        <v>Anfall</v>
      </c>
      <c r="Y7" s="72" t="str">
        <f>Texte!A3697</f>
        <v>Tiere</v>
      </c>
      <c r="Z7" s="71" t="str">
        <f>Texte!A3704</f>
        <v>Tag</v>
      </c>
      <c r="AA7" s="71" t="str">
        <f>Texte!A3706</f>
        <v>Jahr</v>
      </c>
      <c r="AB7" s="73" t="str">
        <f>Texte!A3701</f>
        <v>Anfall</v>
      </c>
      <c r="AC7" s="125"/>
      <c r="AD7" s="125"/>
      <c r="AE7" s="125"/>
      <c r="AF7" s="125">
        <v>0.85</v>
      </c>
      <c r="AG7" s="57" t="s">
        <v>7750</v>
      </c>
      <c r="AH7" s="2202"/>
      <c r="AI7" s="57"/>
      <c r="AK7" s="597"/>
      <c r="AL7" s="807"/>
      <c r="AM7" s="57"/>
      <c r="AN7" s="57"/>
      <c r="AO7" s="57"/>
      <c r="AP7" s="683"/>
    </row>
    <row r="8" spans="1:42" ht="15" customHeight="1">
      <c r="B8" s="585" t="str">
        <f>Texte!A3736</f>
        <v>Rindvieh</v>
      </c>
      <c r="C8" s="586"/>
      <c r="D8" s="586"/>
      <c r="E8" s="696"/>
      <c r="F8" s="587"/>
      <c r="G8" s="161"/>
      <c r="H8" s="161"/>
      <c r="I8" s="184"/>
      <c r="J8" s="161"/>
      <c r="K8" s="161"/>
      <c r="L8" s="161"/>
      <c r="M8" s="161"/>
      <c r="N8" s="184"/>
      <c r="O8" s="161"/>
      <c r="P8" s="161"/>
      <c r="Q8" s="588"/>
      <c r="R8" s="589"/>
      <c r="S8" s="590"/>
      <c r="T8" s="591"/>
      <c r="U8" s="543"/>
      <c r="V8" s="2204"/>
      <c r="W8" s="2205"/>
      <c r="X8" s="2195"/>
      <c r="Y8" s="2204"/>
      <c r="Z8" s="2205"/>
      <c r="AA8" s="2205"/>
      <c r="AB8" s="2195"/>
      <c r="AC8" s="57"/>
      <c r="AD8" s="125"/>
      <c r="AE8" s="125"/>
      <c r="AF8" s="209">
        <v>0.8</v>
      </c>
      <c r="AG8" s="57" t="s">
        <v>7751</v>
      </c>
      <c r="AH8" s="2190" t="str">
        <f>Texte!A3713</f>
        <v>Alle ... im Laufstall?</v>
      </c>
      <c r="AK8" s="597"/>
      <c r="AL8" s="807"/>
      <c r="AM8" s="807"/>
      <c r="AN8" s="683"/>
      <c r="AO8" s="683"/>
      <c r="AP8" s="683"/>
    </row>
    <row r="9" spans="1:42" ht="15" customHeight="1">
      <c r="A9" s="681">
        <f>Tierb!A9</f>
        <v>100</v>
      </c>
      <c r="B9" s="593" t="str">
        <f>D_Klick!B222</f>
        <v>Milchkühe, Ø Milchmenge:</v>
      </c>
      <c r="C9" s="568"/>
      <c r="D9" s="3365">
        <f>IF(Tierb!D9="",D_Klick!MilkQuantityStandard,Tierb!D9)</f>
        <v>7500</v>
      </c>
      <c r="E9" s="594"/>
      <c r="F9" s="158" t="str">
        <f>Texte!A3730</f>
        <v>Stück</v>
      </c>
      <c r="G9" s="184">
        <f>Tierb!MiKuh</f>
        <v>0</v>
      </c>
      <c r="H9" s="184">
        <f>Tierb!L9</f>
        <v>0</v>
      </c>
      <c r="I9" s="184">
        <f>J9/365*100</f>
        <v>17.993150684931507</v>
      </c>
      <c r="J9" s="184">
        <f>O9+D_Klick!CorrByCon</f>
        <v>65.674999999999997</v>
      </c>
      <c r="K9" s="187">
        <f t="shared" ref="K9:K16" si="1">H9*J9</f>
        <v>0</v>
      </c>
      <c r="L9" s="187">
        <f>IF(Tierb!J9*Tierb!K9 &lt; 0,ABS(Tierb!J9),0)</f>
        <v>0</v>
      </c>
      <c r="M9" s="187">
        <f>IF(Tierb!J9*Tierb!K9 &lt; 0,ABS(Tierb!K9),0)</f>
        <v>0</v>
      </c>
      <c r="N9" s="184">
        <f>O9/3.65</f>
        <v>15.342465753424658</v>
      </c>
      <c r="O9" s="184">
        <f>D_Klick!F176</f>
        <v>56</v>
      </c>
      <c r="P9" s="187">
        <f>O9*(G9-H9)</f>
        <v>0</v>
      </c>
      <c r="Q9" s="184">
        <f>D_Klick!F177</f>
        <v>112</v>
      </c>
      <c r="R9" s="160">
        <f>ROUND(Q9*AF9,10)</f>
        <v>95.2</v>
      </c>
      <c r="S9" s="532">
        <f>D_Klick!F179</f>
        <v>39</v>
      </c>
      <c r="T9" s="532">
        <f>D_Klick!F180</f>
        <v>172</v>
      </c>
      <c r="U9" s="532">
        <f>D_Klick!F181</f>
        <v>14</v>
      </c>
      <c r="V9" s="187">
        <f>Tierb!N9</f>
        <v>0</v>
      </c>
      <c r="W9" s="530">
        <f>Tierb!O9</f>
        <v>0</v>
      </c>
      <c r="X9" s="614">
        <f>(R9*V9*W9*0.1)/365</f>
        <v>0</v>
      </c>
      <c r="Y9" s="187">
        <f>Tierb!P9</f>
        <v>0</v>
      </c>
      <c r="Z9" s="532">
        <f>Tierb!Q9</f>
        <v>0</v>
      </c>
      <c r="AA9" s="530">
        <f>Tierb!R9</f>
        <v>0</v>
      </c>
      <c r="AB9" s="614">
        <f>(R9*Y9*Z9*AA9)/(24*365)</f>
        <v>0</v>
      </c>
      <c r="AC9" s="509"/>
      <c r="AD9" s="509">
        <f>Tierb!J9*Tierb!K9/365</f>
        <v>0</v>
      </c>
      <c r="AE9" s="209">
        <f>Tierb!H9</f>
        <v>1</v>
      </c>
      <c r="AF9" s="209">
        <f>IF(AH9,0.8,factNgesNormal)</f>
        <v>0.85</v>
      </c>
      <c r="AG9" s="57" t="str">
        <f>Texte!A3714</f>
        <v>MiKu</v>
      </c>
      <c r="AH9" s="2211" t="b">
        <v>0</v>
      </c>
      <c r="AI9" s="595"/>
      <c r="AK9" s="595"/>
      <c r="AL9" s="807"/>
      <c r="AM9" s="597"/>
      <c r="AN9" s="1938"/>
      <c r="AO9" s="57"/>
      <c r="AP9" s="683"/>
    </row>
    <row r="10" spans="1:42" ht="15" customHeight="1">
      <c r="A10" s="681">
        <f>Tierb!A10</f>
        <v>104</v>
      </c>
      <c r="B10" s="593" t="str">
        <f>D_Klick!B223</f>
        <v>Galt- oder Ausmastkühe</v>
      </c>
      <c r="C10" s="568"/>
      <c r="D10" s="159" t="str">
        <f>IF(Tierb!D10 = "", Texte!A3739, Tierb!D10)</f>
        <v>Ausmastkühe</v>
      </c>
      <c r="E10" s="76">
        <f>Tierb!E10</f>
        <v>1</v>
      </c>
      <c r="F10" s="158" t="str">
        <f>Texte!A3731</f>
        <v>Platz</v>
      </c>
      <c r="G10" s="184">
        <f>Tierb!G10</f>
        <v>0</v>
      </c>
      <c r="H10" s="184">
        <f>Tierb!L10</f>
        <v>0</v>
      </c>
      <c r="I10" s="184">
        <f>J10/365*100</f>
        <v>14.575342465753424</v>
      </c>
      <c r="J10" s="184">
        <f>IF($E10=1,53.2,40.6)</f>
        <v>53.2</v>
      </c>
      <c r="K10" s="187">
        <f t="shared" si="1"/>
        <v>0</v>
      </c>
      <c r="L10" s="187">
        <f>IF(Tierb!J10*Tierb!K10 &lt; 0,ABS(Tierb!J10),0)</f>
        <v>0</v>
      </c>
      <c r="M10" s="187">
        <f>IF(Tierb!J10*Tierb!K10 &lt; 0,ABS(Tierb!K10),0)</f>
        <v>0</v>
      </c>
      <c r="N10" s="184">
        <f t="shared" ref="N10:O12" si="2">I10</f>
        <v>14.575342465753424</v>
      </c>
      <c r="O10" s="184">
        <f t="shared" si="2"/>
        <v>53.2</v>
      </c>
      <c r="P10" s="187">
        <f>O10*(G10-H10)</f>
        <v>0</v>
      </c>
      <c r="Q10" s="184">
        <f>IF($E10=1,93.5,80.5)</f>
        <v>93.5</v>
      </c>
      <c r="R10" s="2187">
        <f>ROUND(Q10*AF10,2)</f>
        <v>79.48</v>
      </c>
      <c r="S10" s="532">
        <f>IF(E10=1,30,28.7)</f>
        <v>30</v>
      </c>
      <c r="T10" s="532">
        <f>IF(E10=1,155,128.8)</f>
        <v>155</v>
      </c>
      <c r="U10" s="532">
        <f>IF(E10=1,10.8,8.4)</f>
        <v>10.8</v>
      </c>
      <c r="V10" s="187">
        <f>Tierb!N10</f>
        <v>0</v>
      </c>
      <c r="W10" s="530">
        <f>Tierb!O10</f>
        <v>0</v>
      </c>
      <c r="X10" s="614">
        <f>(R10*V10*W10*0.1)/365</f>
        <v>0</v>
      </c>
      <c r="Y10" s="187">
        <f>Tierb!P10</f>
        <v>0</v>
      </c>
      <c r="Z10" s="532">
        <f>Tierb!Q10</f>
        <v>0</v>
      </c>
      <c r="AA10" s="530">
        <f>Tierb!R10</f>
        <v>0</v>
      </c>
      <c r="AB10" s="614">
        <f>(R10*Y10*Z10*AA10)/(24*365)</f>
        <v>0</v>
      </c>
      <c r="AC10" s="509"/>
      <c r="AD10" s="509">
        <f>Tierb!J10*Tierb!K10/365</f>
        <v>0</v>
      </c>
      <c r="AE10" s="209">
        <f>Tierb!H10</f>
        <v>1</v>
      </c>
      <c r="AF10" s="209">
        <f>factNgesMiKu</f>
        <v>0.85</v>
      </c>
      <c r="AG10" s="57"/>
      <c r="AH10" s="2190"/>
      <c r="AI10" s="595"/>
      <c r="AK10" s="595"/>
      <c r="AL10" s="1938"/>
      <c r="AM10" s="597"/>
      <c r="AN10" s="1938"/>
      <c r="AO10" s="57"/>
    </row>
    <row r="11" spans="1:42" ht="15" customHeight="1">
      <c r="A11" s="681">
        <f>Tierb!A11</f>
        <v>108</v>
      </c>
      <c r="B11" s="593" t="str">
        <f>D_Klick!B224</f>
        <v>Jungvieh, bis 160-tägig</v>
      </c>
      <c r="C11" s="568"/>
      <c r="D11" s="594"/>
      <c r="E11" s="594"/>
      <c r="F11" s="158" t="str">
        <f>Texte!A3731</f>
        <v>Platz</v>
      </c>
      <c r="G11" s="184">
        <f>Tierb!G11</f>
        <v>0</v>
      </c>
      <c r="H11" s="184">
        <f>Tierb!L11</f>
        <v>0</v>
      </c>
      <c r="I11" s="184">
        <f>J11/365*100</f>
        <v>1.6438356164383561</v>
      </c>
      <c r="J11" s="184">
        <v>6</v>
      </c>
      <c r="K11" s="187">
        <f t="shared" si="1"/>
        <v>0</v>
      </c>
      <c r="L11" s="187">
        <f>IF(Tierb!J11*Tierb!K11 &lt; 0,ABS(Tierb!J11),0)</f>
        <v>0</v>
      </c>
      <c r="M11" s="187">
        <f>IF(Tierb!J11*Tierb!K11 &lt; 0,ABS(Tierb!K11),0)</f>
        <v>0</v>
      </c>
      <c r="N11" s="184">
        <f t="shared" si="2"/>
        <v>1.6438356164383561</v>
      </c>
      <c r="O11" s="184">
        <f t="shared" si="2"/>
        <v>6</v>
      </c>
      <c r="P11" s="187">
        <f>O11*(G11-H11)</f>
        <v>0</v>
      </c>
      <c r="Q11" s="184">
        <v>23</v>
      </c>
      <c r="R11" s="160">
        <f>ROUND(Q11*AF11,2)</f>
        <v>19.55</v>
      </c>
      <c r="S11" s="532">
        <v>5</v>
      </c>
      <c r="T11" s="532">
        <v>22.9</v>
      </c>
      <c r="U11" s="532">
        <v>1.3</v>
      </c>
      <c r="V11" s="187">
        <f>Tierb!N11</f>
        <v>0</v>
      </c>
      <c r="W11" s="530">
        <f>Tierb!O11</f>
        <v>0</v>
      </c>
      <c r="X11" s="614">
        <f>(R11*V11*W11*0.1)/365</f>
        <v>0</v>
      </c>
      <c r="Y11" s="187">
        <f>Tierb!P11</f>
        <v>0</v>
      </c>
      <c r="Z11" s="532">
        <f>Tierb!Q11</f>
        <v>0</v>
      </c>
      <c r="AA11" s="530">
        <f>Tierb!R11</f>
        <v>0</v>
      </c>
      <c r="AB11" s="614">
        <f>(R11*Y11*Z11*AA11)/(24*365)</f>
        <v>0</v>
      </c>
      <c r="AC11" s="509"/>
      <c r="AD11" s="509">
        <f>Tierb!J11*Tierb!K11/365</f>
        <v>0</v>
      </c>
      <c r="AE11" s="209">
        <f>Tierb!H11</f>
        <v>0.13</v>
      </c>
      <c r="AF11" s="209">
        <f>IF(AH11,0.8,factNgesNormal)</f>
        <v>0.85</v>
      </c>
      <c r="AG11" s="57" t="str">
        <f>Texte!A3715</f>
        <v>JV</v>
      </c>
      <c r="AH11" s="2211" t="b">
        <v>0</v>
      </c>
      <c r="AI11" s="595"/>
      <c r="AK11" s="595"/>
      <c r="AL11" s="807"/>
      <c r="AM11" s="597"/>
      <c r="AN11" s="1938"/>
      <c r="AO11" s="57"/>
    </row>
    <row r="12" spans="1:42" ht="15" customHeight="1">
      <c r="A12" s="681">
        <f>Tierb!A12</f>
        <v>112</v>
      </c>
      <c r="B12" s="596" t="str">
        <f>D_Klick!B225</f>
        <v>Jungvieh, 160 bis 365-tägig</v>
      </c>
      <c r="C12" s="159"/>
      <c r="D12" s="159"/>
      <c r="E12" s="566"/>
      <c r="F12" s="158" t="str">
        <f>Texte!A3731</f>
        <v>Platz</v>
      </c>
      <c r="G12" s="184">
        <f>Tierb!G12</f>
        <v>0</v>
      </c>
      <c r="H12" s="184">
        <f>Tierb!L12</f>
        <v>0</v>
      </c>
      <c r="I12" s="184">
        <f t="shared" ref="I12:I31" si="3">J12/365*100</f>
        <v>5.5342465753424657</v>
      </c>
      <c r="J12" s="184">
        <v>20.2</v>
      </c>
      <c r="K12" s="187">
        <f t="shared" si="1"/>
        <v>0</v>
      </c>
      <c r="L12" s="187">
        <f>IF(Tierb!J12*Tierb!K12 &lt; 0,ABS(Tierb!J12),0)</f>
        <v>0</v>
      </c>
      <c r="M12" s="187">
        <f>IF(Tierb!J12*Tierb!K12 &lt; 0,ABS(Tierb!K12),0)</f>
        <v>0</v>
      </c>
      <c r="N12" s="184">
        <f t="shared" si="2"/>
        <v>5.5342465753424657</v>
      </c>
      <c r="O12" s="184">
        <f t="shared" si="2"/>
        <v>20.2</v>
      </c>
      <c r="P12" s="187">
        <f t="shared" ref="P12:P59" si="4">O12*(G12-H12)</f>
        <v>0</v>
      </c>
      <c r="Q12" s="184">
        <v>31</v>
      </c>
      <c r="R12" s="160">
        <f t="shared" ref="R12:R29" si="5">ROUND(Q12*AF12,2)</f>
        <v>26.35</v>
      </c>
      <c r="S12" s="532">
        <v>12</v>
      </c>
      <c r="T12" s="532">
        <v>51.9</v>
      </c>
      <c r="U12" s="532">
        <v>6.1</v>
      </c>
      <c r="V12" s="187">
        <f>Tierb!N12</f>
        <v>0</v>
      </c>
      <c r="W12" s="530">
        <f>Tierb!O12</f>
        <v>0</v>
      </c>
      <c r="X12" s="614">
        <f t="shared" ref="X12:X31" si="6">(R12*V12*W12*0.1)/365</f>
        <v>0</v>
      </c>
      <c r="Y12" s="187">
        <f>Tierb!P12</f>
        <v>0</v>
      </c>
      <c r="Z12" s="532">
        <f>Tierb!Q12</f>
        <v>0</v>
      </c>
      <c r="AA12" s="530">
        <f>Tierb!R12</f>
        <v>0</v>
      </c>
      <c r="AB12" s="614">
        <f t="shared" ref="AB12:AB31" si="7">(R12*Y12*Z12*AA12)/(24*365)</f>
        <v>0</v>
      </c>
      <c r="AC12" s="125"/>
      <c r="AD12" s="509">
        <f>Tierb!J12*Tierb!K12/365</f>
        <v>0</v>
      </c>
      <c r="AE12" s="209">
        <f>Tierb!H12</f>
        <v>0.33</v>
      </c>
      <c r="AF12" s="209">
        <f>factNgesJungvieh</f>
        <v>0.85</v>
      </c>
      <c r="AG12" s="57"/>
      <c r="AH12" s="2202"/>
      <c r="AJ12" s="597"/>
      <c r="AK12" s="597"/>
      <c r="AL12" s="1938"/>
      <c r="AN12" s="1938"/>
      <c r="AO12" s="1938"/>
    </row>
    <row r="13" spans="1:42" ht="15" customHeight="1">
      <c r="A13" s="681">
        <f>Tierb!A13</f>
        <v>116</v>
      </c>
      <c r="B13" s="596" t="str">
        <f>D_Klick!B226</f>
        <v>Jungvieh, 1 bis 2-jährig</v>
      </c>
      <c r="C13" s="159"/>
      <c r="D13" s="159"/>
      <c r="E13" s="566"/>
      <c r="F13" s="158" t="str">
        <f>Texte!A3731</f>
        <v>Platz</v>
      </c>
      <c r="G13" s="184">
        <f>Tierb!G13</f>
        <v>0</v>
      </c>
      <c r="H13" s="184">
        <f>Tierb!L13</f>
        <v>0</v>
      </c>
      <c r="I13" s="184">
        <f t="shared" si="3"/>
        <v>7.1232876712328768</v>
      </c>
      <c r="J13" s="184">
        <v>26</v>
      </c>
      <c r="K13" s="187">
        <f t="shared" si="1"/>
        <v>0</v>
      </c>
      <c r="L13" s="187">
        <f>IF(Tierb!J13*Tierb!K13 &lt; 0,ABS(Tierb!J13),0)</f>
        <v>0</v>
      </c>
      <c r="M13" s="187">
        <f>IF(Tierb!J13*Tierb!K13 &lt; 0,ABS(Tierb!K13),0)</f>
        <v>0</v>
      </c>
      <c r="N13" s="184">
        <f t="shared" ref="N13:N28" si="8">I13</f>
        <v>7.1232876712328768</v>
      </c>
      <c r="O13" s="184">
        <f t="shared" ref="O13:O31" si="9">J13</f>
        <v>26</v>
      </c>
      <c r="P13" s="187">
        <f t="shared" si="4"/>
        <v>0</v>
      </c>
      <c r="Q13" s="184">
        <v>42.5</v>
      </c>
      <c r="R13" s="160">
        <f t="shared" si="5"/>
        <v>36.130000000000003</v>
      </c>
      <c r="S13" s="532">
        <v>14</v>
      </c>
      <c r="T13" s="532">
        <v>62.5</v>
      </c>
      <c r="U13" s="532">
        <v>5.5</v>
      </c>
      <c r="V13" s="187">
        <f>Tierb!N13</f>
        <v>0</v>
      </c>
      <c r="W13" s="530">
        <f>Tierb!O13</f>
        <v>0</v>
      </c>
      <c r="X13" s="614">
        <f t="shared" si="6"/>
        <v>0</v>
      </c>
      <c r="Y13" s="187">
        <f>Tierb!P13</f>
        <v>0</v>
      </c>
      <c r="Z13" s="532">
        <f>Tierb!Q13</f>
        <v>0</v>
      </c>
      <c r="AA13" s="530">
        <f>Tierb!R13</f>
        <v>0</v>
      </c>
      <c r="AB13" s="614">
        <f t="shared" si="7"/>
        <v>0</v>
      </c>
      <c r="AC13" s="509"/>
      <c r="AD13" s="509">
        <f>Tierb!J13*Tierb!K13/365</f>
        <v>0</v>
      </c>
      <c r="AE13" s="209">
        <f>Tierb!H13</f>
        <v>0.4</v>
      </c>
      <c r="AF13" s="209">
        <f>factNgesJungvieh</f>
        <v>0.85</v>
      </c>
      <c r="AG13" s="57"/>
      <c r="AH13" s="2202"/>
      <c r="AJ13" s="57"/>
      <c r="AK13" s="57"/>
      <c r="AM13" s="57"/>
      <c r="AN13" s="1938"/>
      <c r="AO13" s="57"/>
    </row>
    <row r="14" spans="1:42" ht="15" customHeight="1">
      <c r="A14" s="681">
        <f>Tierb!A14</f>
        <v>120</v>
      </c>
      <c r="B14" s="596" t="str">
        <f>D_Klick!B227</f>
        <v>Jungvieh, über 2-jährig</v>
      </c>
      <c r="C14" s="159"/>
      <c r="D14" s="159"/>
      <c r="E14" s="566"/>
      <c r="F14" s="158" t="str">
        <f>Texte!A3731</f>
        <v>Platz</v>
      </c>
      <c r="G14" s="184">
        <f>Tierb!G14</f>
        <v>0</v>
      </c>
      <c r="H14" s="184">
        <f>Tierb!L14</f>
        <v>0</v>
      </c>
      <c r="I14" s="184">
        <f t="shared" si="3"/>
        <v>9.0410958904109595</v>
      </c>
      <c r="J14" s="184">
        <v>33</v>
      </c>
      <c r="K14" s="187">
        <f t="shared" si="1"/>
        <v>0</v>
      </c>
      <c r="L14" s="187">
        <f>IF(Tierb!J14*Tierb!K14 &lt; 0,ABS(Tierb!J14),0)</f>
        <v>0</v>
      </c>
      <c r="M14" s="187">
        <f>IF(Tierb!J14*Tierb!K14 &lt; 0,ABS(Tierb!K14),0)</f>
        <v>0</v>
      </c>
      <c r="N14" s="184">
        <f t="shared" si="8"/>
        <v>9.0410958904109595</v>
      </c>
      <c r="O14" s="184">
        <f t="shared" si="9"/>
        <v>33</v>
      </c>
      <c r="P14" s="187">
        <f t="shared" si="4"/>
        <v>0</v>
      </c>
      <c r="Q14" s="184">
        <v>55</v>
      </c>
      <c r="R14" s="160">
        <f t="shared" si="5"/>
        <v>46.75</v>
      </c>
      <c r="S14" s="532">
        <v>20</v>
      </c>
      <c r="T14" s="532">
        <v>75</v>
      </c>
      <c r="U14" s="532">
        <v>7</v>
      </c>
      <c r="V14" s="187">
        <f>Tierb!N14</f>
        <v>0</v>
      </c>
      <c r="W14" s="530">
        <f>Tierb!O14</f>
        <v>0</v>
      </c>
      <c r="X14" s="614">
        <f t="shared" si="6"/>
        <v>0</v>
      </c>
      <c r="Y14" s="187">
        <f>Tierb!P14</f>
        <v>0</v>
      </c>
      <c r="Z14" s="532">
        <f>Tierb!Q14</f>
        <v>0</v>
      </c>
      <c r="AA14" s="530">
        <f>Tierb!R14</f>
        <v>0</v>
      </c>
      <c r="AB14" s="614">
        <f t="shared" si="7"/>
        <v>0</v>
      </c>
      <c r="AC14" s="509"/>
      <c r="AD14" s="509">
        <f>Tierb!J14*Tierb!K14/365</f>
        <v>0</v>
      </c>
      <c r="AE14" s="209">
        <f>Tierb!H14</f>
        <v>0.6</v>
      </c>
      <c r="AF14" s="209">
        <f>factNgesJungvieh</f>
        <v>0.85</v>
      </c>
      <c r="AG14" s="509"/>
      <c r="AH14" s="2202"/>
      <c r="AJ14" s="57"/>
      <c r="AK14" s="57"/>
      <c r="AL14" s="57"/>
      <c r="AM14" s="57"/>
      <c r="AN14" s="1938"/>
      <c r="AO14" s="57"/>
    </row>
    <row r="15" spans="1:42" ht="15" customHeight="1">
      <c r="A15" s="681">
        <f>Tierb!A15</f>
        <v>124</v>
      </c>
      <c r="B15" s="596" t="str">
        <f>D_Klick!B228</f>
        <v>Stiere, 1 bis 2-jährig</v>
      </c>
      <c r="C15" s="159"/>
      <c r="D15" s="159"/>
      <c r="E15" s="566"/>
      <c r="F15" s="158" t="str">
        <f>Texte!A3731</f>
        <v>Platz</v>
      </c>
      <c r="G15" s="184">
        <f>Tierb!G15</f>
        <v>0</v>
      </c>
      <c r="H15" s="184">
        <f>Tierb!L15</f>
        <v>0</v>
      </c>
      <c r="I15" s="184">
        <f t="shared" si="3"/>
        <v>7.1232876712328768</v>
      </c>
      <c r="J15" s="184">
        <f>J13</f>
        <v>26</v>
      </c>
      <c r="K15" s="187">
        <f t="shared" si="1"/>
        <v>0</v>
      </c>
      <c r="L15" s="187">
        <f>IF(Tierb!J15*Tierb!K15 &lt; 0,ABS(Tierb!J15),0)</f>
        <v>0</v>
      </c>
      <c r="M15" s="187">
        <f>IF(Tierb!J15*Tierb!K15 &lt; 0,ABS(Tierb!K15),0)</f>
        <v>0</v>
      </c>
      <c r="N15" s="184">
        <f t="shared" si="8"/>
        <v>7.1232876712328768</v>
      </c>
      <c r="O15" s="184">
        <f t="shared" si="9"/>
        <v>26</v>
      </c>
      <c r="P15" s="187">
        <f t="shared" si="4"/>
        <v>0</v>
      </c>
      <c r="Q15" s="184">
        <f>Q13</f>
        <v>42.5</v>
      </c>
      <c r="R15" s="160">
        <f t="shared" si="5"/>
        <v>36.130000000000003</v>
      </c>
      <c r="S15" s="532">
        <f>S13</f>
        <v>14</v>
      </c>
      <c r="T15" s="532">
        <f>T13</f>
        <v>62.5</v>
      </c>
      <c r="U15" s="532">
        <f>U13</f>
        <v>5.5</v>
      </c>
      <c r="V15" s="187">
        <f>Tierb!N15</f>
        <v>0</v>
      </c>
      <c r="W15" s="530">
        <f>Tierb!O15</f>
        <v>0</v>
      </c>
      <c r="X15" s="614">
        <f t="shared" si="6"/>
        <v>0</v>
      </c>
      <c r="Y15" s="187">
        <f>Tierb!P15</f>
        <v>0</v>
      </c>
      <c r="Z15" s="532">
        <f>Tierb!Q15</f>
        <v>0</v>
      </c>
      <c r="AA15" s="530">
        <f>Tierb!R15</f>
        <v>0</v>
      </c>
      <c r="AB15" s="614">
        <f t="shared" si="7"/>
        <v>0</v>
      </c>
      <c r="AC15" s="509"/>
      <c r="AD15" s="509">
        <f>Tierb!J15*Tierb!K15/365</f>
        <v>0</v>
      </c>
      <c r="AE15" s="209">
        <f>Tierb!H15</f>
        <v>0.4</v>
      </c>
      <c r="AF15" s="209">
        <f>factNgesJungvieh</f>
        <v>0.85</v>
      </c>
      <c r="AG15" s="57"/>
      <c r="AH15" s="2202"/>
      <c r="AI15" s="57"/>
      <c r="AJ15" s="57"/>
      <c r="AK15" s="57"/>
      <c r="AM15" s="199"/>
      <c r="AN15" s="199"/>
      <c r="AO15" s="57"/>
    </row>
    <row r="16" spans="1:42" ht="15" customHeight="1">
      <c r="A16" s="681">
        <f>Tierb!A16</f>
        <v>128</v>
      </c>
      <c r="B16" s="596" t="str">
        <f>D_Klick!B229</f>
        <v>Stiere, über 2-jährig</v>
      </c>
      <c r="C16" s="159"/>
      <c r="D16" s="159"/>
      <c r="E16" s="566"/>
      <c r="F16" s="158" t="str">
        <f>Texte!A3730</f>
        <v>Stück</v>
      </c>
      <c r="G16" s="184">
        <f>Tierb!G16</f>
        <v>0</v>
      </c>
      <c r="H16" s="184">
        <f>Tierb!L16</f>
        <v>0</v>
      </c>
      <c r="I16" s="184">
        <f t="shared" si="3"/>
        <v>8.2191780821917799</v>
      </c>
      <c r="J16" s="184">
        <v>30</v>
      </c>
      <c r="K16" s="187">
        <f t="shared" si="1"/>
        <v>0</v>
      </c>
      <c r="L16" s="187">
        <f>IF(Tierb!J16*Tierb!K16 &lt; 0,ABS(Tierb!J16),0)</f>
        <v>0</v>
      </c>
      <c r="M16" s="187">
        <f>IF(Tierb!J16*Tierb!K16 &lt; 0,ABS(Tierb!K16),0)</f>
        <v>0</v>
      </c>
      <c r="N16" s="184">
        <f t="shared" si="8"/>
        <v>8.2191780821917799</v>
      </c>
      <c r="O16" s="184">
        <f t="shared" si="9"/>
        <v>30</v>
      </c>
      <c r="P16" s="187">
        <f t="shared" si="4"/>
        <v>0</v>
      </c>
      <c r="Q16" s="184">
        <v>50</v>
      </c>
      <c r="R16" s="160">
        <f t="shared" si="5"/>
        <v>40</v>
      </c>
      <c r="S16" s="532">
        <v>18</v>
      </c>
      <c r="T16" s="532">
        <v>85</v>
      </c>
      <c r="U16" s="532">
        <v>5</v>
      </c>
      <c r="V16" s="187">
        <f>Tierb!N16</f>
        <v>0</v>
      </c>
      <c r="W16" s="530">
        <f>Tierb!O16</f>
        <v>0</v>
      </c>
      <c r="X16" s="614">
        <f t="shared" si="6"/>
        <v>0</v>
      </c>
      <c r="Y16" s="187">
        <f>Tierb!P16</f>
        <v>0</v>
      </c>
      <c r="Z16" s="532">
        <f>Tierb!Q16</f>
        <v>0</v>
      </c>
      <c r="AA16" s="530">
        <f>Tierb!R16</f>
        <v>0</v>
      </c>
      <c r="AB16" s="614">
        <f t="shared" si="7"/>
        <v>0</v>
      </c>
      <c r="AC16" s="509"/>
      <c r="AD16" s="509">
        <f>Tierb!J16*Tierb!K16/365</f>
        <v>0</v>
      </c>
      <c r="AE16" s="209">
        <f>Tierb!H16</f>
        <v>0.6</v>
      </c>
      <c r="AF16" s="209">
        <v>0.8</v>
      </c>
      <c r="AG16" s="57"/>
      <c r="AH16" s="2202"/>
      <c r="AI16" s="57"/>
      <c r="AJ16" s="57"/>
      <c r="AK16" s="57"/>
      <c r="AL16" s="199"/>
      <c r="AM16" s="199"/>
      <c r="AN16" s="199"/>
      <c r="AO16" s="57"/>
    </row>
    <row r="17" spans="1:71" ht="15" customHeight="1">
      <c r="A17" s="681">
        <f>Tierb!A17</f>
        <v>132</v>
      </c>
      <c r="B17" s="596" t="str">
        <f>D_Klick!B230</f>
        <v>Mutterkühe</v>
      </c>
      <c r="C17" s="159"/>
      <c r="D17" s="92" t="str">
        <f>Tierb!D17</f>
        <v>M'kühe &gt; 700kg</v>
      </c>
      <c r="E17" s="76">
        <f>Tierb!E17</f>
        <v>1</v>
      </c>
      <c r="F17" s="158" t="str">
        <f>Texte!A3730</f>
        <v>Stück</v>
      </c>
      <c r="G17" s="184">
        <f>Tierb!G17</f>
        <v>0</v>
      </c>
      <c r="H17" s="184">
        <f>Tierb!L17</f>
        <v>0</v>
      </c>
      <c r="I17" s="184">
        <f t="shared" si="3"/>
        <v>13.698630136986301</v>
      </c>
      <c r="J17" s="184">
        <f>IF($E17=1,50,IF($E17=2,45,IF($E17=3,38,0)))</f>
        <v>50</v>
      </c>
      <c r="K17" s="187">
        <f t="shared" ref="K17:K32" si="10">H17*J17</f>
        <v>0</v>
      </c>
      <c r="L17" s="187">
        <f>IF(Tierb!J17*Tierb!K17 &lt; 0,ABS(Tierb!J17),0)</f>
        <v>0</v>
      </c>
      <c r="M17" s="187">
        <f>IF(Tierb!J17*Tierb!K17 &lt; 0,ABS(Tierb!K17),0)</f>
        <v>0</v>
      </c>
      <c r="N17" s="184">
        <f t="shared" si="8"/>
        <v>13.698630136986301</v>
      </c>
      <c r="O17" s="184">
        <f t="shared" si="9"/>
        <v>50</v>
      </c>
      <c r="P17" s="187">
        <f t="shared" si="4"/>
        <v>0</v>
      </c>
      <c r="Q17" s="184">
        <f>IF($E17=1,95,IF($E17=2,85,IF($E17=3,72,0)))</f>
        <v>95</v>
      </c>
      <c r="R17" s="160">
        <f t="shared" si="5"/>
        <v>76</v>
      </c>
      <c r="S17" s="532">
        <f>IF($E17=1,31,IF($E17=2,28,IF($E17=3,24,0)))</f>
        <v>31</v>
      </c>
      <c r="T17" s="532">
        <f>IF($E17=1,158,IF($E17=2,141,IF($E17=3,118,0)))</f>
        <v>158</v>
      </c>
      <c r="U17" s="532">
        <f>IF($E17=1,10,IF($E17=2,9,IF($E17=3,8,0)))</f>
        <v>10</v>
      </c>
      <c r="V17" s="187">
        <f>Tierb!N17</f>
        <v>0</v>
      </c>
      <c r="W17" s="530">
        <f>Tierb!O17</f>
        <v>0</v>
      </c>
      <c r="X17" s="614">
        <f t="shared" si="6"/>
        <v>0</v>
      </c>
      <c r="Y17" s="187">
        <f>Tierb!P17</f>
        <v>0</v>
      </c>
      <c r="Z17" s="532">
        <f>Tierb!Q17</f>
        <v>0</v>
      </c>
      <c r="AA17" s="530">
        <f>Tierb!R17</f>
        <v>0</v>
      </c>
      <c r="AB17" s="614">
        <f t="shared" si="7"/>
        <v>0</v>
      </c>
      <c r="AC17" s="509"/>
      <c r="AD17" s="509">
        <f>Tierb!J17*Tierb!K17/365</f>
        <v>0</v>
      </c>
      <c r="AE17" s="209">
        <f>Tierb!H17</f>
        <v>1</v>
      </c>
      <c r="AF17" s="209">
        <f t="shared" ref="AF17:AF29" si="11">factNgesRed</f>
        <v>0.8</v>
      </c>
      <c r="AG17" s="57"/>
      <c r="AH17" s="2202"/>
      <c r="AI17" s="57"/>
      <c r="AJ17" s="57"/>
      <c r="AK17" s="57"/>
      <c r="AL17" s="199"/>
      <c r="AM17" s="199"/>
      <c r="AN17" s="199"/>
      <c r="AO17" s="57"/>
    </row>
    <row r="18" spans="1:71" ht="15" customHeight="1">
      <c r="A18" s="681">
        <f>Tierb!A18</f>
        <v>134</v>
      </c>
      <c r="B18" s="596" t="str">
        <f>D_Klick!B231</f>
        <v>Mutterkuhkälber zur Mast, bis 160-tägig</v>
      </c>
      <c r="C18" s="159"/>
      <c r="D18" s="92"/>
      <c r="E18" s="76"/>
      <c r="F18" s="158" t="str">
        <f>Texte!A3731</f>
        <v>Platz</v>
      </c>
      <c r="G18" s="184">
        <f>Tierb!G18</f>
        <v>0</v>
      </c>
      <c r="H18" s="184">
        <f>Tierb!L18</f>
        <v>0</v>
      </c>
      <c r="I18" s="184">
        <f>J18/365*100</f>
        <v>0.76712328767123283</v>
      </c>
      <c r="J18" s="184">
        <v>2.8</v>
      </c>
      <c r="K18" s="187">
        <f t="shared" si="10"/>
        <v>0</v>
      </c>
      <c r="L18" s="187">
        <f>IF(Tierb!J18*Tierb!K18 &lt; 0,ABS(Tierb!J18),0)</f>
        <v>0</v>
      </c>
      <c r="M18" s="187">
        <f>IF(Tierb!J18*Tierb!K18 &lt; 0,ABS(Tierb!K18),0)</f>
        <v>0</v>
      </c>
      <c r="N18" s="184">
        <f t="shared" ref="N18:O21" si="12">I18</f>
        <v>0.76712328767123283</v>
      </c>
      <c r="O18" s="184">
        <f t="shared" si="12"/>
        <v>2.8</v>
      </c>
      <c r="P18" s="187">
        <f>O18*(G18-H18)</f>
        <v>0</v>
      </c>
      <c r="Q18" s="184">
        <v>21.5</v>
      </c>
      <c r="R18" s="160">
        <f t="shared" si="5"/>
        <v>17.2</v>
      </c>
      <c r="S18" s="532">
        <v>7.5</v>
      </c>
      <c r="T18" s="532">
        <v>18.100000000000001</v>
      </c>
      <c r="U18" s="532">
        <v>0.9</v>
      </c>
      <c r="V18" s="187">
        <f>Tierb!N18</f>
        <v>0</v>
      </c>
      <c r="W18" s="530">
        <f>Tierb!O18</f>
        <v>0</v>
      </c>
      <c r="X18" s="614">
        <f t="shared" ref="X18:X24" si="13">(R18*V18*W18*0.1)/365</f>
        <v>0</v>
      </c>
      <c r="Y18" s="187">
        <f>Tierb!P18</f>
        <v>0</v>
      </c>
      <c r="Z18" s="532">
        <f>Tierb!Q18</f>
        <v>0</v>
      </c>
      <c r="AA18" s="530">
        <f>Tierb!R18</f>
        <v>0</v>
      </c>
      <c r="AB18" s="614">
        <f t="shared" ref="AB18:AB24" si="14">(R18*Y18*Z18*AA18)/(24*365)</f>
        <v>0</v>
      </c>
      <c r="AC18" s="509"/>
      <c r="AD18" s="509">
        <f>Tierb!J18*Tierb!K18/365</f>
        <v>0</v>
      </c>
      <c r="AE18" s="209">
        <f>Tierb!H18</f>
        <v>0.13</v>
      </c>
      <c r="AF18" s="209">
        <f t="shared" si="11"/>
        <v>0.8</v>
      </c>
      <c r="AG18" s="57"/>
      <c r="AH18" s="2202"/>
      <c r="AI18" s="57"/>
      <c r="AJ18" s="57"/>
      <c r="AK18" s="57"/>
      <c r="AL18" s="199"/>
      <c r="AM18" s="199"/>
      <c r="AN18" s="199"/>
      <c r="AO18" s="57"/>
    </row>
    <row r="19" spans="1:71" ht="15" customHeight="1">
      <c r="A19" s="681">
        <f>Tierb!A19</f>
        <v>136</v>
      </c>
      <c r="B19" s="596" t="str">
        <f>D_Klick!B232</f>
        <v>Mutterkuhkälber, Mast über 160-tägig</v>
      </c>
      <c r="C19" s="159"/>
      <c r="D19" s="92" t="str">
        <f>Tierb!D19</f>
        <v>bis 200 kg SG</v>
      </c>
      <c r="E19" s="76">
        <f>Tierb!E19</f>
        <v>1</v>
      </c>
      <c r="F19" s="158" t="str">
        <f>Texte!A3731</f>
        <v>Platz</v>
      </c>
      <c r="G19" s="184">
        <f>Tierb!G19</f>
        <v>0</v>
      </c>
      <c r="H19" s="184">
        <f>Tierb!L19</f>
        <v>0</v>
      </c>
      <c r="I19" s="184">
        <f t="shared" si="3"/>
        <v>4.8767123287671232</v>
      </c>
      <c r="J19" s="184">
        <f>IF($E19=1,17.8,IF($E19=2,18.8,IF($E19=3,19.7,0)))</f>
        <v>17.8</v>
      </c>
      <c r="K19" s="187">
        <f t="shared" si="10"/>
        <v>0</v>
      </c>
      <c r="L19" s="187">
        <f>IF(Tierb!J19*Tierb!K19 &lt; 0,ABS(Tierb!J19),0)</f>
        <v>0</v>
      </c>
      <c r="M19" s="187">
        <f>IF(Tierb!J19*Tierb!K19 &lt; 0,ABS(Tierb!K19),0)</f>
        <v>0</v>
      </c>
      <c r="N19" s="184">
        <f t="shared" si="12"/>
        <v>4.8767123287671232</v>
      </c>
      <c r="O19" s="184">
        <f t="shared" si="12"/>
        <v>17.8</v>
      </c>
      <c r="P19" s="187">
        <f>O19*(G19-H19)</f>
        <v>0</v>
      </c>
      <c r="Q19" s="184">
        <f>IF($E19=1,39.8,IF($E19=2,46.3,IF($E19=3,52.4,0)))</f>
        <v>39.799999999999997</v>
      </c>
      <c r="R19" s="160">
        <f t="shared" si="5"/>
        <v>31.84</v>
      </c>
      <c r="S19" s="532">
        <f>IF($E19=1,12.3,IF($E19=2,13.9,IF($E19=3,15.3,0)))</f>
        <v>12.3</v>
      </c>
      <c r="T19" s="532">
        <f>IF($E19=1,61.3,IF($E19=2,66.3,IF($E19=3,70,0)))</f>
        <v>61.3</v>
      </c>
      <c r="U19" s="532">
        <f>IF($E19=1,3.5,IF($E19=2,3.9,IF($E19=3,4.2,0)))</f>
        <v>3.5</v>
      </c>
      <c r="V19" s="187">
        <f>Tierb!N19</f>
        <v>0</v>
      </c>
      <c r="W19" s="530">
        <f>Tierb!O19</f>
        <v>0</v>
      </c>
      <c r="X19" s="614">
        <f t="shared" si="13"/>
        <v>0</v>
      </c>
      <c r="Y19" s="187">
        <f>Tierb!P19</f>
        <v>0</v>
      </c>
      <c r="Z19" s="532">
        <f>Tierb!Q19</f>
        <v>0</v>
      </c>
      <c r="AA19" s="530">
        <f>Tierb!R19</f>
        <v>0</v>
      </c>
      <c r="AB19" s="614">
        <f t="shared" si="14"/>
        <v>0</v>
      </c>
      <c r="AC19" s="509"/>
      <c r="AD19" s="509">
        <f>(Tierb!J18*Tierb!K18)/(365*1.2)</f>
        <v>0</v>
      </c>
      <c r="AE19" s="209">
        <f>Tierb!H19</f>
        <v>0.33</v>
      </c>
      <c r="AF19" s="209">
        <f t="shared" si="11"/>
        <v>0.8</v>
      </c>
      <c r="AG19" s="57"/>
      <c r="AH19" s="2202"/>
      <c r="AI19" s="57"/>
      <c r="AJ19" s="57"/>
      <c r="AK19" s="57"/>
      <c r="AL19" s="199"/>
      <c r="AM19" s="199"/>
      <c r="AN19" s="199"/>
      <c r="AO19" s="57"/>
    </row>
    <row r="20" spans="1:71" ht="15" customHeight="1">
      <c r="A20" s="681">
        <f>Tierb!A20</f>
        <v>137</v>
      </c>
      <c r="B20" s="596" t="str">
        <f>D_Klick!B232</f>
        <v>Mutterkuhkälber, Mast über 160-tägig</v>
      </c>
      <c r="C20" s="159"/>
      <c r="D20" s="92" t="str">
        <f>Tierb!D20</f>
        <v>200-250 kg SG</v>
      </c>
      <c r="E20" s="76">
        <v>2</v>
      </c>
      <c r="F20" s="158" t="str">
        <f>Texte!A3731</f>
        <v>Platz</v>
      </c>
      <c r="G20" s="184">
        <f>Tierb!G20</f>
        <v>0</v>
      </c>
      <c r="H20" s="184">
        <f>Tierb!L20</f>
        <v>0</v>
      </c>
      <c r="I20" s="184">
        <f t="shared" si="3"/>
        <v>5.1506849315068495</v>
      </c>
      <c r="J20" s="184">
        <f>IF($E20=1,17.8,IF($E20=2,18.8,IF($E20=3,19.7,0)))</f>
        <v>18.8</v>
      </c>
      <c r="K20" s="187">
        <f t="shared" si="10"/>
        <v>0</v>
      </c>
      <c r="L20" s="187">
        <f>IF(Tierb!J20*Tierb!K20 &lt; 0,ABS(Tierb!J20),0)</f>
        <v>0</v>
      </c>
      <c r="M20" s="187">
        <f>IF(Tierb!J20*Tierb!K20 &lt; 0,ABS(Tierb!K20),0)</f>
        <v>0</v>
      </c>
      <c r="N20" s="184">
        <f t="shared" si="12"/>
        <v>5.1506849315068495</v>
      </c>
      <c r="O20" s="184">
        <f t="shared" si="12"/>
        <v>18.8</v>
      </c>
      <c r="P20" s="187">
        <f>O20*(G20-H20)</f>
        <v>0</v>
      </c>
      <c r="Q20" s="184">
        <f>IF($E20=1,39.8,IF($E20=2,46.3,IF($E20=3,52.4,0)))</f>
        <v>46.3</v>
      </c>
      <c r="R20" s="160">
        <f>ROUND(Q20*AF20,2)</f>
        <v>37.04</v>
      </c>
      <c r="S20" s="532">
        <f>IF($E20=1,12.3,IF($E20=2,13.9,IF($E20=3,15.3,0)))</f>
        <v>13.9</v>
      </c>
      <c r="T20" s="532">
        <f>IF($E20=1,61.3,IF($E20=2,66.3,IF($E20=3,70,0)))</f>
        <v>66.3</v>
      </c>
      <c r="U20" s="532">
        <f>IF($E20=1,3.5,IF($E20=2,3.9,IF($E20=3,4.2,0)))</f>
        <v>3.9</v>
      </c>
      <c r="V20" s="187">
        <f>Tierb!N20</f>
        <v>0</v>
      </c>
      <c r="W20" s="530">
        <f>Tierb!O20</f>
        <v>0</v>
      </c>
      <c r="X20" s="614">
        <f t="shared" si="13"/>
        <v>0</v>
      </c>
      <c r="Y20" s="187">
        <f>Tierb!P20</f>
        <v>0</v>
      </c>
      <c r="Z20" s="532">
        <f>Tierb!Q20</f>
        <v>0</v>
      </c>
      <c r="AA20" s="530">
        <f>Tierb!R20</f>
        <v>0</v>
      </c>
      <c r="AB20" s="614">
        <f t="shared" si="14"/>
        <v>0</v>
      </c>
      <c r="AC20" s="509"/>
      <c r="AD20" s="509">
        <f>(Tierb!J19*Tierb!K19)/(365*1.2)</f>
        <v>0</v>
      </c>
      <c r="AE20" s="209">
        <f>Tierb!H20</f>
        <v>0.33</v>
      </c>
      <c r="AF20" s="209">
        <f t="shared" si="11"/>
        <v>0.8</v>
      </c>
      <c r="AG20" s="57"/>
      <c r="AH20" s="2202"/>
      <c r="AI20" s="57"/>
      <c r="AJ20" s="57"/>
      <c r="AK20" s="57"/>
      <c r="AL20" s="199"/>
      <c r="AM20" s="199"/>
      <c r="AN20" s="199"/>
      <c r="AO20" s="57"/>
    </row>
    <row r="21" spans="1:71" ht="15" customHeight="1">
      <c r="A21" s="681">
        <f>Tierb!A21</f>
        <v>138</v>
      </c>
      <c r="B21" s="596" t="str">
        <f>D_Klick!B232</f>
        <v>Mutterkuhkälber, Mast über 160-tägig</v>
      </c>
      <c r="C21" s="159"/>
      <c r="D21" s="92" t="str">
        <f>Tierb!D21</f>
        <v>über 250 kg SG</v>
      </c>
      <c r="E21" s="76">
        <v>3</v>
      </c>
      <c r="F21" s="158" t="str">
        <f>Texte!A3731</f>
        <v>Platz</v>
      </c>
      <c r="G21" s="184">
        <f>Tierb!G21</f>
        <v>0</v>
      </c>
      <c r="H21" s="184">
        <f>Tierb!L21</f>
        <v>0</v>
      </c>
      <c r="I21" s="184">
        <f t="shared" si="3"/>
        <v>5.3972602739726021</v>
      </c>
      <c r="J21" s="184">
        <f>IF($E21=1,17.8,IF($E21=2,18.8,IF($E21=3,19.7,0)))</f>
        <v>19.7</v>
      </c>
      <c r="K21" s="187">
        <f t="shared" si="10"/>
        <v>0</v>
      </c>
      <c r="L21" s="187">
        <f>IF(Tierb!J21*Tierb!K21 &lt; 0,ABS(Tierb!J21),0)</f>
        <v>0</v>
      </c>
      <c r="M21" s="187">
        <f>IF(Tierb!J21*Tierb!K21 &lt; 0,ABS(Tierb!K21),0)</f>
        <v>0</v>
      </c>
      <c r="N21" s="184">
        <f t="shared" si="12"/>
        <v>5.3972602739726021</v>
      </c>
      <c r="O21" s="184">
        <f t="shared" si="12"/>
        <v>19.7</v>
      </c>
      <c r="P21" s="187">
        <f>O21*(G21-H21)</f>
        <v>0</v>
      </c>
      <c r="Q21" s="184">
        <f>IF($E21=1,39.8,IF($E21=2,46.3,IF($E21=3,52.4,0)))</f>
        <v>52.4</v>
      </c>
      <c r="R21" s="160">
        <f>ROUND(Q21*AF21,2)</f>
        <v>41.92</v>
      </c>
      <c r="S21" s="532">
        <f>IF($E21=1,12.3,IF($E21=2,13.9,IF($E21=3,15.3,0)))</f>
        <v>15.3</v>
      </c>
      <c r="T21" s="532">
        <f>IF($E21=1,61.3,IF($E21=2,66.3,IF($E21=3,70,0)))</f>
        <v>70</v>
      </c>
      <c r="U21" s="532">
        <f>IF($E21=1,3.5,IF($E21=2,3.9,IF($E21=3,4.2,0)))</f>
        <v>4.2</v>
      </c>
      <c r="V21" s="187">
        <f>Tierb!N21</f>
        <v>0</v>
      </c>
      <c r="W21" s="530">
        <f>Tierb!O21</f>
        <v>0</v>
      </c>
      <c r="X21" s="614">
        <f t="shared" si="13"/>
        <v>0</v>
      </c>
      <c r="Y21" s="187">
        <f>Tierb!P21</f>
        <v>0</v>
      </c>
      <c r="Z21" s="532">
        <f>Tierb!Q21</f>
        <v>0</v>
      </c>
      <c r="AA21" s="530">
        <f>Tierb!R21</f>
        <v>0</v>
      </c>
      <c r="AB21" s="614">
        <f t="shared" si="14"/>
        <v>0</v>
      </c>
      <c r="AC21" s="509"/>
      <c r="AD21" s="509">
        <f>(Tierb!J20*Tierb!K20)/(365*1.2)</f>
        <v>0</v>
      </c>
      <c r="AE21" s="209">
        <f>Tierb!H21</f>
        <v>0.33</v>
      </c>
      <c r="AF21" s="209">
        <f t="shared" si="11"/>
        <v>0.8</v>
      </c>
      <c r="AG21" s="57"/>
      <c r="AH21" s="2202"/>
      <c r="AI21" s="57"/>
      <c r="AJ21" s="57"/>
      <c r="AK21" s="57"/>
      <c r="AL21" s="199"/>
      <c r="AM21" s="199"/>
      <c r="AN21" s="199"/>
      <c r="AO21" s="57"/>
      <c r="BA21" s="2201" t="str">
        <f>Texte!$A$3692</f>
        <v>Anfall aus Import- / Exportbilanz</v>
      </c>
      <c r="BB21" s="2197" t="str">
        <f>Texte!$A$3733</f>
        <v>Einheit</v>
      </c>
      <c r="BC21" s="2197" t="str">
        <f>Texte!$A$3675</f>
        <v xml:space="preserve">Anzahl </v>
      </c>
      <c r="BD21" s="2198" t="str">
        <f>Texte!$A$3693</f>
        <v>Anfall je Einheit u. Jahr</v>
      </c>
      <c r="BE21" s="2198"/>
      <c r="BF21" s="2198"/>
      <c r="BG21" s="681" t="s">
        <v>7039</v>
      </c>
      <c r="BH21" s="2198" t="str">
        <f>Texte!$A$3834</f>
        <v>Standardanfall der beteiligten Kategorien</v>
      </c>
      <c r="BI21" s="2198"/>
      <c r="BJ21" s="2198"/>
      <c r="BK21" s="2198"/>
      <c r="BL21" s="2198"/>
    </row>
    <row r="22" spans="1:71" ht="15" customHeight="1">
      <c r="A22" s="681">
        <f>Tierb!A22</f>
        <v>140</v>
      </c>
      <c r="B22" s="596" t="str">
        <f>D_Klick!B235</f>
        <v>Mutterkühe, Jungvieh, 1 bis 2-jährig</v>
      </c>
      <c r="C22" s="159"/>
      <c r="D22" s="168"/>
      <c r="E22" s="830"/>
      <c r="F22" s="158" t="str">
        <f>Texte!A3731</f>
        <v>Platz</v>
      </c>
      <c r="G22" s="184">
        <f>Tierb!G22</f>
        <v>0</v>
      </c>
      <c r="H22" s="184">
        <f>Tierb!L22</f>
        <v>0</v>
      </c>
      <c r="I22" s="184">
        <f t="shared" si="3"/>
        <v>7.1232876712328768</v>
      </c>
      <c r="J22" s="184">
        <f>J13</f>
        <v>26</v>
      </c>
      <c r="K22" s="187">
        <f>H22*J22</f>
        <v>0</v>
      </c>
      <c r="L22" s="187">
        <f>IF(Tierb!J22*Tierb!K22 &lt; 0,ABS(Tierb!J22),0)</f>
        <v>0</v>
      </c>
      <c r="M22" s="187">
        <f>IF(Tierb!J22*Tierb!K22 &lt; 0,ABS(Tierb!K22),0)</f>
        <v>0</v>
      </c>
      <c r="N22" s="184">
        <f>O22/3.65</f>
        <v>7.1232876712328768</v>
      </c>
      <c r="O22" s="184">
        <f>J22</f>
        <v>26</v>
      </c>
      <c r="P22" s="187">
        <f t="shared" si="4"/>
        <v>0</v>
      </c>
      <c r="Q22" s="184">
        <f>Q13</f>
        <v>42.5</v>
      </c>
      <c r="R22" s="160">
        <f t="shared" si="5"/>
        <v>34</v>
      </c>
      <c r="S22" s="532">
        <f>S13</f>
        <v>14</v>
      </c>
      <c r="T22" s="532">
        <f>T13</f>
        <v>62.5</v>
      </c>
      <c r="U22" s="532">
        <f>U13</f>
        <v>5.5</v>
      </c>
      <c r="V22" s="187">
        <f>Tierb!N22</f>
        <v>0</v>
      </c>
      <c r="W22" s="530">
        <f>Tierb!O22</f>
        <v>0</v>
      </c>
      <c r="X22" s="614">
        <f t="shared" si="13"/>
        <v>0</v>
      </c>
      <c r="Y22" s="187">
        <f>Tierb!P22</f>
        <v>0</v>
      </c>
      <c r="Z22" s="532">
        <f>Tierb!Q22</f>
        <v>0</v>
      </c>
      <c r="AA22" s="530">
        <f>Tierb!R22</f>
        <v>0</v>
      </c>
      <c r="AB22" s="614">
        <f t="shared" si="14"/>
        <v>0</v>
      </c>
      <c r="AC22" s="509"/>
      <c r="AD22" s="509">
        <f>Tierb!J22*Tierb!K22/365</f>
        <v>0</v>
      </c>
      <c r="AE22" s="209">
        <f>Tierb!H22</f>
        <v>0.4</v>
      </c>
      <c r="AF22" s="209">
        <f t="shared" si="11"/>
        <v>0.8</v>
      </c>
      <c r="AG22" s="57"/>
      <c r="AH22" s="2202"/>
      <c r="AI22" s="57"/>
      <c r="AJ22" s="57"/>
      <c r="AK22" s="57"/>
      <c r="AL22" s="199"/>
      <c r="AM22" s="199"/>
      <c r="AN22" s="199"/>
      <c r="AO22" s="57"/>
      <c r="AY22" s="2197" t="s">
        <v>5484</v>
      </c>
      <c r="AZ22" s="2197" t="s">
        <v>5484</v>
      </c>
      <c r="BA22" s="2197" t="s">
        <v>5484</v>
      </c>
      <c r="BB22" s="2197"/>
      <c r="BC22" s="2197"/>
      <c r="BD22" s="2197" t="s">
        <v>5484</v>
      </c>
      <c r="BE22" s="2197" t="s">
        <v>5484</v>
      </c>
      <c r="BF22" s="2197" t="s">
        <v>5484</v>
      </c>
      <c r="BG22" s="2197" t="s">
        <v>5652</v>
      </c>
      <c r="BH22" s="2197" t="s">
        <v>5484</v>
      </c>
      <c r="BI22" s="2197" t="s">
        <v>5484</v>
      </c>
      <c r="BJ22" s="2197" t="s">
        <v>5484</v>
      </c>
      <c r="BK22" s="2197" t="s">
        <v>5484</v>
      </c>
      <c r="BL22" s="2197" t="s">
        <v>5484</v>
      </c>
    </row>
    <row r="23" spans="1:71" ht="15" customHeight="1">
      <c r="A23" s="681">
        <f>Tierb!A23</f>
        <v>144</v>
      </c>
      <c r="B23" s="596" t="str">
        <f>D_Klick!B236</f>
        <v>Mutterkühe, Jungvieh, über  2-jährig</v>
      </c>
      <c r="C23" s="159"/>
      <c r="D23" s="168"/>
      <c r="E23" s="830"/>
      <c r="F23" s="158" t="str">
        <f>Texte!A3731</f>
        <v>Platz</v>
      </c>
      <c r="G23" s="184">
        <f>Tierb!G23</f>
        <v>0</v>
      </c>
      <c r="H23" s="184">
        <f>Tierb!L23</f>
        <v>0</v>
      </c>
      <c r="I23" s="184">
        <f t="shared" si="3"/>
        <v>9.0410958904109595</v>
      </c>
      <c r="J23" s="184">
        <v>33</v>
      </c>
      <c r="K23" s="187">
        <f>H23*J23</f>
        <v>0</v>
      </c>
      <c r="L23" s="187">
        <f>IF(Tierb!J23*Tierb!K23 &lt; 0,ABS(Tierb!J23),0)</f>
        <v>0</v>
      </c>
      <c r="M23" s="187">
        <f>IF(Tierb!J23*Tierb!K23 &lt; 0,ABS(Tierb!K23),0)</f>
        <v>0</v>
      </c>
      <c r="N23" s="184">
        <f>O23/3.65</f>
        <v>9.0410958904109595</v>
      </c>
      <c r="O23" s="184">
        <f>J23</f>
        <v>33</v>
      </c>
      <c r="P23" s="187">
        <f t="shared" si="4"/>
        <v>0</v>
      </c>
      <c r="Q23" s="184">
        <v>55</v>
      </c>
      <c r="R23" s="160">
        <f t="shared" si="5"/>
        <v>44</v>
      </c>
      <c r="S23" s="532">
        <v>20</v>
      </c>
      <c r="T23" s="532">
        <v>75</v>
      </c>
      <c r="U23" s="532">
        <v>7</v>
      </c>
      <c r="V23" s="187">
        <f>Tierb!N23</f>
        <v>0</v>
      </c>
      <c r="W23" s="530">
        <f>Tierb!O23</f>
        <v>0</v>
      </c>
      <c r="X23" s="614">
        <f t="shared" si="13"/>
        <v>0</v>
      </c>
      <c r="Y23" s="187">
        <f>Tierb!P23</f>
        <v>0</v>
      </c>
      <c r="Z23" s="532">
        <f>Tierb!Q23</f>
        <v>0</v>
      </c>
      <c r="AA23" s="530">
        <f>Tierb!R23</f>
        <v>0</v>
      </c>
      <c r="AB23" s="614">
        <f t="shared" si="14"/>
        <v>0</v>
      </c>
      <c r="AC23" s="509"/>
      <c r="AD23" s="509">
        <f>Tierb!J23*Tierb!K23/365</f>
        <v>0</v>
      </c>
      <c r="AE23" s="209">
        <f>Tierb!H23</f>
        <v>0.6</v>
      </c>
      <c r="AF23" s="209">
        <f t="shared" si="11"/>
        <v>0.8</v>
      </c>
      <c r="AG23" s="57"/>
      <c r="AH23" s="2202"/>
      <c r="AI23" s="57"/>
      <c r="AJ23" s="57"/>
      <c r="AK23" s="57"/>
      <c r="AL23" s="199"/>
      <c r="AM23" s="199"/>
      <c r="AN23" s="199"/>
      <c r="AO23" s="57"/>
      <c r="AY23" s="2197" t="s">
        <v>1511</v>
      </c>
      <c r="AZ23" s="2197" t="str">
        <f>Texte!$A$3694</f>
        <v>Nges.</v>
      </c>
      <c r="BA23" s="2197" t="s">
        <v>1710</v>
      </c>
      <c r="BB23" s="2197"/>
      <c r="BC23" s="2197"/>
      <c r="BD23" s="2197" t="s">
        <v>1511</v>
      </c>
      <c r="BE23" s="2197" t="str">
        <f>Texte!$A$3694</f>
        <v>Nges.</v>
      </c>
      <c r="BF23" s="2197" t="s">
        <v>1710</v>
      </c>
      <c r="BG23" s="2197" t="s">
        <v>7038</v>
      </c>
      <c r="BH23" s="2197" t="s">
        <v>1511</v>
      </c>
      <c r="BI23" s="2197" t="str">
        <f>Texte!$A$3694</f>
        <v>Nges.</v>
      </c>
      <c r="BJ23" s="2197" t="s">
        <v>1710</v>
      </c>
      <c r="BK23" s="2197" t="s">
        <v>1711</v>
      </c>
      <c r="BL23" s="2197" t="s">
        <v>7031</v>
      </c>
      <c r="BQ23" s="681" t="str">
        <f>Texte!A5226</f>
        <v>Laufhof-Tage übernehmen</v>
      </c>
      <c r="BR23" s="681" t="str">
        <f>Texte!A5227</f>
        <v>Weide-Tage übernehmen</v>
      </c>
    </row>
    <row r="24" spans="1:71" ht="15" customHeight="1" thickBot="1">
      <c r="A24" s="681">
        <f>Tierb!A24</f>
        <v>148</v>
      </c>
      <c r="B24" s="596" t="str">
        <f>D_Klick!B237</f>
        <v>Mutterkühe, Stiere, über 2-jährig</v>
      </c>
      <c r="C24" s="159"/>
      <c r="D24" s="168"/>
      <c r="E24" s="830"/>
      <c r="F24" s="158" t="str">
        <f>Texte!A3730</f>
        <v>Stück</v>
      </c>
      <c r="G24" s="184">
        <f>Tierb!G24</f>
        <v>0</v>
      </c>
      <c r="H24" s="184">
        <f>Tierb!L24</f>
        <v>0</v>
      </c>
      <c r="I24" s="184">
        <f t="shared" si="3"/>
        <v>8.2191780821917799</v>
      </c>
      <c r="J24" s="184">
        <v>30</v>
      </c>
      <c r="K24" s="187">
        <f>H24*J24</f>
        <v>0</v>
      </c>
      <c r="L24" s="187">
        <f>IF(Tierb!J24*Tierb!K24 &lt; 0,ABS(Tierb!J24),0)</f>
        <v>0</v>
      </c>
      <c r="M24" s="187">
        <f>IF(Tierb!J24*Tierb!K24 &lt; 0,ABS(Tierb!K24),0)</f>
        <v>0</v>
      </c>
      <c r="N24" s="184">
        <f>O24/3.65</f>
        <v>8.2191780821917817</v>
      </c>
      <c r="O24" s="184">
        <f>J24</f>
        <v>30</v>
      </c>
      <c r="P24" s="187">
        <f t="shared" si="4"/>
        <v>0</v>
      </c>
      <c r="Q24" s="184">
        <v>50</v>
      </c>
      <c r="R24" s="160">
        <f t="shared" si="5"/>
        <v>40</v>
      </c>
      <c r="S24" s="532">
        <v>18</v>
      </c>
      <c r="T24" s="532">
        <v>85</v>
      </c>
      <c r="U24" s="532">
        <v>5</v>
      </c>
      <c r="V24" s="187">
        <f>Tierb!N24</f>
        <v>0</v>
      </c>
      <c r="W24" s="530">
        <f>Tierb!O24</f>
        <v>0</v>
      </c>
      <c r="X24" s="614">
        <f t="shared" si="13"/>
        <v>0</v>
      </c>
      <c r="Y24" s="187">
        <f>Tierb!P24</f>
        <v>0</v>
      </c>
      <c r="Z24" s="532">
        <f>Tierb!Q24</f>
        <v>0</v>
      </c>
      <c r="AA24" s="530">
        <f>Tierb!R24</f>
        <v>0</v>
      </c>
      <c r="AB24" s="614">
        <f t="shared" si="14"/>
        <v>0</v>
      </c>
      <c r="AC24" s="509"/>
      <c r="AD24" s="509">
        <f>Tierb!J24*Tierb!K24/365</f>
        <v>0</v>
      </c>
      <c r="AE24" s="209">
        <f>Tierb!H24</f>
        <v>0.6</v>
      </c>
      <c r="AF24" s="209">
        <f t="shared" si="11"/>
        <v>0.8</v>
      </c>
      <c r="AG24" s="57"/>
      <c r="AH24" s="2202"/>
      <c r="AI24" s="57"/>
      <c r="AJ24" s="57"/>
      <c r="AK24" s="57"/>
      <c r="AL24" s="199"/>
      <c r="AM24" s="199"/>
      <c r="AN24" s="199"/>
      <c r="AO24" s="57"/>
      <c r="AX24" s="609" t="str">
        <f>Texte!A3837</f>
        <v>Rindviehmast</v>
      </c>
      <c r="BN24" s="959"/>
      <c r="BO24" s="959"/>
      <c r="BP24" s="959"/>
    </row>
    <row r="25" spans="1:71" ht="15" customHeight="1">
      <c r="A25" s="681">
        <f>Tierb!A25</f>
        <v>152</v>
      </c>
      <c r="B25" s="596" t="str">
        <f>D_Klick!B238</f>
        <v>Mastkälber, 60 bis 220 kg</v>
      </c>
      <c r="C25" s="159"/>
      <c r="D25" s="92"/>
      <c r="E25" s="566"/>
      <c r="F25" s="158" t="str">
        <f>Texte!A3731</f>
        <v>Platz</v>
      </c>
      <c r="G25" s="184">
        <f>Tierb!G25</f>
        <v>0</v>
      </c>
      <c r="H25" s="184">
        <f>Tierb!L25</f>
        <v>0</v>
      </c>
      <c r="I25" s="184">
        <f t="shared" si="3"/>
        <v>0.27397260273972601</v>
      </c>
      <c r="J25" s="184">
        <v>1</v>
      </c>
      <c r="K25" s="187">
        <f t="shared" si="10"/>
        <v>0</v>
      </c>
      <c r="L25" s="187">
        <f>IF(Tierb!J25*Tierb!K25 &lt; 0,ABS(Tierb!J25),0)</f>
        <v>0</v>
      </c>
      <c r="M25" s="187">
        <f>IF(Tierb!J25*Tierb!K25 &lt; 0,ABS(Tierb!K25),0)</f>
        <v>0</v>
      </c>
      <c r="N25" s="184">
        <f t="shared" si="8"/>
        <v>0.27397260273972601</v>
      </c>
      <c r="O25" s="184">
        <f t="shared" si="9"/>
        <v>1</v>
      </c>
      <c r="P25" s="187">
        <f t="shared" si="4"/>
        <v>0</v>
      </c>
      <c r="Q25" s="184">
        <v>18.8</v>
      </c>
      <c r="R25" s="160">
        <f t="shared" si="5"/>
        <v>15.04</v>
      </c>
      <c r="S25" s="532">
        <v>6.7</v>
      </c>
      <c r="T25" s="532">
        <v>13.3</v>
      </c>
      <c r="U25" s="532">
        <v>0.9</v>
      </c>
      <c r="V25" s="187">
        <f>Tierb!N25</f>
        <v>0</v>
      </c>
      <c r="W25" s="530">
        <f>Tierb!O25</f>
        <v>0</v>
      </c>
      <c r="X25" s="614">
        <f t="shared" si="6"/>
        <v>0</v>
      </c>
      <c r="Y25" s="187">
        <f>Tierb!P25</f>
        <v>0</v>
      </c>
      <c r="Z25" s="532">
        <f>Tierb!Q25</f>
        <v>0</v>
      </c>
      <c r="AA25" s="530">
        <f>Tierb!R25</f>
        <v>0</v>
      </c>
      <c r="AB25" s="614">
        <f t="shared" si="7"/>
        <v>0</v>
      </c>
      <c r="AC25" s="509"/>
      <c r="AD25" s="509">
        <f>Tierb!J25*Tierb!K25/365</f>
        <v>0</v>
      </c>
      <c r="AE25" s="209">
        <f>Tierb!H25</f>
        <v>0.13</v>
      </c>
      <c r="AF25" s="209">
        <f>factNgesRed</f>
        <v>0.8</v>
      </c>
      <c r="AH25" s="2202"/>
      <c r="AJ25" s="57"/>
      <c r="AK25" s="57"/>
      <c r="AL25" s="199"/>
      <c r="AM25" s="199"/>
      <c r="AN25" s="199"/>
      <c r="AO25" s="57"/>
      <c r="AX25" s="603" t="str">
        <f>B25</f>
        <v>Mastkälber, 60 bis 220 kg</v>
      </c>
      <c r="AY25" s="1283"/>
      <c r="AZ25" s="1284"/>
      <c r="BA25" s="1284"/>
      <c r="BB25" s="1285"/>
      <c r="BC25" s="619"/>
      <c r="BD25" s="619"/>
      <c r="BE25" s="1286"/>
      <c r="BF25" s="1287"/>
      <c r="BG25" s="2199">
        <v>1</v>
      </c>
      <c r="BH25" s="1219">
        <f>IF(AND($BG25&gt;0,$H25&gt;0),$H25*BN25,0)</f>
        <v>0</v>
      </c>
      <c r="BI25" s="1220">
        <f>BH25*AF25</f>
        <v>0</v>
      </c>
      <c r="BJ25" s="1220">
        <f>IF(AND($BG25&gt;0,$H25&gt;0),$H25*BP25,0)</f>
        <v>0</v>
      </c>
      <c r="BK25" s="1220">
        <f>IF(AND($BG25&gt;0,$H25&gt;0),$H25*BQ31,0)</f>
        <v>0</v>
      </c>
      <c r="BL25" s="1221">
        <f>IF(AND($BG25&gt;0,$H25&gt;0),$H25*BR31,0)</f>
        <v>0</v>
      </c>
      <c r="BN25" s="2241">
        <f>Q25</f>
        <v>18.8</v>
      </c>
      <c r="BO25" s="959">
        <f>BN25*AF25</f>
        <v>15.040000000000001</v>
      </c>
      <c r="BP25" s="2241">
        <f>S25</f>
        <v>6.7</v>
      </c>
    </row>
    <row r="26" spans="1:71" ht="15" hidden="1" customHeight="1">
      <c r="A26" s="681">
        <f>Tierb!A26</f>
        <v>156</v>
      </c>
      <c r="B26" s="596" t="str">
        <f>D_Klick!B239</f>
        <v>Mastkälber, 60 bis 220 kg, pro Jahr</v>
      </c>
      <c r="C26" s="159"/>
      <c r="D26" s="92"/>
      <c r="E26" s="566"/>
      <c r="F26" s="158" t="str">
        <f>Texte!A3732</f>
        <v>Anzahl</v>
      </c>
      <c r="G26" s="184">
        <f>Tierb!G26</f>
        <v>0</v>
      </c>
      <c r="H26" s="184">
        <f>Tierb!L26</f>
        <v>0</v>
      </c>
      <c r="I26" s="184">
        <f t="shared" si="3"/>
        <v>0.13698630136986301</v>
      </c>
      <c r="J26" s="2357">
        <v>0.5</v>
      </c>
      <c r="K26" s="187">
        <f t="shared" si="10"/>
        <v>0</v>
      </c>
      <c r="L26" s="187">
        <f>IF(Tierb!J26*Tierb!K26 &lt; 0,ABS(Tierb!J26),0)</f>
        <v>0</v>
      </c>
      <c r="M26" s="187">
        <f>IF(Tierb!J26*Tierb!K26 &lt; 0,ABS(Tierb!K26),0)</f>
        <v>0</v>
      </c>
      <c r="N26" s="184">
        <f t="shared" si="8"/>
        <v>0.13698630136986301</v>
      </c>
      <c r="O26" s="184">
        <f t="shared" si="9"/>
        <v>0.5</v>
      </c>
      <c r="P26" s="187">
        <f t="shared" si="4"/>
        <v>0</v>
      </c>
      <c r="Q26" s="2357">
        <v>5.96</v>
      </c>
      <c r="R26" s="2187">
        <f t="shared" si="5"/>
        <v>4.7699999999999996</v>
      </c>
      <c r="S26" s="2358">
        <v>2.077</v>
      </c>
      <c r="T26" s="2358">
        <v>3.26</v>
      </c>
      <c r="U26" s="2358">
        <v>0.15379999999999999</v>
      </c>
      <c r="V26" s="187">
        <f>Tierb!N26</f>
        <v>0</v>
      </c>
      <c r="W26" s="530">
        <f>Tierb!O26</f>
        <v>0</v>
      </c>
      <c r="X26" s="614">
        <f t="shared" si="6"/>
        <v>0</v>
      </c>
      <c r="Y26" s="187">
        <f>Tierb!P26</f>
        <v>0</v>
      </c>
      <c r="Z26" s="532">
        <f>Tierb!Q26</f>
        <v>0</v>
      </c>
      <c r="AA26" s="530">
        <f>Tierb!R26</f>
        <v>0</v>
      </c>
      <c r="AB26" s="614">
        <f t="shared" si="7"/>
        <v>0</v>
      </c>
      <c r="AC26" s="509"/>
      <c r="AD26" s="509">
        <f>Tierb!J26*Tierb!K26/365</f>
        <v>0</v>
      </c>
      <c r="AE26" s="209">
        <f>Tierb!H26</f>
        <v>4.5614035087719301E-2</v>
      </c>
      <c r="AF26" s="209">
        <f>factNgesRed</f>
        <v>0.8</v>
      </c>
      <c r="AH26" s="2202" t="s">
        <v>7746</v>
      </c>
      <c r="AJ26" s="57"/>
      <c r="AK26" s="57"/>
      <c r="AL26" s="199"/>
      <c r="AM26" s="199"/>
      <c r="AN26" s="199"/>
      <c r="AO26" s="57"/>
      <c r="AX26" s="3378"/>
      <c r="AY26" s="3379"/>
      <c r="AZ26" s="3379"/>
      <c r="BA26" s="3379"/>
      <c r="BB26" s="3379"/>
      <c r="BC26" s="3379"/>
      <c r="BD26" s="3379"/>
      <c r="BE26" s="3379"/>
      <c r="BF26" s="3380"/>
      <c r="BH26" s="3383"/>
      <c r="BI26" s="3379"/>
      <c r="BJ26" s="3379"/>
      <c r="BK26" s="3379"/>
      <c r="BL26" s="3384"/>
    </row>
    <row r="27" spans="1:71">
      <c r="A27">
        <f>Tierb!A27</f>
        <v>164</v>
      </c>
      <c r="B27" s="596" t="str">
        <f>D_Klick!B240</f>
        <v>Rindviehmast, bis 160-tägig</v>
      </c>
      <c r="C27" s="159"/>
      <c r="D27" s="87"/>
      <c r="E27" s="83"/>
      <c r="F27" s="158" t="str">
        <f>Texte!A3731</f>
        <v>Platz</v>
      </c>
      <c r="G27" s="184">
        <f>Tierb!G27</f>
        <v>0</v>
      </c>
      <c r="H27" s="184">
        <f>Tierb!L27</f>
        <v>0</v>
      </c>
      <c r="I27" s="184">
        <f t="shared" si="3"/>
        <v>1.4246575342465755</v>
      </c>
      <c r="J27" s="184">
        <v>5.2</v>
      </c>
      <c r="K27" s="187">
        <f>H27*J27</f>
        <v>0</v>
      </c>
      <c r="L27" s="187">
        <f>IF(Tierb!J27*Tierb!K27 &lt; 0,ABS(Tierb!J27),0)</f>
        <v>0</v>
      </c>
      <c r="M27" s="187">
        <f>IF(Tierb!J27*Tierb!K27 &lt; 0,ABS(Tierb!K27),0)</f>
        <v>0</v>
      </c>
      <c r="N27" s="184">
        <f t="shared" si="8"/>
        <v>1.4246575342465755</v>
      </c>
      <c r="O27" s="184">
        <f t="shared" si="9"/>
        <v>5.2</v>
      </c>
      <c r="P27" s="187">
        <f t="shared" si="4"/>
        <v>0</v>
      </c>
      <c r="Q27" s="184">
        <v>22.6</v>
      </c>
      <c r="R27" s="160">
        <f t="shared" si="5"/>
        <v>18.079999999999998</v>
      </c>
      <c r="S27" s="532">
        <v>8</v>
      </c>
      <c r="T27" s="532">
        <v>14.6</v>
      </c>
      <c r="U27" s="532">
        <v>3.4</v>
      </c>
      <c r="V27" s="187">
        <f>Tierb!N27</f>
        <v>0</v>
      </c>
      <c r="W27" s="530">
        <f>Tierb!O27</f>
        <v>0</v>
      </c>
      <c r="X27" s="614">
        <f t="shared" si="6"/>
        <v>0</v>
      </c>
      <c r="Y27" s="187">
        <f>Tierb!P27</f>
        <v>0</v>
      </c>
      <c r="Z27" s="532">
        <f>Tierb!Q27</f>
        <v>0</v>
      </c>
      <c r="AA27" s="530">
        <f>Tierb!R27</f>
        <v>0</v>
      </c>
      <c r="AB27" s="614">
        <f t="shared" si="7"/>
        <v>0</v>
      </c>
      <c r="AC27" s="509"/>
      <c r="AD27" s="509">
        <f>Tierb!J27*Tierb!K27/365</f>
        <v>0</v>
      </c>
      <c r="AE27" s="209">
        <f>Tierb!H27</f>
        <v>0.13</v>
      </c>
      <c r="AF27" s="209">
        <f t="shared" si="11"/>
        <v>0.8</v>
      </c>
      <c r="AH27" s="2202">
        <f>COUNT(Tierb!G9:G45)</f>
        <v>8</v>
      </c>
      <c r="AJ27" s="57"/>
      <c r="AK27" s="57"/>
      <c r="AL27" s="57"/>
      <c r="AM27" s="57"/>
      <c r="AN27" s="57"/>
      <c r="AO27" s="57"/>
      <c r="AX27" s="3381"/>
      <c r="AY27" s="683"/>
      <c r="AZ27" s="683"/>
      <c r="BA27" s="683"/>
      <c r="BB27" s="683"/>
      <c r="BC27" s="683"/>
      <c r="BD27" s="683"/>
      <c r="BE27" s="683"/>
      <c r="BF27" s="3382"/>
      <c r="BH27" s="3385"/>
      <c r="BI27" s="683"/>
      <c r="BJ27" s="683"/>
      <c r="BK27" s="683"/>
      <c r="BL27" s="3386"/>
    </row>
    <row r="28" spans="1:71">
      <c r="A28" s="681">
        <f>Tierb!A28</f>
        <v>168</v>
      </c>
      <c r="B28" s="596" t="str">
        <f>D_Klick!B241</f>
        <v>Rindviehmast, über 160-tägig</v>
      </c>
      <c r="C28" s="159"/>
      <c r="D28" s="87"/>
      <c r="E28" s="83"/>
      <c r="F28" s="158" t="str">
        <f>Texte!A3731</f>
        <v>Platz</v>
      </c>
      <c r="G28" s="184">
        <f>Tierb!G28</f>
        <v>0</v>
      </c>
      <c r="H28" s="184">
        <f>Tierb!L28</f>
        <v>0</v>
      </c>
      <c r="I28" s="184">
        <f t="shared" si="3"/>
        <v>5.3684931506849312</v>
      </c>
      <c r="J28" s="184">
        <f>D_Klick!I211</f>
        <v>19.594999999999999</v>
      </c>
      <c r="K28" s="187">
        <f t="shared" si="10"/>
        <v>0</v>
      </c>
      <c r="L28" s="187">
        <f>IF(Tierb!J28*Tierb!K28 &lt; 0,ABS(Tierb!J28),0)</f>
        <v>0</v>
      </c>
      <c r="M28" s="187">
        <f>IF(Tierb!J28*Tierb!K28 &lt; 0,ABS(Tierb!K28),0)</f>
        <v>0</v>
      </c>
      <c r="N28" s="184">
        <f t="shared" si="8"/>
        <v>5.3684931506849312</v>
      </c>
      <c r="O28" s="184">
        <f t="shared" si="9"/>
        <v>19.594999999999999</v>
      </c>
      <c r="P28" s="187">
        <f t="shared" si="4"/>
        <v>0</v>
      </c>
      <c r="Q28" s="184">
        <f>D_Klick!J211</f>
        <v>28.875</v>
      </c>
      <c r="R28" s="160">
        <f>Q28*AF28</f>
        <v>23.1</v>
      </c>
      <c r="S28" s="532">
        <f>D_Klick!K211</f>
        <v>7.6899999999999995</v>
      </c>
      <c r="T28" s="532">
        <f>D_Klick!L211</f>
        <v>29.540000000000006</v>
      </c>
      <c r="U28" s="532">
        <f>D_Klick!M211</f>
        <v>3.0999999999999996</v>
      </c>
      <c r="V28" s="187">
        <f>Tierb!N28</f>
        <v>0</v>
      </c>
      <c r="W28" s="530">
        <f>Tierb!O28</f>
        <v>0</v>
      </c>
      <c r="X28" s="614">
        <f t="shared" si="6"/>
        <v>0</v>
      </c>
      <c r="Y28" s="187">
        <f>Tierb!P28</f>
        <v>0</v>
      </c>
      <c r="Z28" s="532">
        <f>Tierb!Q28</f>
        <v>0</v>
      </c>
      <c r="AA28" s="530">
        <f>Tierb!R28</f>
        <v>0</v>
      </c>
      <c r="AB28" s="614">
        <f t="shared" si="7"/>
        <v>0</v>
      </c>
      <c r="AC28" s="509"/>
      <c r="AD28" s="509">
        <f>Tierb!J28*Tierb!K28/365</f>
        <v>0</v>
      </c>
      <c r="AE28" s="209">
        <f>Tierb!H28</f>
        <v>0.33</v>
      </c>
      <c r="AF28" s="209">
        <f t="shared" si="11"/>
        <v>0.8</v>
      </c>
      <c r="AH28" s="2202"/>
      <c r="AJ28" s="57"/>
      <c r="AK28" s="57"/>
      <c r="AL28" s="57"/>
      <c r="AM28" s="57"/>
      <c r="AN28" s="57"/>
      <c r="AO28" s="57"/>
      <c r="AX28" s="3381"/>
      <c r="AY28" s="683"/>
      <c r="AZ28" s="683"/>
      <c r="BA28" s="683"/>
      <c r="BB28" s="683"/>
      <c r="BC28" s="683"/>
      <c r="BD28" s="683"/>
      <c r="BE28" s="683"/>
      <c r="BF28" s="3382"/>
      <c r="BH28" s="3385"/>
      <c r="BI28" s="683"/>
      <c r="BJ28" s="683"/>
      <c r="BK28" s="683"/>
      <c r="BL28" s="3386"/>
    </row>
    <row r="29" spans="1:71" ht="15" customHeight="1">
      <c r="A29" s="681">
        <f>Tierb!A29</f>
        <v>172</v>
      </c>
      <c r="B29" s="596" t="str">
        <f>D_Klick!B242</f>
        <v>Rindviehmast, Weidemast, über 4 Monate</v>
      </c>
      <c r="C29" s="159"/>
      <c r="D29" s="168"/>
      <c r="E29" s="830"/>
      <c r="F29" s="158" t="str">
        <f>Texte!A3731</f>
        <v>Platz</v>
      </c>
      <c r="G29" s="184">
        <f>Tierb!G29</f>
        <v>0</v>
      </c>
      <c r="H29" s="184">
        <f>Tierb!L29</f>
        <v>0</v>
      </c>
      <c r="I29" s="184">
        <f t="shared" si="3"/>
        <v>6.5753424657534243</v>
      </c>
      <c r="J29" s="184">
        <v>24</v>
      </c>
      <c r="K29" s="187">
        <f t="shared" si="10"/>
        <v>0</v>
      </c>
      <c r="L29" s="187">
        <f>IF(Tierb!J29*Tierb!K29 &lt; 0,ABS(Tierb!J29),0)</f>
        <v>0</v>
      </c>
      <c r="M29" s="187">
        <f>IF(Tierb!J29*Tierb!K29 &lt; 0,ABS(Tierb!K29),0)</f>
        <v>0</v>
      </c>
      <c r="N29" s="184">
        <f>O29/3.65</f>
        <v>6.5753424657534252</v>
      </c>
      <c r="O29" s="184">
        <f t="shared" si="9"/>
        <v>24</v>
      </c>
      <c r="P29" s="187">
        <f t="shared" si="4"/>
        <v>0</v>
      </c>
      <c r="Q29" s="184">
        <v>45</v>
      </c>
      <c r="R29" s="160">
        <f t="shared" si="5"/>
        <v>36</v>
      </c>
      <c r="S29" s="532">
        <v>18</v>
      </c>
      <c r="T29" s="532">
        <v>65</v>
      </c>
      <c r="U29" s="532">
        <v>5</v>
      </c>
      <c r="V29" s="187">
        <f>Tierb!N29</f>
        <v>0</v>
      </c>
      <c r="W29" s="530">
        <f>Tierb!O29</f>
        <v>0</v>
      </c>
      <c r="X29" s="614">
        <f t="shared" si="6"/>
        <v>0</v>
      </c>
      <c r="Y29" s="187">
        <f>Tierb!P29</f>
        <v>0</v>
      </c>
      <c r="Z29" s="532">
        <f>Tierb!Q29</f>
        <v>0</v>
      </c>
      <c r="AA29" s="530">
        <f>Tierb!R29</f>
        <v>0</v>
      </c>
      <c r="AB29" s="614">
        <f t="shared" si="7"/>
        <v>0</v>
      </c>
      <c r="AC29" s="509"/>
      <c r="AD29" s="509">
        <f>Tierb!J29*Tierb!K29/365</f>
        <v>0</v>
      </c>
      <c r="AE29" s="209">
        <f>Tierb!H29</f>
        <v>0.34814432989690725</v>
      </c>
      <c r="AF29" s="209">
        <f t="shared" si="11"/>
        <v>0.8</v>
      </c>
      <c r="AH29" s="2202"/>
      <c r="AJ29" s="57"/>
      <c r="AK29" s="57"/>
      <c r="AL29" s="57"/>
      <c r="AM29" s="57"/>
      <c r="AN29" s="57"/>
      <c r="AO29" s="57"/>
      <c r="AX29" s="3381"/>
      <c r="AY29" s="683"/>
      <c r="AZ29" s="683"/>
      <c r="BA29" s="683"/>
      <c r="BB29" s="197"/>
      <c r="BC29" s="509"/>
      <c r="BD29" s="683"/>
      <c r="BE29" s="683"/>
      <c r="BF29" s="3382"/>
      <c r="BH29" s="3385"/>
      <c r="BI29" s="683"/>
      <c r="BJ29" s="683"/>
      <c r="BK29" s="683"/>
      <c r="BL29" s="3386"/>
    </row>
    <row r="30" spans="1:71" ht="15" customHeight="1">
      <c r="A30" s="681">
        <f>Tierb!A30</f>
        <v>180</v>
      </c>
      <c r="B30" s="596" t="str">
        <f>D_Klick!B243</f>
        <v/>
      </c>
      <c r="C30" s="159"/>
      <c r="D30" s="159"/>
      <c r="E30" s="159"/>
      <c r="F30" s="158" t="str">
        <f>IF(Tierb!F30="","",Tierb!F30)</f>
        <v>Platz</v>
      </c>
      <c r="G30" s="184">
        <f>Tierb!G30</f>
        <v>0</v>
      </c>
      <c r="H30" s="184">
        <f>Tierb!L30</f>
        <v>0</v>
      </c>
      <c r="I30" s="184">
        <f t="shared" si="3"/>
        <v>0</v>
      </c>
      <c r="J30" s="184"/>
      <c r="K30" s="187">
        <f t="shared" si="10"/>
        <v>0</v>
      </c>
      <c r="L30" s="622">
        <f>IF(Tierb!J30*Tierb!K30 &lt; 0,ABS(Tierb!J30),0)</f>
        <v>0</v>
      </c>
      <c r="M30" s="622">
        <f>IF(Tierb!J30*Tierb!K30 &lt; 0,ABS(Tierb!K30),0)</f>
        <v>0</v>
      </c>
      <c r="N30" s="622">
        <f>StartZelle</f>
        <v>0</v>
      </c>
      <c r="O30" s="622">
        <f t="shared" si="9"/>
        <v>0</v>
      </c>
      <c r="P30" s="623">
        <f t="shared" si="4"/>
        <v>0</v>
      </c>
      <c r="Q30" s="184"/>
      <c r="R30" s="160"/>
      <c r="S30" s="532"/>
      <c r="T30" s="532"/>
      <c r="U30" s="834"/>
      <c r="V30" s="187">
        <f>Tierb!N30</f>
        <v>0</v>
      </c>
      <c r="W30" s="530">
        <f>Tierb!O30</f>
        <v>0</v>
      </c>
      <c r="X30" s="614">
        <f t="shared" si="6"/>
        <v>0</v>
      </c>
      <c r="Y30" s="187">
        <f>Tierb!P30</f>
        <v>0</v>
      </c>
      <c r="Z30" s="532">
        <f>Tierb!Q30</f>
        <v>0</v>
      </c>
      <c r="AA30" s="530">
        <f>Tierb!R30</f>
        <v>0</v>
      </c>
      <c r="AB30" s="614">
        <f t="shared" si="7"/>
        <v>0</v>
      </c>
      <c r="AC30" s="509"/>
      <c r="AD30" s="509">
        <f>Tierb!J30*Tierb!K30/365</f>
        <v>0</v>
      </c>
      <c r="AE30" s="209">
        <f>Tierb!H30</f>
        <v>0</v>
      </c>
      <c r="AF30" s="209">
        <f>IFERROR(R30/Q30,0)</f>
        <v>0</v>
      </c>
      <c r="AG30" s="209"/>
      <c r="AH30" s="199" t="s">
        <v>7746</v>
      </c>
      <c r="AI30" s="57"/>
      <c r="AJ30" s="57"/>
      <c r="AK30" s="197"/>
      <c r="AL30" s="223"/>
      <c r="AM30" s="223"/>
      <c r="AN30" s="223"/>
      <c r="AO30" s="223"/>
      <c r="AP30" s="223"/>
      <c r="AQ30" s="223"/>
      <c r="AR30" s="223"/>
      <c r="AS30" s="223"/>
      <c r="AT30" s="223"/>
      <c r="AU30" s="223"/>
      <c r="AV30" s="223"/>
      <c r="AX30" s="3381"/>
      <c r="AY30" s="683"/>
      <c r="AZ30" s="683"/>
      <c r="BA30" s="683"/>
      <c r="BB30" s="683"/>
      <c r="BC30" s="683"/>
      <c r="BD30" s="683"/>
      <c r="BE30" s="683"/>
      <c r="BF30" s="3382"/>
      <c r="BH30" s="3385"/>
      <c r="BI30" s="683"/>
      <c r="BJ30" s="683"/>
      <c r="BK30" s="683"/>
      <c r="BL30" s="3386"/>
      <c r="BQ30" s="959"/>
      <c r="BR30" s="959"/>
    </row>
    <row r="31" spans="1:71" ht="15" customHeight="1">
      <c r="A31" s="681">
        <f>Tierb!A31</f>
        <v>184</v>
      </c>
      <c r="B31" s="596" t="str">
        <f>D_Klick!B244</f>
        <v/>
      </c>
      <c r="C31" s="197"/>
      <c r="D31" s="197"/>
      <c r="E31" s="197"/>
      <c r="F31" s="158" t="str">
        <f>IF(Tierb!F31="","",Tierb!F31)</f>
        <v>Platz</v>
      </c>
      <c r="G31" s="184">
        <f>Tierb!G31</f>
        <v>0</v>
      </c>
      <c r="H31" s="184">
        <f>Tierb!L31</f>
        <v>0</v>
      </c>
      <c r="I31" s="3329">
        <f t="shared" si="3"/>
        <v>0</v>
      </c>
      <c r="J31" s="3334"/>
      <c r="K31" s="3330">
        <f t="shared" si="10"/>
        <v>0</v>
      </c>
      <c r="L31" s="187">
        <f>IF(Tierb!J31*Tierb!K31 &lt; 0,ABS(Tierb!J31),0)</f>
        <v>0</v>
      </c>
      <c r="M31" s="187">
        <f>IF(Tierb!J31*Tierb!K31 &lt; 0,ABS(Tierb!K31),0)</f>
        <v>0</v>
      </c>
      <c r="N31" s="3329">
        <f>I31</f>
        <v>0</v>
      </c>
      <c r="O31" s="3329">
        <f t="shared" si="9"/>
        <v>0</v>
      </c>
      <c r="P31" s="3330">
        <f t="shared" si="4"/>
        <v>0</v>
      </c>
      <c r="Q31" s="3344"/>
      <c r="R31" s="3345"/>
      <c r="S31" s="3336"/>
      <c r="T31" s="3348"/>
      <c r="U31" s="3349"/>
      <c r="V31" s="187">
        <f>Tierb!N31</f>
        <v>0</v>
      </c>
      <c r="W31" s="530">
        <f>Tierb!O31</f>
        <v>0</v>
      </c>
      <c r="X31" s="614">
        <f t="shared" si="6"/>
        <v>0</v>
      </c>
      <c r="Y31" s="187">
        <f>Tierb!P31</f>
        <v>0</v>
      </c>
      <c r="Z31" s="532">
        <f>Tierb!Q31</f>
        <v>0</v>
      </c>
      <c r="AA31" s="530">
        <f>Tierb!R31</f>
        <v>0</v>
      </c>
      <c r="AB31" s="614">
        <f t="shared" si="7"/>
        <v>0</v>
      </c>
      <c r="AC31" s="509"/>
      <c r="AD31" s="509">
        <f>Tierb!J31*Tierb!K31/365</f>
        <v>0</v>
      </c>
      <c r="AE31" s="209">
        <f>Tierb!H31</f>
        <v>0</v>
      </c>
      <c r="AF31" s="3341">
        <f>IFERROR(R31/Q31,0)</f>
        <v>0</v>
      </c>
      <c r="AG31" s="57"/>
      <c r="AH31" s="199">
        <f>COUNT(Tierb!G9:G61)</f>
        <v>8</v>
      </c>
      <c r="AI31" s="57"/>
      <c r="AJ31" s="57"/>
      <c r="AK31" s="57"/>
      <c r="AL31" s="57"/>
      <c r="AM31" s="57"/>
      <c r="AN31" s="57"/>
      <c r="AO31" s="57"/>
      <c r="AX31" s="3381"/>
      <c r="AY31" s="683"/>
      <c r="AZ31" s="683"/>
      <c r="BA31" s="683"/>
      <c r="BB31" s="683"/>
      <c r="BC31" s="683"/>
      <c r="BD31" s="683"/>
      <c r="BE31" s="683"/>
      <c r="BF31" s="3382"/>
      <c r="BH31" s="3385"/>
      <c r="BI31" s="683"/>
      <c r="BJ31" s="683"/>
      <c r="BK31" s="683"/>
      <c r="BL31" s="3386"/>
      <c r="BQ31" s="959"/>
      <c r="BR31" s="959"/>
    </row>
    <row r="32" spans="1:71" ht="15" customHeight="1" thickBot="1">
      <c r="A32" s="3393"/>
      <c r="B32" s="115" t="str">
        <f>D_Klick!B245</f>
        <v>Mastkälber aus Import/Export Bilanz</v>
      </c>
      <c r="C32" s="598"/>
      <c r="D32" s="598"/>
      <c r="E32" s="598"/>
      <c r="F32" s="615" t="str">
        <f>Texte!A3731</f>
        <v>Platz</v>
      </c>
      <c r="G32" s="599">
        <v>1</v>
      </c>
      <c r="H32" s="599">
        <f>IF(OR(AY32="",BA32=""),0,1)</f>
        <v>0</v>
      </c>
      <c r="I32" s="184"/>
      <c r="J32" s="599">
        <f>(365*I32)*0.01</f>
        <v>0</v>
      </c>
      <c r="K32" s="601">
        <f t="shared" si="10"/>
        <v>0</v>
      </c>
      <c r="L32" s="624"/>
      <c r="M32" s="624"/>
      <c r="N32" s="624"/>
      <c r="O32" s="624"/>
      <c r="P32" s="625"/>
      <c r="Q32" s="184">
        <f>IF($H32=1,AY32-BH32,0)</f>
        <v>0</v>
      </c>
      <c r="R32" s="160">
        <f>ROUND(Q32*AF32,2)</f>
        <v>0</v>
      </c>
      <c r="S32" s="532">
        <f>IF($H32=1,BA32-BJ32,0)</f>
        <v>0</v>
      </c>
      <c r="T32" s="532"/>
      <c r="U32" s="532"/>
      <c r="V32" s="601"/>
      <c r="W32" s="618">
        <f>IF(chk_LH=1,W$25,0)</f>
        <v>0</v>
      </c>
      <c r="X32" s="617">
        <f>0.1*R32*H32*W32/365</f>
        <v>0</v>
      </c>
      <c r="Y32" s="601"/>
      <c r="Z32" s="616">
        <f>IF(chk_W=1,Z$25,0)</f>
        <v>0</v>
      </c>
      <c r="AA32" s="618">
        <f>IF(chk_W=1,AA$25,0)</f>
        <v>0</v>
      </c>
      <c r="AB32" s="617">
        <f>0.7*R32*H32*Z32*AA32/365/24</f>
        <v>0</v>
      </c>
      <c r="AC32" s="509"/>
      <c r="AD32" s="509"/>
      <c r="AE32" s="209"/>
      <c r="AF32" s="209">
        <f>factNgesRed</f>
        <v>0.8</v>
      </c>
      <c r="AG32" s="209"/>
      <c r="AI32" s="57"/>
      <c r="AJ32" s="57"/>
      <c r="AK32" s="57"/>
      <c r="AL32" s="223"/>
      <c r="AM32" s="223"/>
      <c r="AN32" s="223"/>
      <c r="AO32" s="223"/>
      <c r="AP32" s="223"/>
      <c r="AQ32" s="223"/>
      <c r="AR32" s="223"/>
      <c r="AS32" s="223"/>
      <c r="AT32" s="223"/>
      <c r="AU32" s="2313"/>
      <c r="AV32" s="223"/>
      <c r="AX32" s="127" t="str">
        <f>B32</f>
        <v>Mastkälber aus Import/Export Bilanz</v>
      </c>
      <c r="AY32" s="3387"/>
      <c r="AZ32" s="3388">
        <f>AY32*AF32</f>
        <v>0</v>
      </c>
      <c r="BA32" s="3388"/>
      <c r="BB32" s="3389" t="str">
        <f>F32</f>
        <v>Platz</v>
      </c>
      <c r="BC32" s="3390">
        <f>H32</f>
        <v>0</v>
      </c>
      <c r="BD32" s="3390"/>
      <c r="BE32" s="3391"/>
      <c r="BF32" s="3392"/>
      <c r="BG32" s="2197" t="str">
        <f>Texte!A3835</f>
        <v>Summe</v>
      </c>
      <c r="BH32" s="1224">
        <f>SUM(BH25)</f>
        <v>0</v>
      </c>
      <c r="BI32" s="1225">
        <f>SUM(BI25)</f>
        <v>0</v>
      </c>
      <c r="BJ32" s="1225">
        <f>SUM(BJ25)</f>
        <v>0</v>
      </c>
      <c r="BK32" s="1226">
        <f>SUM(BK25)</f>
        <v>0</v>
      </c>
      <c r="BL32" s="1223">
        <f>SUM(BL25)</f>
        <v>0</v>
      </c>
      <c r="BN32" s="959"/>
      <c r="BO32" s="959"/>
      <c r="BP32" s="959"/>
      <c r="BQ32" s="959"/>
      <c r="BR32" s="959"/>
      <c r="BS32" s="2241"/>
    </row>
    <row r="33" spans="1:43" ht="15" customHeight="1" thickBot="1">
      <c r="B33" s="2258" t="str">
        <f>Texte!A3757</f>
        <v>Tiere der Pferdegattung (Equiden)</v>
      </c>
      <c r="C33" s="2259"/>
      <c r="D33" s="2259"/>
      <c r="E33" s="2259"/>
      <c r="F33" s="2259"/>
      <c r="G33" s="2260"/>
      <c r="H33" s="2260"/>
      <c r="I33" s="2260"/>
      <c r="J33" s="2260"/>
      <c r="K33" s="3368"/>
      <c r="L33" s="3368"/>
      <c r="M33" s="3368"/>
      <c r="N33" s="2260"/>
      <c r="O33" s="2260"/>
      <c r="P33" s="3368"/>
      <c r="Q33" s="3368"/>
      <c r="R33" s="2263"/>
      <c r="S33" s="3368"/>
      <c r="T33" s="3368"/>
      <c r="U33" s="2260"/>
      <c r="V33" s="3368"/>
      <c r="W33" s="2260"/>
      <c r="X33" s="2260"/>
      <c r="Y33" s="3368"/>
      <c r="Z33" s="2260"/>
      <c r="AA33" s="2260"/>
      <c r="AB33" s="2260"/>
      <c r="AC33" s="509"/>
      <c r="AD33" s="509"/>
      <c r="AE33" s="209"/>
      <c r="AF33" s="209"/>
      <c r="AG33" s="209"/>
      <c r="AI33" s="57"/>
      <c r="AJ33" s="57"/>
      <c r="AK33" s="57"/>
      <c r="AL33" s="57"/>
      <c r="AM33" s="57"/>
      <c r="AN33" s="2240"/>
      <c r="AO33" s="57"/>
      <c r="AP33" s="57"/>
      <c r="AQ33" s="57"/>
    </row>
    <row r="34" spans="1:43" ht="15" customHeight="1">
      <c r="A34" s="681">
        <f>D_Klick!I94</f>
        <v>200</v>
      </c>
      <c r="B34" s="603" t="str">
        <f>Texte!A3758</f>
        <v>Pferde &gt; 148 cm, über 180-tägig</v>
      </c>
      <c r="C34" s="604"/>
      <c r="D34" s="604"/>
      <c r="E34" s="2006">
        <f>Tierb!E33</f>
        <v>0</v>
      </c>
      <c r="F34" s="605" t="str">
        <f>Texte!A3731</f>
        <v>Platz</v>
      </c>
      <c r="G34" s="606">
        <f>SUMIF(Tierb!N_Equid,$A34,Tierb!G$33:G$38)</f>
        <v>5</v>
      </c>
      <c r="H34" s="606">
        <f>SUMIF(Tierb!N_Equid,$A34,Tierb!L$33:L$38)</f>
        <v>5</v>
      </c>
      <c r="I34" s="606">
        <f t="shared" ref="I34:I39" si="15">J34/365*100</f>
        <v>7.6712328767123292</v>
      </c>
      <c r="J34" s="606">
        <v>28</v>
      </c>
      <c r="K34" s="607">
        <f t="shared" ref="K34:K39" si="16">H34*J34</f>
        <v>140</v>
      </c>
      <c r="L34" s="607">
        <f>IF(ABS(SUMIF(Tierb!N_Equid,$A34,Tierb!J$33:J$38))&gt;0,ABS(SUMIF(Tierb!N_Equid,$A34,Tierb!J$33:J$38)),0)</f>
        <v>0</v>
      </c>
      <c r="M34" s="607">
        <f>IF(ABS(L34)&gt;0,-SUMIF(Tierb!N_Equid,$A34,Tierb!AM$33:AM$38)/L34,0)</f>
        <v>0</v>
      </c>
      <c r="N34" s="606">
        <f t="shared" ref="N34:O37" si="17">I34</f>
        <v>7.6712328767123292</v>
      </c>
      <c r="O34" s="606">
        <f t="shared" si="17"/>
        <v>28</v>
      </c>
      <c r="P34" s="607">
        <f t="shared" si="4"/>
        <v>0</v>
      </c>
      <c r="Q34" s="606">
        <v>43</v>
      </c>
      <c r="R34" s="2188">
        <f>ROUND(Q34*AF34,2)</f>
        <v>30.1</v>
      </c>
      <c r="S34" s="613">
        <v>21</v>
      </c>
      <c r="T34" s="613">
        <v>72</v>
      </c>
      <c r="U34" s="613">
        <v>4.5</v>
      </c>
      <c r="V34" s="607">
        <f>SUMIF(Tierb!N_Equid,$A34,Tierb!N$33:N$38)</f>
        <v>5</v>
      </c>
      <c r="W34" s="608">
        <f>IF(ABS(V34)&gt;0,SUMIF(Tierb!N_Equid,$A34,Tierb!AN$33:AN$38)/V34,0)</f>
        <v>90</v>
      </c>
      <c r="X34" s="621">
        <f t="shared" ref="X34:X39" si="18">(R34*V34*W34*0.1)/365</f>
        <v>3.7109589041095892</v>
      </c>
      <c r="Y34" s="607">
        <f>SUMIF(Tierb!N_Equid,$A34,Tierb!P$33:P$38)</f>
        <v>5</v>
      </c>
      <c r="Z34" s="608">
        <f>IF(ABS($Y34)&gt;0,SUMIF(Tierb!N_Equid,$A34,Tierb!AO$33:AO$38)/$Y34,0)</f>
        <v>4</v>
      </c>
      <c r="AA34" s="608">
        <f>IF(ABS($Y34)&gt;0,SUMIF(Tierb!N_Equid,$A34,Tierb!AP$33:AP$38)/$Y34,0)</f>
        <v>100</v>
      </c>
      <c r="AB34" s="621">
        <f t="shared" ref="AB34:AB39" si="19">(R34*Y34*Z34*AA34)/(24*365)</f>
        <v>6.872146118721461</v>
      </c>
      <c r="AC34" s="509"/>
      <c r="AD34" s="509">
        <f>SUMIF(Tierb!N_Equid,$A34,Tierb!J$33:J$38)*SUMIF(Tierb!N_Equid,$A34,Tierb!K$33:K$38)/365</f>
        <v>0</v>
      </c>
      <c r="AE34" s="209">
        <f>IF(ISERROR(VLOOKUP($A34,Tierb!$A$33:$H$38,8,FALSE)),0,VLOOKUP($A34,Tierb!$A$33:$H$38,8,FALSE))</f>
        <v>0.7</v>
      </c>
      <c r="AF34" s="209">
        <v>0.7</v>
      </c>
      <c r="AG34" s="57"/>
      <c r="AI34" s="57"/>
      <c r="AJ34" s="57"/>
      <c r="AK34" s="57"/>
      <c r="AL34" s="57"/>
      <c r="AM34" s="57"/>
      <c r="AN34" s="57"/>
      <c r="AO34" s="57"/>
    </row>
    <row r="35" spans="1:43" ht="15" customHeight="1">
      <c r="A35" s="681">
        <f>D_Klick!I102</f>
        <v>210</v>
      </c>
      <c r="B35" s="596" t="str">
        <f>Texte!A3759</f>
        <v>Pferde &gt; 148 cm, bis 180-tägig</v>
      </c>
      <c r="C35" s="159"/>
      <c r="D35" s="92"/>
      <c r="E35" s="76">
        <f>Tierb!E34</f>
        <v>0</v>
      </c>
      <c r="F35" s="158" t="str">
        <f>Texte!A3731</f>
        <v>Platz</v>
      </c>
      <c r="G35" s="184">
        <f>SUMIF(Tierb!N_Equid,$A35,Tierb!G$33:G$38)</f>
        <v>0</v>
      </c>
      <c r="H35" s="184">
        <f>SUMIF(Tierb!N_Equid,$A35,Tierb!L$33:L$38)</f>
        <v>0</v>
      </c>
      <c r="I35" s="184">
        <f t="shared" si="15"/>
        <v>1.3698630136986301</v>
      </c>
      <c r="J35" s="184">
        <v>5</v>
      </c>
      <c r="K35" s="187">
        <f t="shared" si="16"/>
        <v>0</v>
      </c>
      <c r="L35" s="187">
        <f>IF(ABS(SUMIF(Tierb!N_Equid,$A35,Tierb!J$33:J$38))&gt;0,ABS(SUMIF(Tierb!N_Equid,$A35,Tierb!J$33:J$38)),0)</f>
        <v>0</v>
      </c>
      <c r="M35" s="187">
        <f>IF(ABS(L35)&gt;0,-SUMIF(Tierb!N_Equid,$A35,Tierb!AM$33:AM$38)/L35,0)</f>
        <v>0</v>
      </c>
      <c r="N35" s="184">
        <f t="shared" si="17"/>
        <v>1.3698630136986301</v>
      </c>
      <c r="O35" s="184">
        <f t="shared" si="17"/>
        <v>5</v>
      </c>
      <c r="P35" s="187">
        <f t="shared" si="4"/>
        <v>0</v>
      </c>
      <c r="Q35" s="184">
        <v>28</v>
      </c>
      <c r="R35" s="160">
        <f>ROUND(Q35*AF35,2)</f>
        <v>19.600000000000001</v>
      </c>
      <c r="S35" s="532">
        <v>9</v>
      </c>
      <c r="T35" s="532">
        <v>26</v>
      </c>
      <c r="U35" s="532">
        <v>1.6</v>
      </c>
      <c r="V35" s="187">
        <f>SUMIF(Tierb!N_Equid,$A35,Tierb!N$33:N$38)</f>
        <v>0</v>
      </c>
      <c r="W35" s="530">
        <f>IF(ABS(V35)&gt;0,SUMIF(Tierb!N_Equid,$A35,Tierb!AN$33:AN$38)/V35,0)</f>
        <v>0</v>
      </c>
      <c r="X35" s="614">
        <f t="shared" si="18"/>
        <v>0</v>
      </c>
      <c r="Y35" s="187">
        <f>SUMIF(Tierb!N_Equid,$A35,Tierb!P$33:P$38)</f>
        <v>0</v>
      </c>
      <c r="Z35" s="532">
        <f>IF(ABS($Y35)&gt;0,SUMIF(Tierb!N_Equid,$A35,Tierb!AO$33:AO$38)/$Y35,0)</f>
        <v>0</v>
      </c>
      <c r="AA35" s="530">
        <f>IF(ABS($Y35)&gt;0,SUMIF(Tierb!N_Equid,$A35,Tierb!AP$33:AP$38)/$Y35,0)</f>
        <v>0</v>
      </c>
      <c r="AB35" s="614">
        <f t="shared" si="19"/>
        <v>0</v>
      </c>
      <c r="AC35" s="509"/>
      <c r="AD35" s="509">
        <f>SUMIF(Tierb!N_Equid,$A35,Tierb!J$33:J$38)*SUMIF(Tierb!N_Equid,$A35,Tierb!K$33:K$38)/365</f>
        <v>0</v>
      </c>
      <c r="AE35" s="209">
        <f>IF(ISERROR(VLOOKUP($A35,Tierb!$A$33:$H$38,8,FALSE)),0,VLOOKUP($A35,Tierb!$A$33:$H$38,8,FALSE))</f>
        <v>0</v>
      </c>
      <c r="AF35" s="209">
        <v>0.7</v>
      </c>
      <c r="AG35" s="57"/>
      <c r="AI35" s="57"/>
      <c r="AJ35" s="57"/>
      <c r="AK35" s="57"/>
      <c r="AL35" s="57"/>
      <c r="AM35" s="57"/>
      <c r="AN35" s="57"/>
      <c r="AO35" s="57"/>
    </row>
    <row r="36" spans="1:43" ht="15" customHeight="1">
      <c r="A36" s="681">
        <f>D_Klick!I95</f>
        <v>220</v>
      </c>
      <c r="B36" s="596" t="str">
        <f>Texte!A3760</f>
        <v>Maultiere, Maulesel, über 180-tägig, unabh. von Widerristhöhe</v>
      </c>
      <c r="C36" s="159"/>
      <c r="D36" s="159"/>
      <c r="E36" s="76">
        <f>Tierb!E35</f>
        <v>0</v>
      </c>
      <c r="F36" s="158" t="str">
        <f>Texte!A3731</f>
        <v>Platz</v>
      </c>
      <c r="G36" s="184">
        <f>SUMIF(Tierb!N_Equid,$A36,Tierb!G$33:G$38)</f>
        <v>0</v>
      </c>
      <c r="H36" s="184">
        <f>SUMIF(Tierb!N_Equid,$A36,Tierb!L$33:L$38)</f>
        <v>0</v>
      </c>
      <c r="I36" s="184">
        <f t="shared" si="15"/>
        <v>4.6575342465753424</v>
      </c>
      <c r="J36" s="184">
        <v>17</v>
      </c>
      <c r="K36" s="187">
        <f t="shared" si="16"/>
        <v>0</v>
      </c>
      <c r="L36" s="187">
        <f>IF(ABS(SUMIF(Tierb!N_Equid,$A36,Tierb!J$33:J$38))&gt;0,ABS(SUMIF(Tierb!N_Equid,$A36,Tierb!J$33:J$38)),0)</f>
        <v>0</v>
      </c>
      <c r="M36" s="187">
        <f>IF(ABS(L36)&gt;0,-SUMIF(Tierb!N_Equid,$A36,Tierb!AM$33:AM$38)/L36,0)</f>
        <v>0</v>
      </c>
      <c r="N36" s="184">
        <f t="shared" si="17"/>
        <v>4.6575342465753424</v>
      </c>
      <c r="O36" s="184">
        <f t="shared" si="17"/>
        <v>17</v>
      </c>
      <c r="P36" s="187">
        <f t="shared" si="4"/>
        <v>0</v>
      </c>
      <c r="Q36" s="184">
        <v>26</v>
      </c>
      <c r="R36" s="160">
        <f>ROUND(Q36*AF36,2)</f>
        <v>18.2</v>
      </c>
      <c r="S36" s="532">
        <v>13</v>
      </c>
      <c r="T36" s="532">
        <v>43</v>
      </c>
      <c r="U36" s="532">
        <v>3</v>
      </c>
      <c r="V36" s="187">
        <f>SUMIF(Tierb!N_Equid,$A36,Tierb!N$33:N$38)</f>
        <v>0</v>
      </c>
      <c r="W36" s="530">
        <f>IF(ABS(V36)&gt;0,SUMIF(Tierb!N_Equid,$A36,Tierb!AN$33:AN$38)/V36,0)</f>
        <v>0</v>
      </c>
      <c r="X36" s="614">
        <f t="shared" si="18"/>
        <v>0</v>
      </c>
      <c r="Y36" s="187">
        <f>SUMIF(Tierb!N_Equid,$A36,Tierb!P$33:P$38)</f>
        <v>0</v>
      </c>
      <c r="Z36" s="532">
        <f>IF(ABS($Y36)&gt;0,SUMIF(Tierb!N_Equid,$A36,Tierb!AO$33:AO$38)/$Y36,0)</f>
        <v>0</v>
      </c>
      <c r="AA36" s="530">
        <f>IF(ABS($Y36)&gt;0,SUMIF(Tierb!N_Equid,$A36,Tierb!AP$33:AP$38)/$Y36,0)</f>
        <v>0</v>
      </c>
      <c r="AB36" s="614">
        <f t="shared" si="19"/>
        <v>0</v>
      </c>
      <c r="AC36" s="509"/>
      <c r="AD36" s="509">
        <f>SUMIF(Tierb!N_Equid,$A36,Tierb!J$33:J$38)*SUMIF(Tierb!N_Equid,$A36,Tierb!K$33:K$38)/365</f>
        <v>0</v>
      </c>
      <c r="AE36" s="209">
        <f>IF(ISERROR(VLOOKUP($A36,Tierb!$A$33:$H$38,8,FALSE)),0,VLOOKUP($A36,Tierb!$A$33:$H$38,8,FALSE))</f>
        <v>0</v>
      </c>
      <c r="AF36" s="209">
        <v>0.7</v>
      </c>
      <c r="AG36" s="57"/>
      <c r="AI36" s="57"/>
      <c r="AJ36" s="57"/>
      <c r="AK36" s="57"/>
      <c r="AL36" s="57"/>
      <c r="AM36" s="57"/>
      <c r="AN36" s="57"/>
      <c r="AO36" s="57"/>
    </row>
    <row r="37" spans="1:43" ht="15" customHeight="1">
      <c r="A37" s="681">
        <f>D_Klick!I103</f>
        <v>230</v>
      </c>
      <c r="B37" s="596" t="str">
        <f>Texte!A3761</f>
        <v>Maultiere, Maulesel, bis 180-tägig, unabh. von Widerristhöhe</v>
      </c>
      <c r="C37" s="159"/>
      <c r="D37" s="159"/>
      <c r="E37" s="76">
        <f>Tierb!E36</f>
        <v>0</v>
      </c>
      <c r="F37" s="158" t="str">
        <f>Texte!A3731</f>
        <v>Platz</v>
      </c>
      <c r="G37" s="184">
        <f>SUMIF(Tierb!N_Equid,$A37,Tierb!G$33:G$38)</f>
        <v>0</v>
      </c>
      <c r="H37" s="184">
        <f>SUMIF(Tierb!N_Equid,$A37,Tierb!L$33:L$38)</f>
        <v>0</v>
      </c>
      <c r="I37" s="184">
        <f t="shared" si="15"/>
        <v>0.82191780821917804</v>
      </c>
      <c r="J37" s="184">
        <v>3</v>
      </c>
      <c r="K37" s="187">
        <f t="shared" si="16"/>
        <v>0</v>
      </c>
      <c r="L37" s="187">
        <f>IF(ABS(SUMIF(Tierb!N_Equid,$A37,Tierb!J$33:J$38))&gt;0,ABS(SUMIF(Tierb!N_Equid,$A37,Tierb!J$33:J$38)),0)</f>
        <v>0</v>
      </c>
      <c r="M37" s="187">
        <f>IF(ABS(L37)&gt;0,-SUMIF(Tierb!N_Equid,$A37,Tierb!AM$33:AM$38)/L37,0)</f>
        <v>0</v>
      </c>
      <c r="N37" s="184">
        <f t="shared" si="17"/>
        <v>0.82191780821917804</v>
      </c>
      <c r="O37" s="184">
        <f t="shared" si="17"/>
        <v>3</v>
      </c>
      <c r="P37" s="187">
        <f t="shared" si="4"/>
        <v>0</v>
      </c>
      <c r="Q37" s="184">
        <v>14</v>
      </c>
      <c r="R37" s="160">
        <f>ROUND(Q37*AF37,2)</f>
        <v>9.8000000000000007</v>
      </c>
      <c r="S37" s="532">
        <v>8.1999999999999993</v>
      </c>
      <c r="T37" s="532">
        <v>16</v>
      </c>
      <c r="U37" s="532">
        <v>1</v>
      </c>
      <c r="V37" s="187">
        <f>SUMIF(Tierb!N_Equid,$A37,Tierb!N$33:N$38)</f>
        <v>0</v>
      </c>
      <c r="W37" s="530">
        <f>IF(ABS(V37)&gt;0,SUMIF(Tierb!N_Equid,$A37,Tierb!AN$33:AN$38)/V37,0)</f>
        <v>0</v>
      </c>
      <c r="X37" s="614">
        <f t="shared" si="18"/>
        <v>0</v>
      </c>
      <c r="Y37" s="187">
        <f>SUMIF(Tierb!N_Equid,$A37,Tierb!P$33:P$38)</f>
        <v>0</v>
      </c>
      <c r="Z37" s="532">
        <f>IF(ABS($Y37)&gt;0,SUMIF(Tierb!N_Equid,$A37,Tierb!AO$33:AO$38)/$Y37,0)</f>
        <v>0</v>
      </c>
      <c r="AA37" s="530">
        <f>IF(ABS($Y37)&gt;0,SUMIF(Tierb!N_Equid,$A37,Tierb!AP$33:AP$38)/$Y37,0)</f>
        <v>0</v>
      </c>
      <c r="AB37" s="614">
        <f t="shared" si="19"/>
        <v>0</v>
      </c>
      <c r="AC37" s="509"/>
      <c r="AD37" s="509">
        <f>SUMIF(Tierb!N_Equid,$A37,Tierb!J$33:J$38)*SUMIF(Tierb!N_Equid,$A37,Tierb!K$33:K$38)/365</f>
        <v>0</v>
      </c>
      <c r="AE37" s="209">
        <f>IF(ISERROR(VLOOKUP($A37,Tierb!$A$33:$H$38,8,FALSE)),0,VLOOKUP($A37,Tierb!$A$33:$H$38,8,FALSE))</f>
        <v>0</v>
      </c>
      <c r="AF37" s="209">
        <v>0.7</v>
      </c>
      <c r="AG37" s="57"/>
      <c r="AI37" s="57"/>
      <c r="AJ37" s="57"/>
      <c r="AK37" s="57"/>
      <c r="AL37" s="57"/>
      <c r="AM37" s="57"/>
      <c r="AN37" s="57"/>
      <c r="AO37" s="57"/>
    </row>
    <row r="38" spans="1:43" ht="15" customHeight="1" thickBot="1">
      <c r="A38" s="681">
        <f>D_Klick!I107</f>
        <v>240</v>
      </c>
      <c r="B38" s="596" t="str">
        <f>Texte!A3762</f>
        <v>Ponys, Kleinpferde, Esel, jeden Alters, bis 148 cm</v>
      </c>
      <c r="C38" s="159"/>
      <c r="D38" s="159"/>
      <c r="E38" s="76">
        <f>Tierb!E37</f>
        <v>0</v>
      </c>
      <c r="F38" s="158" t="str">
        <f>Texte!A3731</f>
        <v>Platz</v>
      </c>
      <c r="G38" s="184">
        <f>SUMIF(Tierb!N_Equid,$A38,Tierb!G$33:G$38)</f>
        <v>4</v>
      </c>
      <c r="H38" s="184">
        <f>SUMIF(Tierb!N_Equid,$A38,Tierb!L$33:L$38)</f>
        <v>4</v>
      </c>
      <c r="I38" s="184">
        <f t="shared" si="15"/>
        <v>2.849315068493151</v>
      </c>
      <c r="J38" s="184">
        <v>10.4</v>
      </c>
      <c r="K38" s="187">
        <f t="shared" si="16"/>
        <v>41.6</v>
      </c>
      <c r="L38" s="187">
        <f>IF(ABS(SUMIF(Tierb!N_Equid,$A38,Tierb!J$33:J$38))&gt;0,ABS(SUMIF(Tierb!N_Equid,$A38,Tierb!J$33:J$38)),0)</f>
        <v>0</v>
      </c>
      <c r="M38" s="187">
        <f>IF(ABS(L38)&gt;0,-SUMIF(Tierb!N_Equid,$A38,Tierb!AM$33:AM$38)/L38,0)</f>
        <v>0</v>
      </c>
      <c r="N38" s="184">
        <f>I38</f>
        <v>2.849315068493151</v>
      </c>
      <c r="O38" s="184">
        <f>J38</f>
        <v>10.4</v>
      </c>
      <c r="P38" s="187">
        <f t="shared" si="4"/>
        <v>0</v>
      </c>
      <c r="Q38" s="184">
        <v>15.7</v>
      </c>
      <c r="R38" s="160">
        <f>ROUND(Q38*AF38,2)</f>
        <v>10.99</v>
      </c>
      <c r="S38" s="532">
        <v>8.1999999999999993</v>
      </c>
      <c r="T38" s="532">
        <v>26.8</v>
      </c>
      <c r="U38" s="532">
        <v>1.8</v>
      </c>
      <c r="V38" s="187">
        <f>SUMIF(Tierb!N_Equid,$A38,Tierb!N$33:N$38)</f>
        <v>4</v>
      </c>
      <c r="W38" s="530">
        <f>IF(ABS(V38)&gt;0,SUMIF(Tierb!N_Equid,$A38,Tierb!AN$33:AN$38)/V38,0)</f>
        <v>90</v>
      </c>
      <c r="X38" s="614">
        <f t="shared" si="18"/>
        <v>1.0839452054794523</v>
      </c>
      <c r="Y38" s="187">
        <f>SUMIF(Tierb!N_Equid,$A38,Tierb!P$33:P$38)</f>
        <v>4</v>
      </c>
      <c r="Z38" s="532">
        <f>IF(ABS($Y38)&gt;0,SUMIF(Tierb!N_Equid,$A38,Tierb!AO$33:AO$38)/$Y38,0)</f>
        <v>4</v>
      </c>
      <c r="AA38" s="530">
        <f>IF(ABS($Y38)&gt;0,SUMIF(Tierb!N_Equid,$A38,Tierb!AP$33:AP$38)/$Y38,0)</f>
        <v>100</v>
      </c>
      <c r="AB38" s="614">
        <f t="shared" si="19"/>
        <v>2.0073059360730592</v>
      </c>
      <c r="AC38" s="509"/>
      <c r="AD38" s="509">
        <f>SUMIF(Tierb!N_Equid,$A38,Tierb!J$33:J$38)*SUMIF(Tierb!N_Equid,$A38,Tierb!K$33:K$38)/365</f>
        <v>0</v>
      </c>
      <c r="AE38" s="209">
        <f>IF(ISERROR(VLOOKUP($A38,Tierb!$A$33:$H$38,8,FALSE)),0,VLOOKUP($A38,Tierb!$A$33:$H$38,8,FALSE))</f>
        <v>0.35</v>
      </c>
      <c r="AF38" s="209">
        <v>0.7</v>
      </c>
      <c r="AG38" s="57"/>
      <c r="AI38" s="57"/>
      <c r="AJ38" s="57"/>
      <c r="AK38" s="57"/>
      <c r="AL38" s="57"/>
      <c r="AM38" s="57"/>
      <c r="AN38" s="57"/>
      <c r="AO38" s="57"/>
    </row>
    <row r="39" spans="1:43" ht="15" hidden="1" customHeight="1" thickBot="1">
      <c r="A39" s="681">
        <f>D_Klick!I120</f>
        <v>250</v>
      </c>
      <c r="B39" s="2053" t="str">
        <f>D_Klick!B252</f>
        <v/>
      </c>
      <c r="C39" s="159"/>
      <c r="D39" s="159"/>
      <c r="E39" s="76">
        <f>Tierb!E38</f>
        <v>0</v>
      </c>
      <c r="F39" s="158" t="str">
        <f>Texte!A3731</f>
        <v>Platz</v>
      </c>
      <c r="G39" s="184">
        <f>SUMIF(Tierb!N_Equid,$A39,Tierb!G$33:G$38)</f>
        <v>0</v>
      </c>
      <c r="H39" s="184">
        <f>SUMIF(Tierb!N_Equid,$A39,Tierb!L$33:L$38)</f>
        <v>0</v>
      </c>
      <c r="I39" s="184">
        <f t="shared" si="15"/>
        <v>0</v>
      </c>
      <c r="J39" s="184"/>
      <c r="K39" s="187">
        <f t="shared" si="16"/>
        <v>0</v>
      </c>
      <c r="L39" s="601">
        <f>IF(ABS(SUMIF(Tierb!N_Equid,$A39,Tierb!J$33:J$38))&gt;0,ABS(SUMIF(Tierb!N_Equid,$A39,Tierb!J$33:J$38)),0)</f>
        <v>0</v>
      </c>
      <c r="M39" s="601">
        <f>IF(ABS(L39)&gt;0,-SUMIF(Tierb!N_Equid,$A39,Tierb!AM$33:AM$38)/L39,0)</f>
        <v>0</v>
      </c>
      <c r="N39" s="184">
        <f>I39</f>
        <v>0</v>
      </c>
      <c r="O39" s="184">
        <f>J39</f>
        <v>0</v>
      </c>
      <c r="P39" s="187">
        <f t="shared" si="4"/>
        <v>0</v>
      </c>
      <c r="Q39" s="184"/>
      <c r="R39" s="160"/>
      <c r="S39" s="532"/>
      <c r="T39" s="532"/>
      <c r="U39" s="532"/>
      <c r="V39" s="187">
        <f>SUMIF(Tierb!N_Equid,$A39,Tierb!N$33:N$38)</f>
        <v>0</v>
      </c>
      <c r="W39" s="530">
        <f>IF(ABS(V39)&gt;0,SUMIF(Tierb!N_Equid,$A39,Tierb!AN$33:AN$38)/V39,0)</f>
        <v>0</v>
      </c>
      <c r="X39" s="614">
        <f t="shared" si="18"/>
        <v>0</v>
      </c>
      <c r="Y39" s="187">
        <f>SUMIF(Tierb!N_Equid,$A39,Tierb!P$33:P$38)</f>
        <v>0</v>
      </c>
      <c r="Z39" s="532">
        <f>IF(ABS($Y39)&gt;0,SUMIF(Tierb!N_Equid,$A39,Tierb!AO$33:AO$38)/$Y39,0)</f>
        <v>0</v>
      </c>
      <c r="AA39" s="530">
        <f>IF(ABS($Y39)&gt;0,SUMIF(Tierb!N_Equid,$A39,Tierb!AP$33:AP$38)/$Y39,0)</f>
        <v>0</v>
      </c>
      <c r="AB39" s="614">
        <f t="shared" si="19"/>
        <v>0</v>
      </c>
      <c r="AC39" s="509"/>
      <c r="AD39" s="509">
        <f>SUMIF(Tierb!N_Equid,$A39,Tierb!J$33:J$38)*SUMIF(Tierb!N_Equid,$A39,Tierb!K$33:K$38)/365</f>
        <v>0</v>
      </c>
      <c r="AE39" s="209">
        <f>IF(ISERROR(VLOOKUP($A39,Tierb!$A$33:$H$38,8,FALSE)),0,VLOOKUP($A39,Tierb!$A$33:$H$38,8,FALSE))</f>
        <v>0</v>
      </c>
      <c r="AF39" s="209">
        <v>0.7</v>
      </c>
      <c r="AG39" s="57"/>
      <c r="AI39" s="57"/>
      <c r="AJ39" s="57"/>
      <c r="AK39" s="57"/>
      <c r="AL39" s="57"/>
      <c r="AM39" s="57"/>
      <c r="AN39" s="57"/>
      <c r="AO39" s="57"/>
    </row>
    <row r="40" spans="1:43" ht="15" customHeight="1" thickBot="1">
      <c r="B40" s="836" t="str">
        <f>Texte!A3764</f>
        <v>Kleine Wiederkäuer</v>
      </c>
      <c r="C40" s="836"/>
      <c r="D40" s="2259"/>
      <c r="E40" s="837"/>
      <c r="F40" s="837"/>
      <c r="G40" s="838"/>
      <c r="H40" s="838"/>
      <c r="I40" s="838"/>
      <c r="J40" s="838"/>
      <c r="K40" s="839"/>
      <c r="L40" s="839"/>
      <c r="M40" s="839"/>
      <c r="N40" s="838"/>
      <c r="O40" s="838"/>
      <c r="P40" s="839"/>
      <c r="Q40" s="838"/>
      <c r="R40" s="840"/>
      <c r="S40" s="838"/>
      <c r="T40" s="838"/>
      <c r="U40" s="838"/>
      <c r="V40" s="2191"/>
      <c r="W40" s="2191"/>
      <c r="X40" s="2191"/>
      <c r="Y40" s="2191"/>
      <c r="Z40" s="2191"/>
      <c r="AA40" s="2191"/>
      <c r="AB40" s="2191"/>
      <c r="AC40" s="57"/>
      <c r="AD40" s="509"/>
      <c r="AE40" s="209"/>
      <c r="AF40" s="209"/>
      <c r="AG40" s="57"/>
      <c r="AI40" s="57"/>
      <c r="AJ40" s="57"/>
      <c r="AK40" s="57"/>
      <c r="AL40" s="57"/>
      <c r="AM40" s="57"/>
      <c r="AN40" s="57"/>
      <c r="AO40" s="57"/>
    </row>
    <row r="41" spans="1:43" ht="15" customHeight="1">
      <c r="A41" s="681">
        <f>Tierb!A40</f>
        <v>300</v>
      </c>
      <c r="B41" s="603" t="str">
        <f>D_Klick!B254</f>
        <v>Milchschafe, Ø Milchmenge:</v>
      </c>
      <c r="C41" s="605"/>
      <c r="D41" s="3365">
        <f>IF(Tierb!MilkQuantSheep="",D_Klick!MilkQuantSheepStand,Tierb!MilkQuantSheep)</f>
        <v>450</v>
      </c>
      <c r="E41" s="832"/>
      <c r="F41" s="605" t="str">
        <f>Texte!A3731</f>
        <v>Platz</v>
      </c>
      <c r="G41" s="606">
        <f>Tierb!G40</f>
        <v>219</v>
      </c>
      <c r="H41" s="606">
        <f>Tierb!L40</f>
        <v>219</v>
      </c>
      <c r="I41" s="606">
        <f t="shared" ref="I41:I50" si="20">J41/365*100</f>
        <v>2.4383561643835616</v>
      </c>
      <c r="J41" s="3359">
        <f>O41</f>
        <v>8.9</v>
      </c>
      <c r="K41" s="607">
        <f t="shared" ref="K41:K50" si="21">H41*J41</f>
        <v>1949.1000000000001</v>
      </c>
      <c r="L41" s="607">
        <f>IF(Tierb!J40*Tierb!K40 &lt; 0,ABS(Tierb!J40),0)</f>
        <v>0</v>
      </c>
      <c r="M41" s="607">
        <f>IF(Tierb!J40*Tierb!K40 &lt; 0,ABS(Tierb!K40),0)</f>
        <v>0</v>
      </c>
      <c r="N41" s="606">
        <f t="shared" ref="N41:O50" si="22">I41</f>
        <v>2.4383561643835616</v>
      </c>
      <c r="O41" s="3359">
        <f>D_Klick!F186</f>
        <v>8.9</v>
      </c>
      <c r="P41" s="607">
        <f t="shared" si="4"/>
        <v>0</v>
      </c>
      <c r="Q41" s="3359">
        <f>D_Klick!F187</f>
        <v>14.94</v>
      </c>
      <c r="R41" s="3360">
        <f>D_Klick!F188</f>
        <v>12.66</v>
      </c>
      <c r="S41" s="3361">
        <f>D_Klick!F189</f>
        <v>6.28</v>
      </c>
      <c r="T41" s="3361">
        <f>D_Klick!F190</f>
        <v>26.44</v>
      </c>
      <c r="U41" s="3361">
        <f>D_Klick!F191</f>
        <v>1.48</v>
      </c>
      <c r="V41" s="607">
        <f>Tierb!N40</f>
        <v>0</v>
      </c>
      <c r="W41" s="608">
        <f>Tierb!O40</f>
        <v>0</v>
      </c>
      <c r="X41" s="621">
        <f t="shared" ref="X41:X50" si="23">(R41*V41*W41*0.1)/365</f>
        <v>0</v>
      </c>
      <c r="Y41" s="607">
        <f>Tierb!P40</f>
        <v>0</v>
      </c>
      <c r="Z41" s="613">
        <f>Tierb!Q40</f>
        <v>0</v>
      </c>
      <c r="AA41" s="608">
        <f>Tierb!R40</f>
        <v>0</v>
      </c>
      <c r="AB41" s="621">
        <f t="shared" ref="AB41:AB50" si="24">(R41*Y41*Z41*AA41)/(24*365)</f>
        <v>0</v>
      </c>
      <c r="AC41" s="509"/>
      <c r="AD41" s="509">
        <f>Tierb!J40*Tierb!K40/365</f>
        <v>0</v>
      </c>
      <c r="AE41" s="209">
        <f>Tierb!H40</f>
        <v>0.25</v>
      </c>
      <c r="AF41" s="3341">
        <f t="shared" ref="AF41:AF49" si="25">factNgesNormal</f>
        <v>0.85</v>
      </c>
      <c r="AG41" s="57"/>
      <c r="AI41" s="57"/>
      <c r="AJ41" s="57"/>
      <c r="AK41" s="57"/>
      <c r="AL41" s="57"/>
      <c r="AM41" s="57"/>
      <c r="AN41" s="57"/>
      <c r="AO41" s="57"/>
    </row>
    <row r="42" spans="1:43" ht="15" customHeight="1">
      <c r="A42" s="681">
        <f>Tierb!A41</f>
        <v>310</v>
      </c>
      <c r="B42" s="596" t="str">
        <f>D_Klick!B255</f>
        <v>Andere Schafe, über 365-tägig</v>
      </c>
      <c r="C42" s="159"/>
      <c r="D42" s="168"/>
      <c r="E42" s="168"/>
      <c r="F42" s="158" t="str">
        <f>Texte!$A$3731</f>
        <v>Platz</v>
      </c>
      <c r="G42" s="184">
        <f>Tierb!G41</f>
        <v>45</v>
      </c>
      <c r="H42" s="184">
        <f>Tierb!L41</f>
        <v>45</v>
      </c>
      <c r="I42" s="184">
        <f t="shared" si="20"/>
        <v>1.7808219178082192</v>
      </c>
      <c r="J42" s="3332">
        <v>6.5</v>
      </c>
      <c r="K42" s="187">
        <f t="shared" si="21"/>
        <v>292.5</v>
      </c>
      <c r="L42" s="187">
        <f>IF(Tierb!J41*Tierb!K41 &lt; 0,ABS(Tierb!J41),0)</f>
        <v>0</v>
      </c>
      <c r="M42" s="187">
        <f>IF(Tierb!J41*Tierb!K41 &lt; 0,ABS(Tierb!K41),0)</f>
        <v>0</v>
      </c>
      <c r="N42" s="184">
        <f t="shared" si="22"/>
        <v>1.7808219178082192</v>
      </c>
      <c r="O42" s="184">
        <f t="shared" si="22"/>
        <v>6.5</v>
      </c>
      <c r="P42" s="187">
        <f t="shared" si="4"/>
        <v>0</v>
      </c>
      <c r="Q42" s="3332">
        <v>9.5</v>
      </c>
      <c r="R42" s="3342">
        <v>8.11</v>
      </c>
      <c r="S42" s="532">
        <v>3.8</v>
      </c>
      <c r="T42" s="3346">
        <v>16.7</v>
      </c>
      <c r="U42" s="3346">
        <v>1</v>
      </c>
      <c r="V42" s="187">
        <f>Tierb!N41</f>
        <v>0</v>
      </c>
      <c r="W42" s="530">
        <f>Tierb!O41</f>
        <v>0</v>
      </c>
      <c r="X42" s="614">
        <f t="shared" si="23"/>
        <v>0</v>
      </c>
      <c r="Y42" s="187">
        <f>Tierb!P41</f>
        <v>0</v>
      </c>
      <c r="Z42" s="532">
        <f>Tierb!Q41</f>
        <v>0</v>
      </c>
      <c r="AA42" s="530">
        <f>Tierb!R41</f>
        <v>0</v>
      </c>
      <c r="AB42" s="614">
        <f t="shared" si="24"/>
        <v>0</v>
      </c>
      <c r="AC42" s="509"/>
      <c r="AD42" s="509">
        <f>Tierb!J41*Tierb!K41/365</f>
        <v>0</v>
      </c>
      <c r="AE42" s="209">
        <f>Tierb!H41</f>
        <v>0.17</v>
      </c>
      <c r="AF42" s="3341">
        <f t="shared" si="25"/>
        <v>0.85</v>
      </c>
      <c r="AG42" s="57"/>
      <c r="AI42" s="57"/>
      <c r="AJ42" s="57"/>
      <c r="AK42" s="57"/>
      <c r="AL42" s="57"/>
      <c r="AM42" s="57"/>
      <c r="AN42" s="57"/>
      <c r="AO42" s="57"/>
    </row>
    <row r="43" spans="1:43" ht="15" customHeight="1">
      <c r="A43" s="681">
        <f>Tierb!A42</f>
        <v>320</v>
      </c>
      <c r="B43" s="596" t="str">
        <f>D_Klick!B256</f>
        <v>Jungschafe, über 180 bis 365-tägig</v>
      </c>
      <c r="C43" s="159"/>
      <c r="D43" s="168"/>
      <c r="E43" s="168"/>
      <c r="F43" s="158" t="str">
        <f>Texte!$A$3731</f>
        <v>Platz</v>
      </c>
      <c r="G43" s="184">
        <f>Tierb!G42</f>
        <v>106</v>
      </c>
      <c r="H43" s="184">
        <f>Tierb!L42</f>
        <v>106</v>
      </c>
      <c r="I43" s="184">
        <f t="shared" si="20"/>
        <v>1.3424657534246578</v>
      </c>
      <c r="J43" s="3332">
        <v>4.9000000000000004</v>
      </c>
      <c r="K43" s="187">
        <f t="shared" si="21"/>
        <v>519.40000000000009</v>
      </c>
      <c r="L43" s="187">
        <f>IF(Tierb!J42*Tierb!K42 &lt; 0,ABS(Tierb!J42),0)</f>
        <v>0</v>
      </c>
      <c r="M43" s="187">
        <f>IF(Tierb!J42*Tierb!K42 &lt; 0,ABS(Tierb!K42),0)</f>
        <v>0</v>
      </c>
      <c r="N43" s="184">
        <f t="shared" si="22"/>
        <v>1.3424657534246578</v>
      </c>
      <c r="O43" s="184">
        <f t="shared" si="22"/>
        <v>4.9000000000000004</v>
      </c>
      <c r="P43" s="187">
        <f t="shared" si="4"/>
        <v>0</v>
      </c>
      <c r="Q43" s="3332">
        <v>9.8000000000000007</v>
      </c>
      <c r="R43" s="3342">
        <v>8.36</v>
      </c>
      <c r="S43" s="532">
        <v>3.5</v>
      </c>
      <c r="T43" s="3346">
        <v>16.5</v>
      </c>
      <c r="U43" s="3346">
        <v>1</v>
      </c>
      <c r="V43" s="187">
        <f>Tierb!N42</f>
        <v>0</v>
      </c>
      <c r="W43" s="530">
        <f>Tierb!O42</f>
        <v>0</v>
      </c>
      <c r="X43" s="614">
        <f t="shared" si="23"/>
        <v>0</v>
      </c>
      <c r="Y43" s="187">
        <f>Tierb!P42</f>
        <v>0</v>
      </c>
      <c r="Z43" s="532">
        <f>Tierb!Q42</f>
        <v>0</v>
      </c>
      <c r="AA43" s="530">
        <f>Tierb!R42</f>
        <v>0</v>
      </c>
      <c r="AB43" s="614">
        <f t="shared" si="24"/>
        <v>0</v>
      </c>
      <c r="AC43" s="509"/>
      <c r="AD43" s="509">
        <f>Tierb!J42*Tierb!K42/365</f>
        <v>0</v>
      </c>
      <c r="AE43" s="209">
        <f>Tierb!H42</f>
        <v>0.06</v>
      </c>
      <c r="AF43" s="3341">
        <f t="shared" si="25"/>
        <v>0.85</v>
      </c>
      <c r="AG43" s="57"/>
      <c r="AI43" s="57"/>
      <c r="AJ43" s="57"/>
      <c r="AK43" s="57"/>
      <c r="AL43" s="57"/>
      <c r="AM43" s="57"/>
      <c r="AN43" s="57"/>
      <c r="AO43" s="57"/>
    </row>
    <row r="44" spans="1:43" ht="15" customHeight="1">
      <c r="A44" s="681">
        <f>Tierb!A43</f>
        <v>330</v>
      </c>
      <c r="B44" s="596" t="str">
        <f>D_Klick!B257</f>
        <v>Lämmer, bis 180-tägig</v>
      </c>
      <c r="C44" s="159"/>
      <c r="D44" s="168"/>
      <c r="E44" s="168"/>
      <c r="F44" s="158" t="str">
        <f>Texte!$A$3731</f>
        <v>Platz</v>
      </c>
      <c r="G44" s="184">
        <f>Tierb!G43</f>
        <v>129</v>
      </c>
      <c r="H44" s="184">
        <f>Tierb!L43</f>
        <v>129</v>
      </c>
      <c r="I44" s="184">
        <f t="shared" si="20"/>
        <v>0.38356164383561642</v>
      </c>
      <c r="J44" s="3332">
        <v>1.4</v>
      </c>
      <c r="K44" s="187">
        <f t="shared" si="21"/>
        <v>180.6</v>
      </c>
      <c r="L44" s="187">
        <f>IF(Tierb!J43*Tierb!K43 &lt; 0,ABS(Tierb!J43),0)</f>
        <v>0</v>
      </c>
      <c r="M44" s="187">
        <f>IF(Tierb!J43*Tierb!K43 &lt; 0,ABS(Tierb!K43),0)</f>
        <v>0</v>
      </c>
      <c r="N44" s="184">
        <f t="shared" si="22"/>
        <v>0.38356164383561642</v>
      </c>
      <c r="O44" s="184">
        <f t="shared" si="22"/>
        <v>1.4</v>
      </c>
      <c r="P44" s="187">
        <f t="shared" si="4"/>
        <v>0</v>
      </c>
      <c r="Q44" s="3332">
        <v>3.3</v>
      </c>
      <c r="R44" s="3342">
        <v>2.85</v>
      </c>
      <c r="S44" s="532">
        <v>1.5</v>
      </c>
      <c r="T44" s="3346">
        <v>5.2</v>
      </c>
      <c r="U44" s="3346">
        <v>0.4</v>
      </c>
      <c r="V44" s="187">
        <f>Tierb!N43</f>
        <v>0</v>
      </c>
      <c r="W44" s="530">
        <f>Tierb!O43</f>
        <v>0</v>
      </c>
      <c r="X44" s="614">
        <f t="shared" si="23"/>
        <v>0</v>
      </c>
      <c r="Y44" s="187">
        <f>Tierb!P43</f>
        <v>0</v>
      </c>
      <c r="Z44" s="532">
        <f>Tierb!Q43</f>
        <v>0</v>
      </c>
      <c r="AA44" s="530">
        <f>Tierb!R43</f>
        <v>0</v>
      </c>
      <c r="AB44" s="614">
        <f t="shared" si="24"/>
        <v>0</v>
      </c>
      <c r="AC44" s="509"/>
      <c r="AD44" s="509">
        <f>Tierb!J43*Tierb!K43/365</f>
        <v>0</v>
      </c>
      <c r="AE44" s="209">
        <f>Tierb!H43</f>
        <v>0.03</v>
      </c>
      <c r="AF44" s="3341">
        <f t="shared" si="25"/>
        <v>0.85</v>
      </c>
      <c r="AG44" s="57"/>
      <c r="AI44" s="57"/>
      <c r="AJ44" s="57"/>
      <c r="AK44" s="57"/>
      <c r="AL44" s="57"/>
      <c r="AM44" s="57"/>
      <c r="AN44" s="57"/>
      <c r="AO44" s="57"/>
    </row>
    <row r="45" spans="1:43" ht="15" customHeight="1">
      <c r="A45" s="681">
        <f>Tierb!A44</f>
        <v>400</v>
      </c>
      <c r="B45" s="596" t="str">
        <f>D_Klick!B258</f>
        <v>Milchziegen, Ø Milchmenge:</v>
      </c>
      <c r="C45" s="159"/>
      <c r="D45" s="3365">
        <f>IF(Tierb!MilkQuantGoat="",D_Klick!MilkQuantGoatStand,Tierb!MilkQuantGoat)</f>
        <v>550</v>
      </c>
      <c r="E45" s="168"/>
      <c r="F45" s="158" t="str">
        <f>Texte!$A$3731</f>
        <v>Platz</v>
      </c>
      <c r="G45" s="184">
        <f>Tierb!G44</f>
        <v>3</v>
      </c>
      <c r="H45" s="184">
        <f>Tierb!L44</f>
        <v>3</v>
      </c>
      <c r="I45" s="184">
        <f t="shared" si="20"/>
        <v>1.6986301369863015</v>
      </c>
      <c r="J45" s="3362">
        <f>O45</f>
        <v>6.2</v>
      </c>
      <c r="K45" s="187">
        <f t="shared" si="21"/>
        <v>18.600000000000001</v>
      </c>
      <c r="L45" s="187">
        <f>IF(Tierb!J44*Tierb!K44 &lt; 0,ABS(Tierb!J44),0)</f>
        <v>0</v>
      </c>
      <c r="M45" s="187">
        <f>IF(Tierb!J44*Tierb!K44 &lt; 0,ABS(Tierb!K44),0)</f>
        <v>0</v>
      </c>
      <c r="N45" s="184">
        <f t="shared" si="22"/>
        <v>1.6986301369863015</v>
      </c>
      <c r="O45" s="3362">
        <f>D_Klick!F196</f>
        <v>6.2</v>
      </c>
      <c r="P45" s="187">
        <f t="shared" si="4"/>
        <v>0</v>
      </c>
      <c r="Q45" s="3362">
        <f>D_Klick!F197</f>
        <v>9.3000000000000007</v>
      </c>
      <c r="R45" s="3363">
        <f>D_Klick!F198</f>
        <v>7.87</v>
      </c>
      <c r="S45" s="3364">
        <f>D_Klick!F199</f>
        <v>3.6</v>
      </c>
      <c r="T45" s="3364">
        <f>D_Klick!F200</f>
        <v>15.7</v>
      </c>
      <c r="U45" s="3364">
        <f>D_Klick!F201</f>
        <v>0.9</v>
      </c>
      <c r="V45" s="187">
        <f>Tierb!N44</f>
        <v>0</v>
      </c>
      <c r="W45" s="530">
        <f>Tierb!O44</f>
        <v>0</v>
      </c>
      <c r="X45" s="614">
        <f t="shared" si="23"/>
        <v>0</v>
      </c>
      <c r="Y45" s="187">
        <f>Tierb!P44</f>
        <v>0</v>
      </c>
      <c r="Z45" s="532">
        <f>Tierb!Q44</f>
        <v>0</v>
      </c>
      <c r="AA45" s="530">
        <f>Tierb!R44</f>
        <v>0</v>
      </c>
      <c r="AB45" s="614">
        <f t="shared" si="24"/>
        <v>0</v>
      </c>
      <c r="AC45" s="509"/>
      <c r="AD45" s="509">
        <f>Tierb!J44*Tierb!K44/365</f>
        <v>0</v>
      </c>
      <c r="AE45" s="209">
        <f>Tierb!H44</f>
        <v>0.2</v>
      </c>
      <c r="AF45" s="3341">
        <f t="shared" si="25"/>
        <v>0.85</v>
      </c>
      <c r="AG45" s="57"/>
      <c r="AI45" s="57"/>
      <c r="AJ45" s="57"/>
      <c r="AK45" s="57"/>
      <c r="AL45" s="57"/>
      <c r="AM45" s="57"/>
      <c r="AN45" s="57"/>
      <c r="AO45" s="57"/>
    </row>
    <row r="46" spans="1:43" ht="15" customHeight="1">
      <c r="A46" s="681">
        <f>Tierb!A45</f>
        <v>410</v>
      </c>
      <c r="B46" s="596" t="str">
        <f>D_Klick!B259</f>
        <v>Andere Zeigen, über 365-tägig</v>
      </c>
      <c r="C46" s="159"/>
      <c r="D46" s="159"/>
      <c r="E46" s="159"/>
      <c r="F46" s="158" t="str">
        <f>Texte!$A$3731</f>
        <v>Platz</v>
      </c>
      <c r="G46" s="184">
        <f>Tierb!G45</f>
        <v>0</v>
      </c>
      <c r="H46" s="184">
        <f>Tierb!L45</f>
        <v>0</v>
      </c>
      <c r="I46" s="184">
        <f t="shared" si="20"/>
        <v>1.5616438356164384</v>
      </c>
      <c r="J46" s="3332">
        <v>5.7</v>
      </c>
      <c r="K46" s="187">
        <f t="shared" si="21"/>
        <v>0</v>
      </c>
      <c r="L46" s="187">
        <f>IF(Tierb!J45*Tierb!K45 &lt; 0,ABS(Tierb!J45),0)</f>
        <v>0</v>
      </c>
      <c r="M46" s="187">
        <f>IF(Tierb!J45*Tierb!K45 &lt; 0,ABS(Tierb!K45),0)</f>
        <v>0</v>
      </c>
      <c r="N46" s="184">
        <f t="shared" si="22"/>
        <v>1.5616438356164384</v>
      </c>
      <c r="O46" s="184">
        <f t="shared" si="22"/>
        <v>5.7</v>
      </c>
      <c r="P46" s="187">
        <f t="shared" si="4"/>
        <v>0</v>
      </c>
      <c r="Q46" s="3332">
        <v>8.1999999999999993</v>
      </c>
      <c r="R46" s="3342">
        <v>6.96</v>
      </c>
      <c r="S46" s="532">
        <v>3.3</v>
      </c>
      <c r="T46" s="3346">
        <v>14.5</v>
      </c>
      <c r="U46" s="3346">
        <v>0.8</v>
      </c>
      <c r="V46" s="187">
        <f>Tierb!N45</f>
        <v>0</v>
      </c>
      <c r="W46" s="530">
        <f>Tierb!O45</f>
        <v>0</v>
      </c>
      <c r="X46" s="614">
        <f t="shared" si="23"/>
        <v>0</v>
      </c>
      <c r="Y46" s="187">
        <f>Tierb!P45</f>
        <v>0</v>
      </c>
      <c r="Z46" s="532">
        <f>Tierb!Q45</f>
        <v>0</v>
      </c>
      <c r="AA46" s="530">
        <f>Tierb!R45</f>
        <v>0</v>
      </c>
      <c r="AB46" s="614">
        <f t="shared" si="24"/>
        <v>0</v>
      </c>
      <c r="AC46" s="509"/>
      <c r="AD46" s="509">
        <f>Tierb!J45*Tierb!K45/365</f>
        <v>0</v>
      </c>
      <c r="AE46" s="209">
        <f>Tierb!H45</f>
        <v>0.17</v>
      </c>
      <c r="AF46" s="3341">
        <f t="shared" si="25"/>
        <v>0.85</v>
      </c>
      <c r="AG46" s="57"/>
      <c r="AI46" s="57"/>
      <c r="AJ46" s="57"/>
      <c r="AK46" s="57"/>
      <c r="AL46" s="57"/>
      <c r="AM46" s="57"/>
      <c r="AN46" s="57"/>
      <c r="AO46" s="57"/>
    </row>
    <row r="47" spans="1:43" ht="15" customHeight="1">
      <c r="A47" s="681">
        <f>Tierb!A46</f>
        <v>420</v>
      </c>
      <c r="B47" s="596" t="str">
        <f>D_Klick!B260</f>
        <v>Jungziegen, über 180 bis 365-tägig</v>
      </c>
      <c r="C47" s="197"/>
      <c r="D47" s="197"/>
      <c r="E47" s="197"/>
      <c r="F47" s="158" t="str">
        <f>Texte!$A$3731</f>
        <v>Platz</v>
      </c>
      <c r="G47" s="184">
        <f>Tierb!G46</f>
        <v>0</v>
      </c>
      <c r="H47" s="184">
        <f>Tierb!L46</f>
        <v>0</v>
      </c>
      <c r="I47" s="3411">
        <f t="shared" si="20"/>
        <v>0.95890410958904115</v>
      </c>
      <c r="J47" s="3344">
        <v>3.5</v>
      </c>
      <c r="K47" s="3409">
        <f t="shared" si="21"/>
        <v>0</v>
      </c>
      <c r="L47" s="187">
        <f>IF(Tierb!J46*Tierb!K46 &lt; 0,ABS(Tierb!J46),0)</f>
        <v>0</v>
      </c>
      <c r="M47" s="187">
        <f>IF(Tierb!J46*Tierb!K46 &lt; 0,ABS(Tierb!K46),0)</f>
        <v>0</v>
      </c>
      <c r="N47" s="3413">
        <f t="shared" si="22"/>
        <v>0.95890410958904115</v>
      </c>
      <c r="O47" s="3413">
        <f t="shared" si="22"/>
        <v>3.5</v>
      </c>
      <c r="P47" s="3409">
        <f t="shared" si="4"/>
        <v>0</v>
      </c>
      <c r="Q47" s="3333">
        <v>7.7</v>
      </c>
      <c r="R47" s="3343">
        <v>6.55</v>
      </c>
      <c r="S47" s="3331">
        <v>3.3</v>
      </c>
      <c r="T47" s="3347">
        <v>12.1</v>
      </c>
      <c r="U47" s="3347">
        <v>0.8</v>
      </c>
      <c r="V47" s="187">
        <f>Tierb!N46</f>
        <v>0</v>
      </c>
      <c r="W47" s="530">
        <f>Tierb!O46</f>
        <v>0</v>
      </c>
      <c r="X47" s="614">
        <f t="shared" si="23"/>
        <v>0</v>
      </c>
      <c r="Y47" s="187">
        <f>Tierb!P46</f>
        <v>0</v>
      </c>
      <c r="Z47" s="532">
        <f>Tierb!Q46</f>
        <v>0</v>
      </c>
      <c r="AA47" s="530">
        <f>Tierb!R46</f>
        <v>0</v>
      </c>
      <c r="AB47" s="614">
        <f t="shared" si="24"/>
        <v>0</v>
      </c>
      <c r="AC47" s="509"/>
      <c r="AD47" s="509">
        <f>Tierb!J46*Tierb!K46/365</f>
        <v>0</v>
      </c>
      <c r="AE47" s="209">
        <f>Tierb!H46</f>
        <v>0.06</v>
      </c>
      <c r="AF47" s="3341">
        <f t="shared" si="25"/>
        <v>0.85</v>
      </c>
      <c r="AG47" s="57"/>
      <c r="AI47" s="57"/>
      <c r="AJ47" s="57"/>
      <c r="AK47" s="57"/>
      <c r="AL47" s="57"/>
      <c r="AM47" s="57"/>
      <c r="AN47" s="57"/>
      <c r="AO47" s="57"/>
    </row>
    <row r="48" spans="1:43" ht="15" customHeight="1">
      <c r="A48" s="681">
        <f>Tierb!A47</f>
        <v>430</v>
      </c>
      <c r="B48" s="596" t="str">
        <f>D_Klick!B261</f>
        <v>Zicklein bis 180-tägig, Milchziegenherde</v>
      </c>
      <c r="C48" s="197"/>
      <c r="D48" s="197"/>
      <c r="E48" s="197"/>
      <c r="F48" s="158" t="str">
        <f>Texte!$A$3731</f>
        <v>Platz</v>
      </c>
      <c r="G48" s="184">
        <f>Tierb!G47</f>
        <v>0</v>
      </c>
      <c r="H48" s="184">
        <f>Tierb!L47</f>
        <v>0</v>
      </c>
      <c r="I48" s="3411">
        <f t="shared" si="20"/>
        <v>0.19178082191780821</v>
      </c>
      <c r="J48" s="3344">
        <v>0.7</v>
      </c>
      <c r="K48" s="3409">
        <f t="shared" si="21"/>
        <v>0</v>
      </c>
      <c r="L48" s="187">
        <f>IF(Tierb!J47*Tierb!K47 &lt; 0,ABS(Tierb!J47),0)</f>
        <v>0</v>
      </c>
      <c r="M48" s="187">
        <f>IF(Tierb!J47*Tierb!K47 &lt; 0,ABS(Tierb!K47),0)</f>
        <v>0</v>
      </c>
      <c r="N48" s="3413">
        <f t="shared" si="22"/>
        <v>0.19178082191780821</v>
      </c>
      <c r="O48" s="3413">
        <f t="shared" si="22"/>
        <v>0.7</v>
      </c>
      <c r="P48" s="3409">
        <f t="shared" si="4"/>
        <v>0</v>
      </c>
      <c r="Q48" s="3333">
        <v>2.9</v>
      </c>
      <c r="R48" s="3343">
        <v>2.4900000000000002</v>
      </c>
      <c r="S48" s="3331">
        <v>1</v>
      </c>
      <c r="T48" s="3347">
        <v>3.6</v>
      </c>
      <c r="U48" s="3347">
        <v>0.2</v>
      </c>
      <c r="V48" s="187">
        <f>Tierb!N47</f>
        <v>0</v>
      </c>
      <c r="W48" s="530">
        <f>Tierb!O47</f>
        <v>0</v>
      </c>
      <c r="X48" s="614">
        <f t="shared" si="23"/>
        <v>0</v>
      </c>
      <c r="Y48" s="187">
        <f>Tierb!P47</f>
        <v>0</v>
      </c>
      <c r="Z48" s="532">
        <f>Tierb!Q47</f>
        <v>0</v>
      </c>
      <c r="AA48" s="530">
        <f>Tierb!R47</f>
        <v>0</v>
      </c>
      <c r="AB48" s="614">
        <f t="shared" si="24"/>
        <v>0</v>
      </c>
      <c r="AC48" s="509"/>
      <c r="AD48" s="509">
        <f>Tierb!J47*Tierb!K47/365</f>
        <v>0</v>
      </c>
      <c r="AE48" s="209">
        <f>Tierb!H47</f>
        <v>0.03</v>
      </c>
      <c r="AF48" s="3341">
        <f t="shared" si="25"/>
        <v>0.85</v>
      </c>
      <c r="AG48" s="57"/>
      <c r="AI48" s="57"/>
      <c r="AJ48" s="57"/>
      <c r="AK48" s="57"/>
      <c r="AL48" s="57"/>
      <c r="AM48" s="57"/>
      <c r="AN48" s="57"/>
      <c r="AO48" s="57"/>
    </row>
    <row r="49" spans="1:70" ht="15" customHeight="1" thickBot="1">
      <c r="A49" s="681">
        <f>Tierb!A48</f>
        <v>440</v>
      </c>
      <c r="B49" s="596" t="str">
        <f>D_Klick!B262</f>
        <v>Zicklein bis 180-tägig, Mutterziegenherde</v>
      </c>
      <c r="C49" s="197"/>
      <c r="D49" s="197"/>
      <c r="E49" s="197"/>
      <c r="F49" s="158" t="str">
        <f>Texte!$A$3731</f>
        <v>Platz</v>
      </c>
      <c r="G49" s="184">
        <f>Tierb!G48</f>
        <v>0</v>
      </c>
      <c r="H49" s="184">
        <f>Tierb!L48</f>
        <v>0</v>
      </c>
      <c r="I49" s="3411">
        <f t="shared" si="20"/>
        <v>0.46575342465753422</v>
      </c>
      <c r="J49" s="3334">
        <v>1.7</v>
      </c>
      <c r="K49" s="3409">
        <f t="shared" si="21"/>
        <v>0</v>
      </c>
      <c r="L49" s="187">
        <f>IF(Tierb!J48*Tierb!K48 &lt; 0,ABS(Tierb!J48),0)</f>
        <v>0</v>
      </c>
      <c r="M49" s="187">
        <f>IF(Tierb!J48*Tierb!K48 &lt; 0,ABS(Tierb!K48),0)</f>
        <v>0</v>
      </c>
      <c r="N49" s="3413">
        <f t="shared" si="22"/>
        <v>0.46575342465753422</v>
      </c>
      <c r="O49" s="3413">
        <f t="shared" si="22"/>
        <v>1.7</v>
      </c>
      <c r="P49" s="3409">
        <f t="shared" si="4"/>
        <v>0</v>
      </c>
      <c r="Q49" s="3344">
        <v>5.5</v>
      </c>
      <c r="R49" s="3345">
        <v>4.7</v>
      </c>
      <c r="S49" s="3336">
        <v>1.9</v>
      </c>
      <c r="T49" s="3348">
        <v>3.8</v>
      </c>
      <c r="U49" s="3349">
        <v>0.4</v>
      </c>
      <c r="V49" s="187">
        <f>Tierb!N48</f>
        <v>0</v>
      </c>
      <c r="W49" s="530">
        <f>Tierb!O48</f>
        <v>0</v>
      </c>
      <c r="X49" s="614">
        <f t="shared" si="23"/>
        <v>0</v>
      </c>
      <c r="Y49" s="187">
        <f>Tierb!P48</f>
        <v>0</v>
      </c>
      <c r="Z49" s="532">
        <f>Tierb!Q48</f>
        <v>0</v>
      </c>
      <c r="AA49" s="530">
        <f>Tierb!R48</f>
        <v>0</v>
      </c>
      <c r="AB49" s="614">
        <f t="shared" si="24"/>
        <v>0</v>
      </c>
      <c r="AC49" s="509"/>
      <c r="AD49" s="509">
        <f>Tierb!J48*Tierb!K48/365</f>
        <v>0</v>
      </c>
      <c r="AE49" s="209">
        <f>Tierb!H48</f>
        <v>0.03</v>
      </c>
      <c r="AF49" s="3341">
        <f t="shared" si="25"/>
        <v>0.85</v>
      </c>
      <c r="AG49" s="57"/>
      <c r="AI49" s="57"/>
      <c r="AJ49" s="57"/>
      <c r="AK49" s="57"/>
      <c r="AL49" s="57"/>
      <c r="AM49" s="57"/>
      <c r="AN49" s="57"/>
      <c r="AO49" s="57"/>
    </row>
    <row r="50" spans="1:70" ht="15" hidden="1" customHeight="1" thickBot="1">
      <c r="A50" s="681">
        <f>Tierb!A49</f>
        <v>0</v>
      </c>
      <c r="B50" s="2053">
        <f>D_Klick!B263</f>
        <v>0</v>
      </c>
      <c r="C50" s="598"/>
      <c r="D50" s="598"/>
      <c r="E50" s="831"/>
      <c r="F50" s="615" t="str">
        <f>IF(Tierb!F49="","",Tierb!F49)</f>
        <v/>
      </c>
      <c r="G50" s="599">
        <f>Tierb!G49</f>
        <v>0</v>
      </c>
      <c r="H50" s="599">
        <f>Tierb!L49</f>
        <v>0</v>
      </c>
      <c r="I50" s="3412">
        <f t="shared" si="20"/>
        <v>0</v>
      </c>
      <c r="J50" s="3335"/>
      <c r="K50" s="3410">
        <f t="shared" si="21"/>
        <v>0</v>
      </c>
      <c r="L50" s="601">
        <f>IF(Tierb!J49*Tierb!K49 &lt; 0,ABS(Tierb!J49),0)</f>
        <v>0</v>
      </c>
      <c r="M50" s="601">
        <f>IF(Tierb!J49*Tierb!K49 &lt; 0,ABS(Tierb!K49),0)</f>
        <v>0</v>
      </c>
      <c r="N50" s="3390">
        <f t="shared" si="22"/>
        <v>0</v>
      </c>
      <c r="O50" s="3390">
        <f t="shared" si="22"/>
        <v>0</v>
      </c>
      <c r="P50" s="3410">
        <f t="shared" si="4"/>
        <v>0</v>
      </c>
      <c r="Q50" s="3337"/>
      <c r="R50" s="3338"/>
      <c r="S50" s="3339"/>
      <c r="T50" s="3339"/>
      <c r="U50" s="3340"/>
      <c r="V50" s="601">
        <f>Tierb!N49</f>
        <v>0</v>
      </c>
      <c r="W50" s="618">
        <f>Tierb!O49</f>
        <v>0</v>
      </c>
      <c r="X50" s="617">
        <f t="shared" si="23"/>
        <v>0</v>
      </c>
      <c r="Y50" s="601">
        <f>Tierb!P49</f>
        <v>0</v>
      </c>
      <c r="Z50" s="616">
        <f>Tierb!Q49</f>
        <v>0</v>
      </c>
      <c r="AA50" s="618">
        <f>Tierb!R49</f>
        <v>0</v>
      </c>
      <c r="AB50" s="617">
        <f t="shared" si="24"/>
        <v>0</v>
      </c>
      <c r="AC50" s="509"/>
      <c r="AD50" s="509">
        <f>Tierb!J49*Tierb!K49/365</f>
        <v>0</v>
      </c>
      <c r="AE50" s="209">
        <f>Tierb!H49</f>
        <v>0</v>
      </c>
      <c r="AF50" s="209">
        <f>IFERROR(R50/Q50,0)</f>
        <v>0</v>
      </c>
      <c r="AG50" s="57"/>
      <c r="AI50" s="57"/>
      <c r="AJ50" s="57"/>
      <c r="AK50" s="57"/>
      <c r="AL50" s="57"/>
      <c r="AM50" s="57"/>
      <c r="AN50" s="57"/>
      <c r="AO50" s="57"/>
    </row>
    <row r="51" spans="1:70" ht="15" customHeight="1" thickBot="1">
      <c r="B51" s="2258" t="str">
        <f>D_Klick!B264</f>
        <v>Weitere raufutterverzehrende Nutztiere</v>
      </c>
      <c r="C51" s="2259"/>
      <c r="D51" s="2259"/>
      <c r="E51" s="2259"/>
      <c r="F51" s="2259"/>
      <c r="G51" s="2260"/>
      <c r="H51" s="2260"/>
      <c r="I51" s="2260"/>
      <c r="J51" s="2260"/>
      <c r="K51" s="3368"/>
      <c r="L51" s="3368"/>
      <c r="M51" s="3368"/>
      <c r="N51" s="2260"/>
      <c r="O51" s="2260"/>
      <c r="P51" s="3368"/>
      <c r="Q51" s="3368"/>
      <c r="R51" s="2263"/>
      <c r="S51" s="3368"/>
      <c r="T51" s="3368"/>
      <c r="U51" s="2260"/>
      <c r="V51" s="3368"/>
      <c r="W51" s="2260"/>
      <c r="X51" s="2260"/>
      <c r="Y51" s="3368"/>
      <c r="Z51" s="2260"/>
      <c r="AA51" s="2260"/>
      <c r="AB51" s="2260"/>
      <c r="AC51" s="509"/>
      <c r="AD51" s="509"/>
      <c r="AE51" s="209"/>
      <c r="AF51" s="209"/>
      <c r="AG51" s="209"/>
      <c r="AI51" s="57"/>
      <c r="AJ51" s="57"/>
      <c r="AK51" s="57"/>
      <c r="AL51" s="57"/>
      <c r="AM51" s="57"/>
      <c r="AN51" s="2240"/>
      <c r="AO51" s="57"/>
      <c r="AP51" s="57"/>
      <c r="AQ51" s="57"/>
    </row>
    <row r="52" spans="1:70" ht="15" customHeight="1">
      <c r="A52" s="681">
        <f>Tierb!A52</f>
        <v>500</v>
      </c>
      <c r="B52" s="603" t="str">
        <f>D_Klick!B265</f>
        <v>Bisons über 900-tägig</v>
      </c>
      <c r="C52" s="159"/>
      <c r="D52" s="159"/>
      <c r="E52" s="159"/>
      <c r="F52" s="158" t="str">
        <f>Texte!A3730</f>
        <v>Stück</v>
      </c>
      <c r="G52" s="184">
        <f>Tierb!G52</f>
        <v>0</v>
      </c>
      <c r="H52" s="184">
        <f>Tierb!L52</f>
        <v>0</v>
      </c>
      <c r="I52" s="184">
        <f>J52/365*100</f>
        <v>10.684931506849315</v>
      </c>
      <c r="J52" s="184">
        <v>39</v>
      </c>
      <c r="K52" s="187">
        <f t="shared" ref="K52:K62" si="26">H52*J52</f>
        <v>0</v>
      </c>
      <c r="L52" s="607">
        <f>IF(Tierb!J52*Tierb!K52 &lt; 0,ABS(Tierb!J52),0)</f>
        <v>0</v>
      </c>
      <c r="M52" s="607">
        <f>IF(Tierb!J52*Tierb!K52 &lt; 0,ABS(Tierb!K52),0)</f>
        <v>0</v>
      </c>
      <c r="N52" s="184">
        <f>I52</f>
        <v>10.684931506849315</v>
      </c>
      <c r="O52" s="184">
        <f>J52</f>
        <v>39</v>
      </c>
      <c r="P52" s="187">
        <f t="shared" si="4"/>
        <v>0</v>
      </c>
      <c r="Q52" s="184">
        <v>60</v>
      </c>
      <c r="R52" s="2188">
        <f t="shared" ref="R52:R69" si="27">ROUND(Q52*AF52,2)</f>
        <v>51</v>
      </c>
      <c r="S52" s="532">
        <v>30</v>
      </c>
      <c r="T52" s="532">
        <v>110</v>
      </c>
      <c r="U52" s="532">
        <v>6</v>
      </c>
      <c r="V52" s="187">
        <f>Tierb!N52</f>
        <v>0</v>
      </c>
      <c r="W52" s="530">
        <f>Tierb!O52</f>
        <v>0</v>
      </c>
      <c r="X52" s="614">
        <f t="shared" ref="X52:X61" si="28">(R52*V52*W52*0.1)/365</f>
        <v>0</v>
      </c>
      <c r="Y52" s="187">
        <f>Tierb!P52</f>
        <v>0</v>
      </c>
      <c r="Z52" s="532">
        <f>Tierb!Q52</f>
        <v>0</v>
      </c>
      <c r="AA52" s="530">
        <f>Tierb!R52</f>
        <v>0</v>
      </c>
      <c r="AB52" s="614">
        <f t="shared" ref="AB52:AB61" si="29">(R52*Y52*Z52*AA52)/(24*365)</f>
        <v>0</v>
      </c>
      <c r="AC52" s="509"/>
      <c r="AD52" s="509">
        <f>Tierb!J52*Tierb!K52/365</f>
        <v>0</v>
      </c>
      <c r="AE52" s="209">
        <f>Tierb!H52</f>
        <v>1</v>
      </c>
      <c r="AF52" s="209">
        <f t="shared" ref="AF52:AF62" si="30">factNgesNormal</f>
        <v>0.85</v>
      </c>
      <c r="AG52" s="209"/>
      <c r="AI52" s="57"/>
      <c r="AJ52" s="57"/>
      <c r="AK52" s="57"/>
      <c r="AL52" s="57"/>
      <c r="AM52" s="57"/>
      <c r="AN52" s="2239"/>
      <c r="AO52" s="57"/>
      <c r="AP52" s="57"/>
      <c r="AQ52" s="57"/>
    </row>
    <row r="53" spans="1:70" ht="15" customHeight="1">
      <c r="A53" s="681">
        <f>Tierb!A53</f>
        <v>510</v>
      </c>
      <c r="B53" s="596" t="str">
        <f>D_Klick!B266</f>
        <v>Bisons bis 900-tägig, Zucht und Mast</v>
      </c>
      <c r="C53" s="159"/>
      <c r="D53" s="159"/>
      <c r="E53" s="159"/>
      <c r="F53" s="158" t="str">
        <f>Texte!A3730</f>
        <v>Stück</v>
      </c>
      <c r="G53" s="184">
        <f>Tierb!G53</f>
        <v>0</v>
      </c>
      <c r="H53" s="184">
        <f>Tierb!L53</f>
        <v>0</v>
      </c>
      <c r="I53" s="184">
        <f t="shared" ref="I53:I61" si="31">J53/365*100</f>
        <v>4.9315068493150687</v>
      </c>
      <c r="J53" s="184">
        <v>18</v>
      </c>
      <c r="K53" s="187">
        <f t="shared" si="26"/>
        <v>0</v>
      </c>
      <c r="L53" s="187">
        <f>IF(Tierb!J53*Tierb!K53 &lt; 0,ABS(Tierb!J53),0)</f>
        <v>0</v>
      </c>
      <c r="M53" s="187">
        <f>IF(Tierb!J53*Tierb!K53 &lt; 0,ABS(Tierb!K53),0)</f>
        <v>0</v>
      </c>
      <c r="N53" s="184">
        <f>I53</f>
        <v>4.9315068493150687</v>
      </c>
      <c r="O53" s="184">
        <f t="shared" ref="O53:O59" si="32">J53</f>
        <v>18</v>
      </c>
      <c r="P53" s="187">
        <f t="shared" si="4"/>
        <v>0</v>
      </c>
      <c r="Q53" s="184">
        <v>20</v>
      </c>
      <c r="R53" s="160">
        <f t="shared" si="27"/>
        <v>17</v>
      </c>
      <c r="S53" s="532">
        <v>10</v>
      </c>
      <c r="T53" s="532">
        <v>45</v>
      </c>
      <c r="U53" s="532">
        <v>2.5</v>
      </c>
      <c r="V53" s="187">
        <f>Tierb!N53</f>
        <v>0</v>
      </c>
      <c r="W53" s="530">
        <f>Tierb!O53</f>
        <v>0</v>
      </c>
      <c r="X53" s="614">
        <f t="shared" si="28"/>
        <v>0</v>
      </c>
      <c r="Y53" s="187">
        <f>Tierb!P53</f>
        <v>0</v>
      </c>
      <c r="Z53" s="532">
        <f>Tierb!Q53</f>
        <v>0</v>
      </c>
      <c r="AA53" s="530">
        <f>Tierb!R53</f>
        <v>0</v>
      </c>
      <c r="AB53" s="614">
        <f t="shared" si="29"/>
        <v>0</v>
      </c>
      <c r="AC53" s="509"/>
      <c r="AD53" s="509">
        <f>Tierb!J53*Tierb!K53/365</f>
        <v>0</v>
      </c>
      <c r="AE53" s="209">
        <f>Tierb!H53</f>
        <v>0.4</v>
      </c>
      <c r="AF53" s="209">
        <f t="shared" si="30"/>
        <v>0.85</v>
      </c>
      <c r="AG53" s="209"/>
      <c r="AI53" s="57"/>
      <c r="AJ53" s="57"/>
      <c r="AK53" s="57"/>
      <c r="AL53" s="57"/>
      <c r="AM53" s="57"/>
      <c r="AN53" s="2238"/>
      <c r="AO53" s="57"/>
      <c r="AP53" s="57"/>
      <c r="AQ53" s="57"/>
    </row>
    <row r="54" spans="1:70" ht="15" customHeight="1">
      <c r="A54" s="681">
        <f>Tierb!A54</f>
        <v>520</v>
      </c>
      <c r="B54" s="596" t="str">
        <f>D_Klick!B267</f>
        <v>Damhirsche, 2 Tiere, Muttertier und Nachwuchs</v>
      </c>
      <c r="C54" s="159"/>
      <c r="D54" s="159"/>
      <c r="E54" s="159"/>
      <c r="F54" s="158" t="str">
        <f>Texte!A3733</f>
        <v>Einheit</v>
      </c>
      <c r="G54" s="184">
        <f>Tierb!G54</f>
        <v>0</v>
      </c>
      <c r="H54" s="184">
        <f>Tierb!L54</f>
        <v>0</v>
      </c>
      <c r="I54" s="184">
        <f t="shared" si="31"/>
        <v>2.7397260273972601</v>
      </c>
      <c r="J54" s="184">
        <v>10</v>
      </c>
      <c r="K54" s="187">
        <f t="shared" si="26"/>
        <v>0</v>
      </c>
      <c r="L54" s="187">
        <f>IF(Tierb!J54*Tierb!K54 &lt; 0,ABS(Tierb!J54),0)</f>
        <v>0</v>
      </c>
      <c r="M54" s="187">
        <f>IF(Tierb!J54*Tierb!K54 &lt; 0,ABS(Tierb!K54),0)</f>
        <v>0</v>
      </c>
      <c r="N54" s="184">
        <f t="shared" ref="N54:N59" si="33">I54</f>
        <v>2.7397260273972601</v>
      </c>
      <c r="O54" s="184">
        <f t="shared" si="32"/>
        <v>10</v>
      </c>
      <c r="P54" s="187">
        <f t="shared" si="4"/>
        <v>0</v>
      </c>
      <c r="Q54" s="184">
        <v>20</v>
      </c>
      <c r="R54" s="160">
        <f t="shared" si="27"/>
        <v>17</v>
      </c>
      <c r="S54" s="532">
        <v>7</v>
      </c>
      <c r="T54" s="532">
        <v>29</v>
      </c>
      <c r="U54" s="532">
        <v>2.4</v>
      </c>
      <c r="V54" s="187">
        <f>Tierb!N54</f>
        <v>0</v>
      </c>
      <c r="W54" s="530">
        <f>Tierb!O54</f>
        <v>0</v>
      </c>
      <c r="X54" s="614">
        <f t="shared" si="28"/>
        <v>0</v>
      </c>
      <c r="Y54" s="187">
        <f>Tierb!P54</f>
        <v>0</v>
      </c>
      <c r="Z54" s="532">
        <f>Tierb!Q54</f>
        <v>0</v>
      </c>
      <c r="AA54" s="530">
        <f>Tierb!R54</f>
        <v>0</v>
      </c>
      <c r="AB54" s="614">
        <f t="shared" si="29"/>
        <v>0</v>
      </c>
      <c r="AC54" s="509"/>
      <c r="AD54" s="509">
        <f>Tierb!J54*Tierb!K54/365</f>
        <v>0</v>
      </c>
      <c r="AE54" s="209">
        <f>Tierb!H54</f>
        <v>0.2</v>
      </c>
      <c r="AF54" s="209">
        <f t="shared" si="30"/>
        <v>0.85</v>
      </c>
      <c r="AG54" s="209"/>
      <c r="AI54" s="57"/>
      <c r="AJ54" s="57"/>
      <c r="AK54" s="57"/>
      <c r="AL54" s="57"/>
      <c r="AM54" s="57"/>
      <c r="AN54" s="57"/>
      <c r="AO54" s="57"/>
      <c r="AP54" s="57"/>
      <c r="AQ54" s="57"/>
    </row>
    <row r="55" spans="1:70" ht="15" customHeight="1">
      <c r="A55" s="681">
        <f>Tierb!A55</f>
        <v>530</v>
      </c>
      <c r="B55" s="596" t="str">
        <f>D_Klick!B268</f>
        <v>Rothirsche, 2 Tiere, Muttertier und Nachwuchs</v>
      </c>
      <c r="C55" s="159"/>
      <c r="D55" s="159"/>
      <c r="E55" s="159"/>
      <c r="F55" s="158" t="str">
        <f>Texte!A3733</f>
        <v>Einheit</v>
      </c>
      <c r="G55" s="184">
        <f>Tierb!G55</f>
        <v>0</v>
      </c>
      <c r="H55" s="184">
        <f>Tierb!L55</f>
        <v>0</v>
      </c>
      <c r="I55" s="184">
        <f t="shared" si="31"/>
        <v>5.4794520547945202</v>
      </c>
      <c r="J55" s="184">
        <v>20</v>
      </c>
      <c r="K55" s="187">
        <f t="shared" si="26"/>
        <v>0</v>
      </c>
      <c r="L55" s="187">
        <f>IF(Tierb!J55*Tierb!K55 &lt; 0,ABS(Tierb!J55),0)</f>
        <v>0</v>
      </c>
      <c r="M55" s="187">
        <f>IF(Tierb!J55*Tierb!K55 &lt; 0,ABS(Tierb!K55),0)</f>
        <v>0</v>
      </c>
      <c r="N55" s="184">
        <f t="shared" si="33"/>
        <v>5.4794520547945202</v>
      </c>
      <c r="O55" s="184">
        <f t="shared" si="32"/>
        <v>20</v>
      </c>
      <c r="P55" s="187">
        <f t="shared" si="4"/>
        <v>0</v>
      </c>
      <c r="Q55" s="184">
        <v>40</v>
      </c>
      <c r="R55" s="160">
        <f t="shared" si="27"/>
        <v>34</v>
      </c>
      <c r="S55" s="532">
        <v>14</v>
      </c>
      <c r="T55" s="532">
        <v>58</v>
      </c>
      <c r="U55" s="532">
        <v>4.8</v>
      </c>
      <c r="V55" s="187">
        <f>Tierb!N55</f>
        <v>0</v>
      </c>
      <c r="W55" s="530">
        <f>Tierb!O55</f>
        <v>0</v>
      </c>
      <c r="X55" s="614">
        <f t="shared" si="28"/>
        <v>0</v>
      </c>
      <c r="Y55" s="187">
        <f>Tierb!P55</f>
        <v>0</v>
      </c>
      <c r="Z55" s="532">
        <f>Tierb!Q55</f>
        <v>0</v>
      </c>
      <c r="AA55" s="530">
        <f>Tierb!R55</f>
        <v>0</v>
      </c>
      <c r="AB55" s="614">
        <f t="shared" si="29"/>
        <v>0</v>
      </c>
      <c r="AC55" s="509"/>
      <c r="AD55" s="509">
        <f>Tierb!J55*Tierb!K55/365</f>
        <v>0</v>
      </c>
      <c r="AE55" s="209">
        <f>Tierb!H55</f>
        <v>0.4</v>
      </c>
      <c r="AF55" s="209">
        <f t="shared" si="30"/>
        <v>0.85</v>
      </c>
      <c r="AG55" s="209"/>
      <c r="AI55" s="57"/>
      <c r="AJ55" s="57"/>
      <c r="AK55" s="57"/>
      <c r="AL55" s="57"/>
      <c r="AM55" s="57"/>
      <c r="AN55" s="57"/>
      <c r="AO55" s="57"/>
      <c r="AP55" s="57"/>
      <c r="AQ55" s="57"/>
      <c r="BA55" s="2201" t="str">
        <f>Texte!$A$3692</f>
        <v>Anfall aus Import- / Exportbilanz</v>
      </c>
      <c r="BB55" s="2197" t="str">
        <f>Texte!$A$3733</f>
        <v>Einheit</v>
      </c>
      <c r="BC55" s="2197" t="str">
        <f>Texte!$A$3675</f>
        <v xml:space="preserve">Anzahl </v>
      </c>
      <c r="BD55" s="2198" t="str">
        <f>Texte!$A$3693</f>
        <v>Anfall je Einheit u. Jahr</v>
      </c>
      <c r="BE55" s="2198"/>
      <c r="BF55" s="2198"/>
      <c r="BG55" s="681" t="s">
        <v>7039</v>
      </c>
      <c r="BH55" s="2198" t="str">
        <f>Texte!$A$3834</f>
        <v>Standardanfall der beteiligten Kategorien</v>
      </c>
      <c r="BI55" s="2198"/>
      <c r="BJ55" s="2198"/>
      <c r="BK55" s="2198"/>
      <c r="BL55" s="2198"/>
    </row>
    <row r="56" spans="1:70" ht="15" customHeight="1">
      <c r="A56" s="681">
        <f>Tierb!A56</f>
        <v>540</v>
      </c>
      <c r="B56" s="596" t="str">
        <f>D_Klick!B269</f>
        <v>Lamas über 2-jährig</v>
      </c>
      <c r="C56" s="159"/>
      <c r="D56" s="159"/>
      <c r="E56" s="159"/>
      <c r="F56" s="158" t="str">
        <f>Texte!A3730</f>
        <v>Stück</v>
      </c>
      <c r="G56" s="184">
        <f>Tierb!G56</f>
        <v>0</v>
      </c>
      <c r="H56" s="184">
        <f>Tierb!L56</f>
        <v>0</v>
      </c>
      <c r="I56" s="184">
        <f t="shared" si="31"/>
        <v>2.3287671232876712</v>
      </c>
      <c r="J56" s="184">
        <v>8.5</v>
      </c>
      <c r="K56" s="187">
        <f t="shared" si="26"/>
        <v>0</v>
      </c>
      <c r="L56" s="187">
        <f>IF(Tierb!J56*Tierb!K56 &lt; 0,ABS(Tierb!J56),0)</f>
        <v>0</v>
      </c>
      <c r="M56" s="187">
        <f>IF(Tierb!J56*Tierb!K56 &lt; 0,ABS(Tierb!K56),0)</f>
        <v>0</v>
      </c>
      <c r="N56" s="184">
        <f t="shared" si="33"/>
        <v>2.3287671232876712</v>
      </c>
      <c r="O56" s="184">
        <f t="shared" si="32"/>
        <v>8.5</v>
      </c>
      <c r="P56" s="187">
        <f t="shared" si="4"/>
        <v>0</v>
      </c>
      <c r="Q56" s="184">
        <v>17</v>
      </c>
      <c r="R56" s="160">
        <f t="shared" si="27"/>
        <v>14.45</v>
      </c>
      <c r="S56" s="532">
        <v>6.5</v>
      </c>
      <c r="T56" s="532">
        <v>28</v>
      </c>
      <c r="U56" s="532">
        <v>1.7</v>
      </c>
      <c r="V56" s="187">
        <f>Tierb!N56</f>
        <v>0</v>
      </c>
      <c r="W56" s="530">
        <f>Tierb!O56</f>
        <v>0</v>
      </c>
      <c r="X56" s="614">
        <f t="shared" si="28"/>
        <v>0</v>
      </c>
      <c r="Y56" s="187">
        <f>Tierb!P56</f>
        <v>0</v>
      </c>
      <c r="Z56" s="532">
        <f>Tierb!Q56</f>
        <v>0</v>
      </c>
      <c r="AA56" s="530">
        <f>Tierb!R56</f>
        <v>0</v>
      </c>
      <c r="AB56" s="614">
        <f t="shared" si="29"/>
        <v>0</v>
      </c>
      <c r="AC56" s="509"/>
      <c r="AD56" s="509">
        <f>Tierb!J56*Tierb!K56/365</f>
        <v>0</v>
      </c>
      <c r="AE56" s="209">
        <f>Tierb!H56</f>
        <v>0.17</v>
      </c>
      <c r="AF56" s="209">
        <f t="shared" si="30"/>
        <v>0.85</v>
      </c>
      <c r="AG56" s="209"/>
      <c r="AI56" s="57"/>
      <c r="AJ56" s="57"/>
      <c r="AK56" s="57"/>
      <c r="AL56" s="57"/>
      <c r="AM56" s="57"/>
      <c r="AN56" s="57"/>
      <c r="AO56" s="57"/>
      <c r="AP56" s="57"/>
      <c r="AQ56" s="57"/>
      <c r="AY56" s="2197" t="s">
        <v>5484</v>
      </c>
      <c r="AZ56" s="2197" t="s">
        <v>5484</v>
      </c>
      <c r="BA56" s="2197" t="s">
        <v>5484</v>
      </c>
      <c r="BB56" s="2197"/>
      <c r="BC56" s="2197"/>
      <c r="BD56" s="2197" t="s">
        <v>5484</v>
      </c>
      <c r="BE56" s="2197" t="s">
        <v>5484</v>
      </c>
      <c r="BF56" s="2197" t="s">
        <v>5484</v>
      </c>
      <c r="BG56" s="2197" t="s">
        <v>5652</v>
      </c>
      <c r="BH56" s="2197" t="s">
        <v>5484</v>
      </c>
      <c r="BI56" s="2197" t="s">
        <v>5484</v>
      </c>
      <c r="BJ56" s="2197" t="s">
        <v>5484</v>
      </c>
      <c r="BK56" s="2197" t="s">
        <v>5484</v>
      </c>
      <c r="BL56" s="2197" t="s">
        <v>5484</v>
      </c>
    </row>
    <row r="57" spans="1:70" ht="15" customHeight="1">
      <c r="A57" s="681">
        <f>Tierb!A57</f>
        <v>550</v>
      </c>
      <c r="B57" s="596" t="str">
        <f>D_Klick!B270</f>
        <v>Lamas bis 2-jährig</v>
      </c>
      <c r="C57" s="159"/>
      <c r="D57" s="159"/>
      <c r="E57" s="159"/>
      <c r="F57" s="158" t="str">
        <f>Texte!A3730</f>
        <v>Stück</v>
      </c>
      <c r="G57" s="184">
        <f>Tierb!G57</f>
        <v>0</v>
      </c>
      <c r="H57" s="184">
        <f>Tierb!L57</f>
        <v>0</v>
      </c>
      <c r="I57" s="184">
        <f t="shared" si="31"/>
        <v>1.3424657534246578</v>
      </c>
      <c r="J57" s="184">
        <v>4.9000000000000004</v>
      </c>
      <c r="K57" s="187">
        <f t="shared" si="26"/>
        <v>0</v>
      </c>
      <c r="L57" s="187">
        <f>IF(Tierb!J57*Tierb!K57 &lt; 0,ABS(Tierb!J57),0)</f>
        <v>0</v>
      </c>
      <c r="M57" s="187">
        <f>IF(Tierb!J57*Tierb!K57 &lt; 0,ABS(Tierb!K57),0)</f>
        <v>0</v>
      </c>
      <c r="N57" s="184">
        <f t="shared" si="33"/>
        <v>1.3424657534246578</v>
      </c>
      <c r="O57" s="184">
        <f t="shared" si="32"/>
        <v>4.9000000000000004</v>
      </c>
      <c r="P57" s="187">
        <f t="shared" si="4"/>
        <v>0</v>
      </c>
      <c r="Q57" s="184">
        <v>11</v>
      </c>
      <c r="R57" s="160">
        <f t="shared" si="27"/>
        <v>9.35</v>
      </c>
      <c r="S57" s="532">
        <v>4</v>
      </c>
      <c r="T57" s="532">
        <v>15</v>
      </c>
      <c r="U57" s="532">
        <v>1</v>
      </c>
      <c r="V57" s="187">
        <f>Tierb!N57</f>
        <v>0</v>
      </c>
      <c r="W57" s="530">
        <f>Tierb!O57</f>
        <v>0</v>
      </c>
      <c r="X57" s="614">
        <f t="shared" si="28"/>
        <v>0</v>
      </c>
      <c r="Y57" s="187">
        <f>Tierb!P57</f>
        <v>0</v>
      </c>
      <c r="Z57" s="532">
        <f>Tierb!Q57</f>
        <v>0</v>
      </c>
      <c r="AA57" s="530">
        <f>Tierb!R57</f>
        <v>0</v>
      </c>
      <c r="AB57" s="614">
        <f t="shared" si="29"/>
        <v>0</v>
      </c>
      <c r="AC57" s="509"/>
      <c r="AD57" s="509">
        <f>Tierb!J57*Tierb!K57/365</f>
        <v>0</v>
      </c>
      <c r="AE57" s="209">
        <f>Tierb!H57</f>
        <v>0.11</v>
      </c>
      <c r="AF57" s="209">
        <f t="shared" si="30"/>
        <v>0.85</v>
      </c>
      <c r="AG57" s="209"/>
      <c r="AI57" s="57"/>
      <c r="AJ57" s="57"/>
      <c r="AK57" s="57"/>
      <c r="AL57" s="57"/>
      <c r="AM57" s="57"/>
      <c r="AN57" s="57"/>
      <c r="AO57" s="57"/>
      <c r="AP57" s="57"/>
      <c r="AQ57" s="57"/>
      <c r="AY57" s="2197" t="s">
        <v>1511</v>
      </c>
      <c r="AZ57" s="2197" t="str">
        <f>Texte!$A$3694</f>
        <v>Nges.</v>
      </c>
      <c r="BA57" s="2197" t="s">
        <v>1710</v>
      </c>
      <c r="BB57" s="2197"/>
      <c r="BC57" s="2197"/>
      <c r="BD57" s="2197" t="s">
        <v>1511</v>
      </c>
      <c r="BE57" s="2197" t="str">
        <f>Texte!$A$3694</f>
        <v>Nges.</v>
      </c>
      <c r="BF57" s="2197" t="s">
        <v>1710</v>
      </c>
      <c r="BG57" s="2197" t="s">
        <v>7038</v>
      </c>
      <c r="BH57" s="2197" t="s">
        <v>1511</v>
      </c>
      <c r="BI57" s="2197" t="str">
        <f>Texte!$A$3694</f>
        <v>Nges.</v>
      </c>
      <c r="BJ57" s="2197" t="s">
        <v>1710</v>
      </c>
      <c r="BK57" s="2197" t="s">
        <v>1711</v>
      </c>
      <c r="BL57" s="2197" t="s">
        <v>7031</v>
      </c>
    </row>
    <row r="58" spans="1:70" ht="15" customHeight="1">
      <c r="A58" s="681">
        <f>Tierb!A58</f>
        <v>560</v>
      </c>
      <c r="B58" s="596" t="str">
        <f>D_Klick!B271</f>
        <v>Alpakas über 2-jährig</v>
      </c>
      <c r="C58" s="159"/>
      <c r="D58" s="159"/>
      <c r="E58" s="159"/>
      <c r="F58" s="158" t="str">
        <f>Texte!A3730</f>
        <v>Stück</v>
      </c>
      <c r="G58" s="184">
        <f>Tierb!G58</f>
        <v>0</v>
      </c>
      <c r="H58" s="184">
        <f>Tierb!L58</f>
        <v>0</v>
      </c>
      <c r="I58" s="184">
        <f t="shared" si="31"/>
        <v>1.5068493150684932</v>
      </c>
      <c r="J58" s="184">
        <v>5.5</v>
      </c>
      <c r="K58" s="187">
        <f t="shared" si="26"/>
        <v>0</v>
      </c>
      <c r="L58" s="187">
        <f>IF(Tierb!J58*Tierb!K58 &lt; 0,ABS(Tierb!J58),0)</f>
        <v>0</v>
      </c>
      <c r="M58" s="187">
        <f>IF(Tierb!J58*Tierb!K58 &lt; 0,ABS(Tierb!K58),0)</f>
        <v>0</v>
      </c>
      <c r="N58" s="184">
        <f t="shared" si="33"/>
        <v>1.5068493150684932</v>
      </c>
      <c r="O58" s="184">
        <f t="shared" si="32"/>
        <v>5.5</v>
      </c>
      <c r="P58" s="187">
        <f t="shared" si="4"/>
        <v>0</v>
      </c>
      <c r="Q58" s="184">
        <v>11</v>
      </c>
      <c r="R58" s="160">
        <f t="shared" si="27"/>
        <v>9.35</v>
      </c>
      <c r="S58" s="532">
        <v>4</v>
      </c>
      <c r="T58" s="532">
        <v>18</v>
      </c>
      <c r="U58" s="532">
        <v>1</v>
      </c>
      <c r="V58" s="187">
        <f>Tierb!N58</f>
        <v>0</v>
      </c>
      <c r="W58" s="530">
        <f>Tierb!O58</f>
        <v>0</v>
      </c>
      <c r="X58" s="614">
        <f t="shared" si="28"/>
        <v>0</v>
      </c>
      <c r="Y58" s="187">
        <f>Tierb!P58</f>
        <v>0</v>
      </c>
      <c r="Z58" s="532">
        <f>Tierb!Q58</f>
        <v>0</v>
      </c>
      <c r="AA58" s="530">
        <f>Tierb!R58</f>
        <v>0</v>
      </c>
      <c r="AB58" s="614">
        <f t="shared" si="29"/>
        <v>0</v>
      </c>
      <c r="AC58" s="509"/>
      <c r="AD58" s="509">
        <f>Tierb!J58*Tierb!K58/365</f>
        <v>0</v>
      </c>
      <c r="AE58" s="209">
        <f>Tierb!H58</f>
        <v>0.11</v>
      </c>
      <c r="AF58" s="209">
        <f t="shared" si="30"/>
        <v>0.85</v>
      </c>
      <c r="AG58" s="209"/>
      <c r="AI58" s="57"/>
      <c r="AJ58" s="57"/>
      <c r="AK58" s="57"/>
      <c r="AL58" s="57"/>
      <c r="AM58" s="57"/>
      <c r="AN58" s="57"/>
      <c r="AO58" s="57"/>
      <c r="AP58" s="57"/>
      <c r="AQ58" s="57"/>
      <c r="AT58" s="2206">
        <f>AS68/0.144</f>
        <v>3.3333333333333333E-2</v>
      </c>
    </row>
    <row r="59" spans="1:70" ht="15" customHeight="1" thickBot="1">
      <c r="A59" s="681">
        <f>Tierb!A59</f>
        <v>570</v>
      </c>
      <c r="B59" s="596" t="str">
        <f>D_Klick!B272</f>
        <v>Alpakas bis 2-jährig</v>
      </c>
      <c r="C59" s="159"/>
      <c r="D59" s="159"/>
      <c r="E59" s="159"/>
      <c r="F59" s="158" t="str">
        <f>Texte!A3730</f>
        <v>Stück</v>
      </c>
      <c r="G59" s="184">
        <f>Tierb!G59</f>
        <v>0</v>
      </c>
      <c r="H59" s="184">
        <f>Tierb!L59</f>
        <v>0</v>
      </c>
      <c r="I59" s="184">
        <f t="shared" si="31"/>
        <v>0.82191780821917804</v>
      </c>
      <c r="J59" s="184">
        <v>3</v>
      </c>
      <c r="K59" s="187">
        <f t="shared" si="26"/>
        <v>0</v>
      </c>
      <c r="L59" s="187">
        <f>IF(Tierb!J59*Tierb!K59 &lt; 0,ABS(Tierb!J59),0)</f>
        <v>0</v>
      </c>
      <c r="M59" s="187">
        <f>IF(Tierb!J59*Tierb!K59 &lt; 0,ABS(Tierb!K59),0)</f>
        <v>0</v>
      </c>
      <c r="N59" s="184">
        <f t="shared" si="33"/>
        <v>0.82191780821917804</v>
      </c>
      <c r="O59" s="184">
        <f t="shared" si="32"/>
        <v>3</v>
      </c>
      <c r="P59" s="187">
        <f t="shared" si="4"/>
        <v>0</v>
      </c>
      <c r="Q59" s="184">
        <v>7</v>
      </c>
      <c r="R59" s="160">
        <f t="shared" si="27"/>
        <v>5.95</v>
      </c>
      <c r="S59" s="532">
        <v>2.5</v>
      </c>
      <c r="T59" s="532">
        <v>9</v>
      </c>
      <c r="U59" s="834">
        <v>0.5</v>
      </c>
      <c r="V59" s="187">
        <f>Tierb!N59</f>
        <v>0</v>
      </c>
      <c r="W59" s="530">
        <f>Tierb!O59</f>
        <v>0</v>
      </c>
      <c r="X59" s="614">
        <f t="shared" si="28"/>
        <v>0</v>
      </c>
      <c r="Y59" s="187">
        <f>Tierb!P59</f>
        <v>0</v>
      </c>
      <c r="Z59" s="532">
        <f>Tierb!Q59</f>
        <v>0</v>
      </c>
      <c r="AA59" s="530">
        <f>Tierb!R59</f>
        <v>0</v>
      </c>
      <c r="AB59" s="614">
        <f t="shared" si="29"/>
        <v>0</v>
      </c>
      <c r="AC59" s="509"/>
      <c r="AD59" s="509">
        <f>Tierb!J59*Tierb!K59/365</f>
        <v>0</v>
      </c>
      <c r="AE59" s="209">
        <f>Tierb!H59</f>
        <v>7.0000000000000007E-2</v>
      </c>
      <c r="AF59" s="209">
        <f t="shared" si="30"/>
        <v>0.85</v>
      </c>
      <c r="AG59" s="209"/>
      <c r="AI59" s="57"/>
      <c r="AJ59" s="57"/>
      <c r="AK59" s="57"/>
      <c r="AL59" s="57"/>
      <c r="AM59" s="57"/>
      <c r="AN59" s="57"/>
      <c r="AO59" s="57"/>
      <c r="AP59" s="57"/>
      <c r="AQ59" s="57"/>
      <c r="AX59" s="609" t="str">
        <f>Texte!A3783</f>
        <v>Kaninchen</v>
      </c>
      <c r="BB59" s="197"/>
      <c r="BC59" s="509"/>
    </row>
    <row r="60" spans="1:70" ht="15" customHeight="1">
      <c r="A60" s="681">
        <f>Tierb!A60</f>
        <v>800</v>
      </c>
      <c r="B60" s="596" t="str">
        <f>D_Klick!B273</f>
        <v>Kaninchen, Zibben inkl. Jungtiere bis ca. 35-tägig</v>
      </c>
      <c r="C60" s="159"/>
      <c r="D60" s="159"/>
      <c r="E60" s="159"/>
      <c r="F60" s="158" t="str">
        <f>Texte!A3730</f>
        <v>Stück</v>
      </c>
      <c r="G60" s="184">
        <f>Tierb!G60</f>
        <v>0</v>
      </c>
      <c r="H60" s="184">
        <f>Tierb!L60</f>
        <v>0</v>
      </c>
      <c r="I60" s="184">
        <f t="shared" si="31"/>
        <v>9.8630136986301367E-2</v>
      </c>
      <c r="J60" s="160">
        <v>0.36</v>
      </c>
      <c r="K60" s="187">
        <f t="shared" si="26"/>
        <v>0</v>
      </c>
      <c r="L60" s="622"/>
      <c r="M60" s="622"/>
      <c r="N60" s="622"/>
      <c r="O60" s="622"/>
      <c r="P60" s="623"/>
      <c r="Q60" s="184">
        <f>BN60</f>
        <v>2.6</v>
      </c>
      <c r="R60" s="160">
        <f t="shared" si="27"/>
        <v>2.21</v>
      </c>
      <c r="S60" s="532">
        <f t="shared" ref="S60:U61" si="34">BP60</f>
        <v>1.5</v>
      </c>
      <c r="T60" s="532">
        <f t="shared" si="34"/>
        <v>2.5</v>
      </c>
      <c r="U60" s="834">
        <f t="shared" si="34"/>
        <v>0</v>
      </c>
      <c r="V60" s="187">
        <f>Tierb!N60</f>
        <v>0</v>
      </c>
      <c r="W60" s="530">
        <f>Tierb!O60</f>
        <v>0</v>
      </c>
      <c r="X60" s="614">
        <f>(R60*V60*W60*0.1)/365</f>
        <v>0</v>
      </c>
      <c r="Y60" s="187">
        <f>Tierb!P60</f>
        <v>0</v>
      </c>
      <c r="Z60" s="532">
        <f>Tierb!Q60</f>
        <v>0</v>
      </c>
      <c r="AA60" s="530">
        <f>Tierb!R60</f>
        <v>0</v>
      </c>
      <c r="AB60" s="614">
        <f>(R60*Y60*Z60*AA60)/(24*365)</f>
        <v>0</v>
      </c>
      <c r="AC60" s="509"/>
      <c r="AD60" s="509">
        <f>Tierb!J60*Tierb!K60/365</f>
        <v>0</v>
      </c>
      <c r="AE60" s="209">
        <f>Tierb!H60</f>
        <v>3.4000000000000002E-2</v>
      </c>
      <c r="AF60" s="209">
        <f t="shared" si="30"/>
        <v>0.85</v>
      </c>
      <c r="AG60" s="209"/>
      <c r="AI60" s="57"/>
      <c r="AJ60" s="57"/>
      <c r="AK60" s="57"/>
      <c r="AL60" s="57"/>
      <c r="AM60" s="57"/>
      <c r="AN60" s="57"/>
      <c r="AO60" s="57"/>
      <c r="AP60" s="57"/>
      <c r="AQ60" s="57"/>
      <c r="AX60" s="603" t="str">
        <f t="shared" ref="AX60:AX72" si="35">B60</f>
        <v>Kaninchen, Zibben inkl. Jungtiere bis ca. 35-tägig</v>
      </c>
      <c r="AY60" s="1283"/>
      <c r="AZ60" s="1284"/>
      <c r="BA60" s="1284"/>
      <c r="BB60" s="1285"/>
      <c r="BC60" s="619"/>
      <c r="BD60" s="619"/>
      <c r="BE60" s="1286"/>
      <c r="BF60" s="1287"/>
      <c r="BG60" s="2199">
        <v>-4146</v>
      </c>
      <c r="BH60" s="1219">
        <f>IF(AND($BG60&gt;0,$H60&gt;0),$H60*BN60,0)</f>
        <v>0</v>
      </c>
      <c r="BI60" s="1220">
        <f>BH60*0.85</f>
        <v>0</v>
      </c>
      <c r="BJ60" s="1220">
        <f t="shared" ref="BJ60:BL61" si="36">IF(AND($BG60&gt;0,$H60&gt;0),$H60*BP60,0)</f>
        <v>0</v>
      </c>
      <c r="BK60" s="1220">
        <f t="shared" si="36"/>
        <v>0</v>
      </c>
      <c r="BL60" s="1221">
        <f t="shared" si="36"/>
        <v>0</v>
      </c>
      <c r="BN60" s="959">
        <v>2.6</v>
      </c>
      <c r="BO60" s="959">
        <v>2.2000000000000002</v>
      </c>
      <c r="BP60" s="959">
        <v>1.5</v>
      </c>
      <c r="BQ60" s="959">
        <v>2.5</v>
      </c>
      <c r="BR60" s="959">
        <v>0</v>
      </c>
    </row>
    <row r="61" spans="1:70" ht="15" customHeight="1">
      <c r="A61" s="681">
        <f>Tierb!A61</f>
        <v>810</v>
      </c>
      <c r="B61" s="596" t="str">
        <f>D_Klick!B274</f>
        <v>Kaninchen, Jungtiere über ca. 35-tägig</v>
      </c>
      <c r="C61" s="159"/>
      <c r="D61" s="159"/>
      <c r="E61" s="159"/>
      <c r="F61" s="158" t="str">
        <f>Texte!A3734</f>
        <v>100 Pl.</v>
      </c>
      <c r="G61" s="184">
        <f>Tierb!G61</f>
        <v>0</v>
      </c>
      <c r="H61" s="184">
        <f>Tierb!L61</f>
        <v>0</v>
      </c>
      <c r="I61" s="184">
        <f t="shared" si="31"/>
        <v>1.095890410958904</v>
      </c>
      <c r="J61" s="184">
        <v>4</v>
      </c>
      <c r="K61" s="187">
        <f t="shared" si="26"/>
        <v>0</v>
      </c>
      <c r="L61" s="622"/>
      <c r="M61" s="622"/>
      <c r="N61" s="622"/>
      <c r="O61" s="622"/>
      <c r="P61" s="623"/>
      <c r="Q61" s="184">
        <f>BN61</f>
        <v>79</v>
      </c>
      <c r="R61" s="160">
        <f t="shared" si="27"/>
        <v>67.150000000000006</v>
      </c>
      <c r="S61" s="532">
        <f t="shared" si="34"/>
        <v>48</v>
      </c>
      <c r="T61" s="532">
        <f t="shared" si="34"/>
        <v>75</v>
      </c>
      <c r="U61" s="834">
        <f t="shared" si="34"/>
        <v>0</v>
      </c>
      <c r="V61" s="187">
        <f>Tierb!N61</f>
        <v>0</v>
      </c>
      <c r="W61" s="530">
        <f>Tierb!O61</f>
        <v>0</v>
      </c>
      <c r="X61" s="614">
        <f t="shared" si="28"/>
        <v>0</v>
      </c>
      <c r="Y61" s="187">
        <f>Tierb!P61</f>
        <v>0</v>
      </c>
      <c r="Z61" s="532">
        <f>Tierb!Q61</f>
        <v>0</v>
      </c>
      <c r="AA61" s="530">
        <f>Tierb!R61</f>
        <v>0</v>
      </c>
      <c r="AB61" s="614">
        <f t="shared" si="29"/>
        <v>0</v>
      </c>
      <c r="AC61" s="509"/>
      <c r="AD61" s="509">
        <f>Tierb!J61*Tierb!K61/365</f>
        <v>0</v>
      </c>
      <c r="AE61" s="209">
        <f>Tierb!H61</f>
        <v>1.1000000000000001</v>
      </c>
      <c r="AF61" s="209">
        <f t="shared" si="30"/>
        <v>0.85</v>
      </c>
      <c r="AG61" s="209"/>
      <c r="AI61" s="57"/>
      <c r="AJ61" s="57" t="str">
        <f>Texte!A3812</f>
        <v>Spezifische Werte</v>
      </c>
      <c r="AK61" s="197">
        <f>COUNT(Tierb!G9:G61)</f>
        <v>8</v>
      </c>
      <c r="AL61" s="223" t="str">
        <f>Texte!A3813</f>
        <v>Energiekorrigierte Werte</v>
      </c>
      <c r="AM61" s="223"/>
      <c r="AN61" s="223" t="str">
        <f>Texte!A3814</f>
        <v>Standardwerte FS</v>
      </c>
      <c r="AO61" s="223"/>
      <c r="AP61" s="223"/>
      <c r="AQ61" s="223" t="str">
        <f>Texte!A3815</f>
        <v>Tiefstwerte FS</v>
      </c>
      <c r="AR61" s="223"/>
      <c r="AS61" s="223" t="s">
        <v>1547</v>
      </c>
      <c r="AT61" s="223"/>
      <c r="AU61" s="223" t="str">
        <f>Texte!A3816</f>
        <v>Tiefstwerte</v>
      </c>
      <c r="AV61" s="223"/>
      <c r="AX61" s="596" t="str">
        <f t="shared" si="35"/>
        <v>Kaninchen, Jungtiere über ca. 35-tägig</v>
      </c>
      <c r="AY61" s="1214"/>
      <c r="AZ61" s="1206"/>
      <c r="BA61" s="1206"/>
      <c r="BB61" s="1207"/>
      <c r="BC61" s="622"/>
      <c r="BD61" s="622"/>
      <c r="BE61" s="1208"/>
      <c r="BF61" s="911"/>
      <c r="BG61" s="2199">
        <v>-4146</v>
      </c>
      <c r="BH61" s="1217">
        <f>IF(AND($BG61&gt;0,$H61&gt;0),$H61*BN61,0)</f>
        <v>0</v>
      </c>
      <c r="BI61" s="1201">
        <f>BH61*0.85</f>
        <v>0</v>
      </c>
      <c r="BJ61" s="1201">
        <f t="shared" si="36"/>
        <v>0</v>
      </c>
      <c r="BK61" s="1201">
        <f t="shared" si="36"/>
        <v>0</v>
      </c>
      <c r="BL61" s="1222">
        <f t="shared" si="36"/>
        <v>0</v>
      </c>
      <c r="BN61" s="959">
        <v>79</v>
      </c>
      <c r="BO61" s="959">
        <v>67.2</v>
      </c>
      <c r="BP61" s="959">
        <v>48</v>
      </c>
      <c r="BQ61" s="959">
        <v>75</v>
      </c>
      <c r="BR61" s="959">
        <v>0</v>
      </c>
    </row>
    <row r="62" spans="1:70" ht="15" customHeight="1" thickBot="1">
      <c r="B62" s="115" t="str">
        <f>D_Klick!B275</f>
        <v>Kaninchen aus Import/Export Bilanz</v>
      </c>
      <c r="C62" s="598"/>
      <c r="D62" s="598"/>
      <c r="E62" s="598"/>
      <c r="F62" s="615" t="str">
        <f>Texte!A3731</f>
        <v>Platz</v>
      </c>
      <c r="G62" s="599">
        <v>1</v>
      </c>
      <c r="H62" s="599">
        <f>IF(OR(AY62="",BA62=""),0,1)</f>
        <v>0</v>
      </c>
      <c r="I62" s="184"/>
      <c r="J62" s="599">
        <f>(365*I62)*0.01</f>
        <v>0</v>
      </c>
      <c r="K62" s="601">
        <f t="shared" si="26"/>
        <v>0</v>
      </c>
      <c r="L62" s="624"/>
      <c r="M62" s="624"/>
      <c r="N62" s="624"/>
      <c r="O62" s="624"/>
      <c r="P62" s="625"/>
      <c r="Q62" s="184">
        <f>IF($H62=1,AY62-BH62,0)</f>
        <v>0</v>
      </c>
      <c r="R62" s="160">
        <f t="shared" si="27"/>
        <v>0</v>
      </c>
      <c r="S62" s="532">
        <f>IF($H62=1,BA62-BJ62,0)</f>
        <v>0</v>
      </c>
      <c r="T62" s="532"/>
      <c r="U62" s="532"/>
      <c r="V62" s="601"/>
      <c r="W62" s="618"/>
      <c r="X62" s="617"/>
      <c r="Y62" s="601"/>
      <c r="Z62" s="616"/>
      <c r="AA62" s="618"/>
      <c r="AB62" s="617"/>
      <c r="AC62" s="509"/>
      <c r="AD62" s="509"/>
      <c r="AE62" s="209"/>
      <c r="AF62" s="209">
        <f t="shared" si="30"/>
        <v>0.85</v>
      </c>
      <c r="AG62" s="209"/>
      <c r="AI62" s="57"/>
      <c r="AJ62" s="57"/>
      <c r="AK62" s="57"/>
      <c r="AL62" s="223"/>
      <c r="AM62" s="223"/>
      <c r="AN62" s="223"/>
      <c r="AO62" s="223"/>
      <c r="AP62" s="223"/>
      <c r="AQ62" s="223"/>
      <c r="AR62" s="223"/>
      <c r="AS62" s="223" t="s">
        <v>1512</v>
      </c>
      <c r="AT62" s="223"/>
      <c r="AU62" s="2313" t="s">
        <v>5484</v>
      </c>
      <c r="AV62" s="223"/>
      <c r="AX62" s="115" t="str">
        <f t="shared" si="35"/>
        <v>Kaninchen aus Import/Export Bilanz</v>
      </c>
      <c r="AY62" s="1218"/>
      <c r="AZ62" s="1202">
        <f>AY62*0.85</f>
        <v>0</v>
      </c>
      <c r="BA62" s="1202"/>
      <c r="BB62" s="615" t="str">
        <f>F62</f>
        <v>Platz</v>
      </c>
      <c r="BC62" s="599">
        <f>H62</f>
        <v>0</v>
      </c>
      <c r="BD62" s="599"/>
      <c r="BE62" s="616"/>
      <c r="BF62" s="617"/>
      <c r="BG62" s="2197" t="str">
        <f>Texte!A3835</f>
        <v>Summe</v>
      </c>
      <c r="BH62" s="1224">
        <f>SUM(BH60:BH61)</f>
        <v>0</v>
      </c>
      <c r="BI62" s="1225">
        <f>SUM(BI60:BI61)</f>
        <v>0</v>
      </c>
      <c r="BJ62" s="1225">
        <f>SUM(BJ60:BJ61)</f>
        <v>0</v>
      </c>
      <c r="BK62" s="1226">
        <f>SUM(BK60:BK61)</f>
        <v>0</v>
      </c>
      <c r="BL62" s="1223">
        <f>SUM(BL60:BL61)</f>
        <v>0</v>
      </c>
      <c r="BN62" s="959"/>
      <c r="BO62" s="959"/>
      <c r="BP62" s="959"/>
      <c r="BQ62" s="959"/>
      <c r="BR62" s="959"/>
    </row>
    <row r="63" spans="1:70" ht="15" customHeight="1" thickBot="1">
      <c r="B63" s="2258" t="str">
        <f>D_Klick!B276</f>
        <v>Schweine</v>
      </c>
      <c r="C63" s="2258"/>
      <c r="D63" s="2259"/>
      <c r="E63" s="2259"/>
      <c r="F63" s="2259"/>
      <c r="G63" s="2260"/>
      <c r="H63" s="2260"/>
      <c r="I63" s="2260"/>
      <c r="J63" s="2261"/>
      <c r="K63" s="2262"/>
      <c r="L63" s="2262"/>
      <c r="M63" s="2262"/>
      <c r="N63" s="2260"/>
      <c r="O63" s="2261"/>
      <c r="P63" s="2262"/>
      <c r="Q63" s="2260"/>
      <c r="R63" s="2263"/>
      <c r="S63" s="2260"/>
      <c r="T63" s="2260"/>
      <c r="U63" s="2260"/>
      <c r="V63" s="2261"/>
      <c r="W63" s="2261"/>
      <c r="X63" s="2261"/>
      <c r="Y63" s="2264"/>
      <c r="Z63" s="2264"/>
      <c r="AA63" s="2264"/>
      <c r="AB63" s="2264"/>
      <c r="AC63" s="509"/>
      <c r="AD63" s="125"/>
      <c r="AE63" s="209"/>
      <c r="AF63" s="209"/>
      <c r="AG63" s="197"/>
      <c r="AH63" s="199" t="str">
        <f>Texte!A3825</f>
        <v>Futter für Zucht-</v>
      </c>
      <c r="AI63" s="125" t="str">
        <f>Texte!A3817</f>
        <v>g RP FS</v>
      </c>
      <c r="AJ63" s="125" t="str">
        <f>Texte!A3818</f>
        <v>g P FS</v>
      </c>
      <c r="AK63" s="125" t="str">
        <f>Texte!A3819</f>
        <v>MJ VES</v>
      </c>
      <c r="AL63" s="125" t="str">
        <f>Texte!A3820</f>
        <v>g RP korr.</v>
      </c>
      <c r="AM63" s="125" t="str">
        <f>Texte!A3821</f>
        <v>g P korr.</v>
      </c>
      <c r="AN63" s="125" t="str">
        <f>Texte!A3822</f>
        <v>g RP FS</v>
      </c>
      <c r="AO63" s="125" t="str">
        <f>Texte!A3823</f>
        <v>g P FS</v>
      </c>
      <c r="AP63" s="125" t="str">
        <f>Texte!A3824</f>
        <v>MJ VES</v>
      </c>
      <c r="AQ63" s="125" t="str">
        <f>Texte!A3822</f>
        <v>g RP FS</v>
      </c>
      <c r="AR63" s="125" t="str">
        <f>Texte!A3823</f>
        <v>g P FS</v>
      </c>
      <c r="AS63" s="125" t="s">
        <v>1511</v>
      </c>
      <c r="AT63" s="125" t="s">
        <v>1710</v>
      </c>
      <c r="AU63" s="125" t="s">
        <v>1511</v>
      </c>
      <c r="AV63" s="125" t="s">
        <v>1710</v>
      </c>
      <c r="AX63" s="609" t="str">
        <f t="shared" si="35"/>
        <v>Schweine</v>
      </c>
      <c r="BB63" s="197"/>
      <c r="BC63" s="509"/>
    </row>
    <row r="64" spans="1:70" ht="15" customHeight="1">
      <c r="A64" s="681">
        <f>Tierb!A64</f>
        <v>600</v>
      </c>
      <c r="B64" s="596" t="str">
        <f>D_Klick!B277</f>
        <v>Zuchtschweine inkl. Ferkel bis 26 kg LG</v>
      </c>
      <c r="C64" s="159"/>
      <c r="D64" s="159"/>
      <c r="E64" s="159"/>
      <c r="F64" s="158" t="str">
        <f>Texte!A3731</f>
        <v>Platz</v>
      </c>
      <c r="G64" s="184">
        <f>Tierb!G64</f>
        <v>0</v>
      </c>
      <c r="H64" s="184">
        <f>Tierb!L64</f>
        <v>0</v>
      </c>
      <c r="I64" s="184">
        <f>J64/365*100</f>
        <v>0.13698630136986301</v>
      </c>
      <c r="J64" s="154">
        <v>0.5</v>
      </c>
      <c r="K64" s="187">
        <f t="shared" ref="K64:K72" si="37">H64*J64</f>
        <v>0</v>
      </c>
      <c r="L64" s="622"/>
      <c r="M64" s="622"/>
      <c r="N64" s="622"/>
      <c r="O64" s="622"/>
      <c r="P64" s="623"/>
      <c r="Q64" s="184">
        <f t="shared" ref="Q64:Q69" si="38">IF(AND($AW64,$H64&lt;&gt;0),BD64,MAX(BN64*(1-(AN64-AL64)*AS64),AU64))</f>
        <v>44</v>
      </c>
      <c r="R64" s="160">
        <f t="shared" si="27"/>
        <v>35.200000000000003</v>
      </c>
      <c r="S64" s="532">
        <f t="shared" ref="S64:S69" si="39">IF(AND($AW64,$H64&lt;&gt;0),BF64,MAX(BP64*(1+(AM64-AO64)*AT64),AV64))</f>
        <v>21.000000000000004</v>
      </c>
      <c r="T64" s="532">
        <f t="shared" ref="T64:U69" si="40">BQ64</f>
        <v>23</v>
      </c>
      <c r="U64" s="614">
        <f t="shared" si="40"/>
        <v>4.2</v>
      </c>
      <c r="V64" s="530">
        <f>Tierb!N64</f>
        <v>0</v>
      </c>
      <c r="W64" s="530">
        <f>Tierb!O64</f>
        <v>0</v>
      </c>
      <c r="X64" s="614">
        <f t="shared" ref="X64:X72" si="41">(R64*V64*W64*0.1)/365</f>
        <v>0</v>
      </c>
      <c r="Y64" s="187">
        <f>Tierb!P64</f>
        <v>0</v>
      </c>
      <c r="Z64" s="532">
        <f>Tierb!Q64</f>
        <v>0</v>
      </c>
      <c r="AA64" s="530">
        <f>Tierb!R64</f>
        <v>0</v>
      </c>
      <c r="AB64" s="614">
        <f t="shared" ref="AB64:AB72" si="42">(R64*Y64*Z64*AA64)/(24*365)</f>
        <v>0</v>
      </c>
      <c r="AD64" s="509">
        <f>Tierb!J64*Tierb!K64/365</f>
        <v>0</v>
      </c>
      <c r="AE64" s="209">
        <f>Tierb!H64</f>
        <v>0.45</v>
      </c>
      <c r="AF64" s="209">
        <f t="shared" ref="AF64:AF72" si="43">factNgesRed</f>
        <v>0.8</v>
      </c>
      <c r="AG64" s="209"/>
      <c r="AH64" s="199" t="str">
        <f>Texte!A3826</f>
        <v>schweine, inkl. Ferkel</v>
      </c>
      <c r="AI64" s="2319">
        <f>ROUND(0.39*AI69 + 0.61*AI66,20)</f>
        <v>173.34</v>
      </c>
      <c r="AJ64" s="2323">
        <f>ROUND(0.39*AJ69 + 0.61*AJ66,20)</f>
        <v>5.8220000000000001</v>
      </c>
      <c r="AK64" s="2327">
        <f>0.39*AK69 + 0.61*AK66</f>
        <v>13.212</v>
      </c>
      <c r="AL64" s="2314">
        <f>MAX(0.39*(AI69/AK69*AP69)+0.61*(AI66/AK66*AP66),AQ64)</f>
        <v>173.34</v>
      </c>
      <c r="AM64" s="2331">
        <f xml:space="preserve"> MAX(0.39*(AJ69/AK69*AP69)+0.61*(AJ66/AK66*AP66),AR66)</f>
        <v>5.822000000000001</v>
      </c>
      <c r="AN64" s="2322">
        <f>ROUND(0.39*AN69 + 0.61*AN66,20)</f>
        <v>173.34</v>
      </c>
      <c r="AO64" s="2333">
        <f>ROUND(0.39*AO69 + 0.61*AO66,20)</f>
        <v>5.8220000000000001</v>
      </c>
      <c r="AP64" s="2331">
        <f>ROUND(0.39*AP69 + 0.61*AP66,20)</f>
        <v>13.212</v>
      </c>
      <c r="AQ64" s="2322">
        <v>146</v>
      </c>
      <c r="AR64" s="2331">
        <v>4.4000000000000004</v>
      </c>
      <c r="AS64" s="2336">
        <v>6.4000000000000003E-3</v>
      </c>
      <c r="AT64" s="2336">
        <f>AS64*100/3.333333</f>
        <v>0.19200001920000193</v>
      </c>
      <c r="AU64" s="2336">
        <v>36.299999999999997</v>
      </c>
      <c r="AV64" s="2336">
        <v>15.2</v>
      </c>
      <c r="AW64" s="959" t="b">
        <f>IF(AND(AY64&lt;&gt;0,BA64&lt;&gt;0),TRUE,FALSE)</f>
        <v>0</v>
      </c>
      <c r="AX64" s="603" t="str">
        <f t="shared" si="35"/>
        <v>Zuchtschweine inkl. Ferkel bis 26 kg LG</v>
      </c>
      <c r="AY64" s="1216"/>
      <c r="AZ64" s="1200">
        <f>AY64*0.8</f>
        <v>0</v>
      </c>
      <c r="BA64" s="1200"/>
      <c r="BB64" s="605" t="str">
        <f t="shared" ref="BB64:BB72" si="44">F64</f>
        <v>Platz</v>
      </c>
      <c r="BC64" s="606">
        <f t="shared" ref="BC64:BC72" si="45">H64</f>
        <v>0</v>
      </c>
      <c r="BD64" s="606">
        <f>IF($BC64=0,0,AY64/$BC64)</f>
        <v>0</v>
      </c>
      <c r="BE64" s="613">
        <f>IF($BC64=0,0,AZ64/$BC64)</f>
        <v>0</v>
      </c>
      <c r="BF64" s="621">
        <f>IF($BC64=0,0,BA64/$BC64)</f>
        <v>0</v>
      </c>
      <c r="BG64" s="2199">
        <v>-4146</v>
      </c>
      <c r="BH64" s="1219">
        <f t="shared" ref="BH64:BH69" si="46">IF(AND($BG64&gt;0,$H64&gt;0),$H64*BN64,0)</f>
        <v>0</v>
      </c>
      <c r="BI64" s="1220">
        <f t="shared" ref="BI64:BI69" si="47">BH64*0.8</f>
        <v>0</v>
      </c>
      <c r="BJ64" s="1220">
        <f t="shared" ref="BJ64:BL69" si="48">IF(AND($BG64&gt;0,$H64&gt;0),$H64*BP64,0)</f>
        <v>0</v>
      </c>
      <c r="BK64" s="1220">
        <f t="shared" si="48"/>
        <v>0</v>
      </c>
      <c r="BL64" s="1221">
        <f t="shared" si="48"/>
        <v>0</v>
      </c>
      <c r="BN64" s="2241">
        <v>44</v>
      </c>
      <c r="BO64" s="959">
        <v>35</v>
      </c>
      <c r="BP64" s="959">
        <v>21</v>
      </c>
      <c r="BQ64" s="959">
        <v>23</v>
      </c>
      <c r="BR64" s="959">
        <v>4.2</v>
      </c>
    </row>
    <row r="65" spans="1:70" ht="15" customHeight="1">
      <c r="A65" s="681">
        <f>Tierb!A65</f>
        <v>610</v>
      </c>
      <c r="B65" s="596" t="str">
        <f>D_Klick!B278</f>
        <v>Mastschweine, Remonten, 3.32 Umtriebe pro Jahr</v>
      </c>
      <c r="C65" s="159"/>
      <c r="D65" s="159"/>
      <c r="E65" s="159"/>
      <c r="F65" s="158" t="str">
        <f>Texte!A3731</f>
        <v>Platz</v>
      </c>
      <c r="G65" s="184">
        <f>Tierb!G65</f>
        <v>0</v>
      </c>
      <c r="H65" s="184">
        <f>Tierb!L65</f>
        <v>0</v>
      </c>
      <c r="I65" s="184">
        <f>MIN(J65,D_Klick!MastSW_GF)/365*100</f>
        <v>0</v>
      </c>
      <c r="J65" s="85">
        <v>0</v>
      </c>
      <c r="K65" s="187">
        <f>H65*I65*365/100</f>
        <v>0</v>
      </c>
      <c r="L65" s="622"/>
      <c r="M65" s="622"/>
      <c r="N65" s="622"/>
      <c r="O65" s="622"/>
      <c r="P65" s="623"/>
      <c r="Q65" s="184">
        <f t="shared" si="38"/>
        <v>13</v>
      </c>
      <c r="R65" s="160">
        <f t="shared" si="27"/>
        <v>10.4</v>
      </c>
      <c r="S65" s="532">
        <f t="shared" si="39"/>
        <v>5.3</v>
      </c>
      <c r="T65" s="532">
        <f t="shared" si="40"/>
        <v>5.8</v>
      </c>
      <c r="U65" s="614">
        <f t="shared" si="40"/>
        <v>1.4</v>
      </c>
      <c r="V65" s="530">
        <f>Tierb!N65</f>
        <v>0</v>
      </c>
      <c r="W65" s="530">
        <f>Tierb!O65</f>
        <v>0</v>
      </c>
      <c r="X65" s="614">
        <f t="shared" si="41"/>
        <v>0</v>
      </c>
      <c r="Y65" s="187">
        <f>Tierb!P65</f>
        <v>0</v>
      </c>
      <c r="Z65" s="532">
        <f>Tierb!Q65</f>
        <v>0</v>
      </c>
      <c r="AA65" s="530">
        <f>Tierb!R65</f>
        <v>0</v>
      </c>
      <c r="AB65" s="614">
        <f t="shared" si="42"/>
        <v>0</v>
      </c>
      <c r="AD65" s="509">
        <f>Tierb!J65*Tierb!K65/365</f>
        <v>0</v>
      </c>
      <c r="AE65" s="209">
        <f>Tierb!H65</f>
        <v>0.17</v>
      </c>
      <c r="AF65" s="209">
        <f t="shared" si="43"/>
        <v>0.8</v>
      </c>
      <c r="AG65" s="209"/>
      <c r="AH65" s="199" t="str">
        <f>Texte!A3827</f>
        <v>Mastschweinefutter</v>
      </c>
      <c r="AI65" s="2320">
        <v>170</v>
      </c>
      <c r="AJ65" s="2324">
        <v>5.2</v>
      </c>
      <c r="AK65" s="2328">
        <v>14</v>
      </c>
      <c r="AL65" s="2315">
        <f>MAX(AQ65,AI65/AK65*AP65)</f>
        <v>170</v>
      </c>
      <c r="AM65" s="2328">
        <f>MAX(AR65,AJ65/AK65*AP65)</f>
        <v>5.2</v>
      </c>
      <c r="AN65" s="2320">
        <v>170</v>
      </c>
      <c r="AO65" s="2334">
        <v>5.2</v>
      </c>
      <c r="AP65" s="2328">
        <v>14</v>
      </c>
      <c r="AQ65" s="2320">
        <v>140</v>
      </c>
      <c r="AR65" s="2328">
        <v>4</v>
      </c>
      <c r="AS65" s="2337">
        <v>7.1999999999999998E-3</v>
      </c>
      <c r="AT65" s="2337">
        <f>AS65*100/3</f>
        <v>0.24</v>
      </c>
      <c r="AU65" s="2337">
        <v>10.199999999999999</v>
      </c>
      <c r="AV65" s="2337">
        <v>3.8</v>
      </c>
      <c r="AW65" s="959" t="b">
        <f t="shared" ref="AW65:AW78" si="49">IF(AND(AY65&lt;&gt;0,BA65&lt;&gt;0),TRUE,FALSE)</f>
        <v>0</v>
      </c>
      <c r="AX65" s="596" t="str">
        <f t="shared" si="35"/>
        <v>Mastschweine, Remonten, 3.32 Umtriebe pro Jahr</v>
      </c>
      <c r="AY65" s="1217"/>
      <c r="AZ65" s="1201">
        <f t="shared" ref="AZ65:AZ72" si="50">AY65*0.8</f>
        <v>0</v>
      </c>
      <c r="BA65" s="1201"/>
      <c r="BB65" s="158" t="str">
        <f t="shared" si="44"/>
        <v>Platz</v>
      </c>
      <c r="BC65" s="184">
        <f t="shared" si="45"/>
        <v>0</v>
      </c>
      <c r="BD65" s="184">
        <f t="shared" ref="BD65:BD70" si="51">IF($BC65=0,0,AY65/$BC65)</f>
        <v>0</v>
      </c>
      <c r="BE65" s="532">
        <f t="shared" ref="BE65:BE70" si="52">IF($BC65=0,0,AZ65/$BC65)</f>
        <v>0</v>
      </c>
      <c r="BF65" s="614">
        <f t="shared" ref="BF65:BF70" si="53">IF($BC65=0,0,BA65/$BC65)</f>
        <v>0</v>
      </c>
      <c r="BG65" s="2199">
        <v>-4146</v>
      </c>
      <c r="BH65" s="1217">
        <f t="shared" si="46"/>
        <v>0</v>
      </c>
      <c r="BI65" s="1201">
        <f t="shared" si="47"/>
        <v>0</v>
      </c>
      <c r="BJ65" s="1201">
        <f t="shared" si="48"/>
        <v>0</v>
      </c>
      <c r="BK65" s="1201">
        <f t="shared" si="48"/>
        <v>0</v>
      </c>
      <c r="BL65" s="1222">
        <f t="shared" si="48"/>
        <v>0</v>
      </c>
      <c r="BN65" s="959">
        <v>13</v>
      </c>
      <c r="BO65" s="959">
        <v>10.4</v>
      </c>
      <c r="BP65" s="959">
        <v>5.3</v>
      </c>
      <c r="BQ65" s="959">
        <v>5.8</v>
      </c>
      <c r="BR65" s="959">
        <v>1.4</v>
      </c>
    </row>
    <row r="66" spans="1:70" ht="15" customHeight="1">
      <c r="A66" s="681">
        <f>Tierb!A66</f>
        <v>620</v>
      </c>
      <c r="B66" s="596" t="str">
        <f>D_Klick!B279</f>
        <v>Zuchteber</v>
      </c>
      <c r="C66" s="159"/>
      <c r="D66" s="159"/>
      <c r="E66" s="159"/>
      <c r="F66" s="158" t="str">
        <f>Texte!A3731</f>
        <v>Platz</v>
      </c>
      <c r="G66" s="184">
        <f>Tierb!G66</f>
        <v>0</v>
      </c>
      <c r="H66" s="184">
        <f>Tierb!L66</f>
        <v>0</v>
      </c>
      <c r="I66" s="184">
        <f>J66/365*100</f>
        <v>0.13698630136986301</v>
      </c>
      <c r="J66" s="154">
        <v>0.5</v>
      </c>
      <c r="K66" s="187">
        <f t="shared" si="37"/>
        <v>0</v>
      </c>
      <c r="L66" s="622"/>
      <c r="M66" s="622"/>
      <c r="N66" s="622"/>
      <c r="O66" s="622"/>
      <c r="P66" s="623"/>
      <c r="Q66" s="184">
        <f t="shared" si="38"/>
        <v>18</v>
      </c>
      <c r="R66" s="160">
        <f t="shared" si="27"/>
        <v>14.4</v>
      </c>
      <c r="S66" s="532">
        <f t="shared" si="39"/>
        <v>10</v>
      </c>
      <c r="T66" s="532">
        <f t="shared" si="40"/>
        <v>9.6</v>
      </c>
      <c r="U66" s="614">
        <f t="shared" si="40"/>
        <v>1.5</v>
      </c>
      <c r="V66" s="532">
        <f>Tierb!N66</f>
        <v>0</v>
      </c>
      <c r="W66" s="530">
        <f>Tierb!O66</f>
        <v>0</v>
      </c>
      <c r="X66" s="614">
        <f t="shared" si="41"/>
        <v>0</v>
      </c>
      <c r="Y66" s="187">
        <f>Tierb!P66</f>
        <v>0</v>
      </c>
      <c r="Z66" s="532">
        <f>Tierb!Q66</f>
        <v>0</v>
      </c>
      <c r="AA66" s="530">
        <f>Tierb!R66</f>
        <v>0</v>
      </c>
      <c r="AB66" s="614">
        <f t="shared" si="42"/>
        <v>0</v>
      </c>
      <c r="AD66" s="509">
        <f>Tierb!J66*Tierb!K66/365</f>
        <v>0</v>
      </c>
      <c r="AE66" s="209">
        <f>Tierb!H66</f>
        <v>0.25</v>
      </c>
      <c r="AF66" s="209">
        <f t="shared" si="43"/>
        <v>0.8</v>
      </c>
      <c r="AG66" s="209"/>
      <c r="AH66" s="199" t="str">
        <f>Texte!A3828</f>
        <v>Eberfutter</v>
      </c>
      <c r="AI66" s="2320">
        <v>171</v>
      </c>
      <c r="AJ66" s="2324">
        <v>5.9</v>
      </c>
      <c r="AK66" s="2328">
        <v>12.9</v>
      </c>
      <c r="AL66" s="2315">
        <f>MAX(AQ66,AI66/AK66*AP66)</f>
        <v>171</v>
      </c>
      <c r="AM66" s="2328">
        <f>MAX(AR66,AJ66/AK66*AP66)</f>
        <v>5.9</v>
      </c>
      <c r="AN66" s="2320">
        <v>171</v>
      </c>
      <c r="AO66" s="2334">
        <v>5.9</v>
      </c>
      <c r="AP66" s="2328">
        <v>12.9</v>
      </c>
      <c r="AQ66" s="2320">
        <v>140</v>
      </c>
      <c r="AR66" s="2328">
        <v>4.3</v>
      </c>
      <c r="AS66" s="2337">
        <v>6.4000000000000003E-3</v>
      </c>
      <c r="AT66" s="2337">
        <f>AS66*100/4</f>
        <v>0.16</v>
      </c>
      <c r="AU66" s="2337">
        <v>14.4</v>
      </c>
      <c r="AV66" s="2337">
        <v>7.4</v>
      </c>
      <c r="AW66" s="959" t="b">
        <f t="shared" si="49"/>
        <v>0</v>
      </c>
      <c r="AX66" s="596" t="str">
        <f t="shared" si="35"/>
        <v>Zuchteber</v>
      </c>
      <c r="AY66" s="1217"/>
      <c r="AZ66" s="1201">
        <f t="shared" si="50"/>
        <v>0</v>
      </c>
      <c r="BA66" s="1201"/>
      <c r="BB66" s="158" t="str">
        <f t="shared" si="44"/>
        <v>Platz</v>
      </c>
      <c r="BC66" s="184">
        <f t="shared" si="45"/>
        <v>0</v>
      </c>
      <c r="BD66" s="184">
        <f t="shared" si="51"/>
        <v>0</v>
      </c>
      <c r="BE66" s="532">
        <f t="shared" si="52"/>
        <v>0</v>
      </c>
      <c r="BF66" s="614">
        <f t="shared" si="53"/>
        <v>0</v>
      </c>
      <c r="BG66" s="2199">
        <v>-4146</v>
      </c>
      <c r="BH66" s="1217">
        <f t="shared" si="46"/>
        <v>0</v>
      </c>
      <c r="BI66" s="1201">
        <f t="shared" si="47"/>
        <v>0</v>
      </c>
      <c r="BJ66" s="1201">
        <f t="shared" si="48"/>
        <v>0</v>
      </c>
      <c r="BK66" s="1201">
        <f t="shared" si="48"/>
        <v>0</v>
      </c>
      <c r="BL66" s="1222">
        <f t="shared" si="48"/>
        <v>0</v>
      </c>
      <c r="BN66" s="959">
        <v>18</v>
      </c>
      <c r="BO66" s="959">
        <v>14.4</v>
      </c>
      <c r="BP66" s="959">
        <v>10</v>
      </c>
      <c r="BQ66" s="959">
        <v>9.6</v>
      </c>
      <c r="BR66" s="959">
        <v>1.5</v>
      </c>
    </row>
    <row r="67" spans="1:70" ht="15" customHeight="1">
      <c r="A67" s="681">
        <f>Tierb!A67</f>
        <v>630</v>
      </c>
      <c r="B67" s="596" t="str">
        <f>D_Klick!B280</f>
        <v>Zuchtschweine, säugend</v>
      </c>
      <c r="C67" s="159"/>
      <c r="D67" s="159"/>
      <c r="E67" s="159"/>
      <c r="F67" s="158" t="str">
        <f>Texte!A3731</f>
        <v>Platz</v>
      </c>
      <c r="G67" s="184">
        <f>Tierb!G67</f>
        <v>0</v>
      </c>
      <c r="H67" s="184">
        <f>Tierb!L67</f>
        <v>0</v>
      </c>
      <c r="I67" s="184">
        <f>J67/365*100</f>
        <v>0.13698630136986301</v>
      </c>
      <c r="J67" s="154">
        <v>0.5</v>
      </c>
      <c r="K67" s="187">
        <f t="shared" si="37"/>
        <v>0</v>
      </c>
      <c r="L67" s="622"/>
      <c r="M67" s="622"/>
      <c r="N67" s="622"/>
      <c r="O67" s="622"/>
      <c r="P67" s="623"/>
      <c r="Q67" s="184">
        <f t="shared" si="38"/>
        <v>49</v>
      </c>
      <c r="R67" s="160">
        <f t="shared" si="27"/>
        <v>39.200000000000003</v>
      </c>
      <c r="S67" s="532">
        <f t="shared" si="39"/>
        <v>23</v>
      </c>
      <c r="T67" s="532">
        <f t="shared" si="40"/>
        <v>18</v>
      </c>
      <c r="U67" s="614">
        <f t="shared" si="40"/>
        <v>4.4000000000000004</v>
      </c>
      <c r="V67" s="532">
        <f>Tierb!N67</f>
        <v>0</v>
      </c>
      <c r="W67" s="530">
        <f>Tierb!O67</f>
        <v>0</v>
      </c>
      <c r="X67" s="614">
        <f t="shared" si="41"/>
        <v>0</v>
      </c>
      <c r="Y67" s="187">
        <f>Tierb!P67</f>
        <v>0</v>
      </c>
      <c r="Z67" s="532">
        <f>Tierb!Q67</f>
        <v>0</v>
      </c>
      <c r="AA67" s="530">
        <f>Tierb!R67</f>
        <v>0</v>
      </c>
      <c r="AB67" s="614">
        <f t="shared" si="42"/>
        <v>0</v>
      </c>
      <c r="AD67" s="509">
        <f>Tierb!J67*Tierb!K67/365</f>
        <v>0</v>
      </c>
      <c r="AE67" s="209">
        <f>Tierb!H67</f>
        <v>0.55000000000000004</v>
      </c>
      <c r="AF67" s="209">
        <f t="shared" si="43"/>
        <v>0.8</v>
      </c>
      <c r="AG67" s="209"/>
      <c r="AH67" s="199" t="str">
        <f>Texte!A3830</f>
        <v>Futter säugende Sauen</v>
      </c>
      <c r="AI67" s="2320">
        <v>180</v>
      </c>
      <c r="AJ67" s="2324">
        <v>6</v>
      </c>
      <c r="AK67" s="2328">
        <v>13.7</v>
      </c>
      <c r="AL67" s="2315">
        <f>MAX(AQ67,AI67/AK67*AP67)</f>
        <v>180</v>
      </c>
      <c r="AM67" s="2328">
        <f>MAX(AR67,AJ67/AK67*AP67)</f>
        <v>6</v>
      </c>
      <c r="AN67" s="2320">
        <v>180</v>
      </c>
      <c r="AO67" s="2334">
        <v>6</v>
      </c>
      <c r="AP67" s="2328">
        <v>13.7</v>
      </c>
      <c r="AQ67" s="2320">
        <v>150</v>
      </c>
      <c r="AR67" s="2328">
        <v>4.5</v>
      </c>
      <c r="AS67" s="2337">
        <v>6.4000000000000003E-3</v>
      </c>
      <c r="AT67" s="2337">
        <f>AS67*100/3.478</f>
        <v>0.18401380103507761</v>
      </c>
      <c r="AU67" s="2337">
        <v>39.6</v>
      </c>
      <c r="AV67" s="2337">
        <v>16.7</v>
      </c>
      <c r="AW67" s="959" t="b">
        <f t="shared" si="49"/>
        <v>0</v>
      </c>
      <c r="AX67" s="596" t="str">
        <f t="shared" si="35"/>
        <v>Zuchtschweine, säugend</v>
      </c>
      <c r="AY67" s="1217"/>
      <c r="AZ67" s="1201">
        <f t="shared" si="50"/>
        <v>0</v>
      </c>
      <c r="BA67" s="1201"/>
      <c r="BB67" s="158" t="str">
        <f t="shared" si="44"/>
        <v>Platz</v>
      </c>
      <c r="BC67" s="184">
        <f t="shared" si="45"/>
        <v>0</v>
      </c>
      <c r="BD67" s="184">
        <f t="shared" si="51"/>
        <v>0</v>
      </c>
      <c r="BE67" s="532">
        <f t="shared" si="52"/>
        <v>0</v>
      </c>
      <c r="BF67" s="614">
        <f t="shared" si="53"/>
        <v>0</v>
      </c>
      <c r="BG67" s="2199">
        <v>-4146</v>
      </c>
      <c r="BH67" s="1217">
        <f t="shared" si="46"/>
        <v>0</v>
      </c>
      <c r="BI67" s="1201">
        <f t="shared" si="47"/>
        <v>0</v>
      </c>
      <c r="BJ67" s="1201">
        <f t="shared" si="48"/>
        <v>0</v>
      </c>
      <c r="BK67" s="1201">
        <f t="shared" si="48"/>
        <v>0</v>
      </c>
      <c r="BL67" s="1222">
        <f t="shared" si="48"/>
        <v>0</v>
      </c>
      <c r="BN67" s="959">
        <v>49</v>
      </c>
      <c r="BO67" s="959">
        <v>39.200000000000003</v>
      </c>
      <c r="BP67" s="959">
        <v>23</v>
      </c>
      <c r="BQ67" s="959">
        <v>18</v>
      </c>
      <c r="BR67" s="959">
        <v>4.4000000000000004</v>
      </c>
    </row>
    <row r="68" spans="1:70" ht="15" customHeight="1">
      <c r="A68" s="681">
        <f>Tierb!A68</f>
        <v>640</v>
      </c>
      <c r="B68" s="596" t="str">
        <f>D_Klick!B281</f>
        <v>Zuchtsauen über 6 Monate, nicht säugend</v>
      </c>
      <c r="C68" s="159"/>
      <c r="D68" s="159"/>
      <c r="E68" s="159"/>
      <c r="F68" s="158" t="str">
        <f>Texte!A3731</f>
        <v>Platz</v>
      </c>
      <c r="G68" s="184">
        <f>Tierb!G68</f>
        <v>0</v>
      </c>
      <c r="H68" s="184">
        <f>Tierb!L68</f>
        <v>0</v>
      </c>
      <c r="I68" s="184">
        <f>J68/365*100</f>
        <v>0.13698630136986301</v>
      </c>
      <c r="J68" s="154">
        <v>0.5</v>
      </c>
      <c r="K68" s="187">
        <f t="shared" si="37"/>
        <v>0</v>
      </c>
      <c r="L68" s="622"/>
      <c r="M68" s="622"/>
      <c r="N68" s="622"/>
      <c r="O68" s="622"/>
      <c r="P68" s="623"/>
      <c r="Q68" s="184">
        <f t="shared" si="38"/>
        <v>24.5</v>
      </c>
      <c r="R68" s="160">
        <f t="shared" si="27"/>
        <v>19.600000000000001</v>
      </c>
      <c r="S68" s="532">
        <f t="shared" si="39"/>
        <v>15</v>
      </c>
      <c r="T68" s="532">
        <f t="shared" si="40"/>
        <v>16</v>
      </c>
      <c r="U68" s="614">
        <f t="shared" si="40"/>
        <v>2.2999999999999998</v>
      </c>
      <c r="V68" s="532">
        <f>Tierb!N68</f>
        <v>0</v>
      </c>
      <c r="W68" s="530">
        <f>Tierb!O68</f>
        <v>0</v>
      </c>
      <c r="X68" s="614">
        <f t="shared" si="41"/>
        <v>0</v>
      </c>
      <c r="Y68" s="187">
        <f>Tierb!P68</f>
        <v>0</v>
      </c>
      <c r="Z68" s="532">
        <f>Tierb!Q68</f>
        <v>0</v>
      </c>
      <c r="AA68" s="530">
        <f>Tierb!R68</f>
        <v>0</v>
      </c>
      <c r="AB68" s="614">
        <f t="shared" si="42"/>
        <v>0</v>
      </c>
      <c r="AD68" s="509">
        <f>Tierb!J68*Tierb!K68/365</f>
        <v>0</v>
      </c>
      <c r="AE68" s="209">
        <f>Tierb!H68</f>
        <v>0.26</v>
      </c>
      <c r="AF68" s="209">
        <f t="shared" si="43"/>
        <v>0.8</v>
      </c>
      <c r="AG68" s="209"/>
      <c r="AH68" s="199" t="str">
        <f>Texte!A3829</f>
        <v>Galtsauenfutter</v>
      </c>
      <c r="AI68" s="2320">
        <v>145</v>
      </c>
      <c r="AJ68" s="2324">
        <v>6</v>
      </c>
      <c r="AK68" s="2328">
        <v>12.1</v>
      </c>
      <c r="AL68" s="2315">
        <f>MAX(AQ68,AI68/AK68*AP68)</f>
        <v>145</v>
      </c>
      <c r="AM68" s="2328">
        <f>MAX(AR68,AJ68/AK68*AP68)</f>
        <v>6</v>
      </c>
      <c r="AN68" s="2320">
        <v>145</v>
      </c>
      <c r="AO68" s="2334">
        <v>6</v>
      </c>
      <c r="AP68" s="2328">
        <v>12.1</v>
      </c>
      <c r="AQ68" s="2320">
        <v>125</v>
      </c>
      <c r="AR68" s="2328">
        <v>4</v>
      </c>
      <c r="AS68" s="2337">
        <v>4.7999999999999996E-3</v>
      </c>
      <c r="AT68" s="2337">
        <f>AS68*100/3.3333</f>
        <v>0.14400144001440013</v>
      </c>
      <c r="AU68" s="2337">
        <v>22.1</v>
      </c>
      <c r="AV68" s="2337">
        <v>10.7</v>
      </c>
      <c r="AW68" s="959" t="b">
        <f t="shared" si="49"/>
        <v>0</v>
      </c>
      <c r="AX68" s="596" t="str">
        <f t="shared" si="35"/>
        <v>Zuchtsauen über 6 Monate, nicht säugend</v>
      </c>
      <c r="AY68" s="1217"/>
      <c r="AZ68" s="1201">
        <f t="shared" si="50"/>
        <v>0</v>
      </c>
      <c r="BA68" s="1201"/>
      <c r="BB68" s="158" t="str">
        <f t="shared" si="44"/>
        <v>Platz</v>
      </c>
      <c r="BC68" s="184">
        <f t="shared" si="45"/>
        <v>0</v>
      </c>
      <c r="BD68" s="184">
        <f t="shared" si="51"/>
        <v>0</v>
      </c>
      <c r="BE68" s="532">
        <f t="shared" si="52"/>
        <v>0</v>
      </c>
      <c r="BF68" s="614">
        <f t="shared" si="53"/>
        <v>0</v>
      </c>
      <c r="BG68" s="2199">
        <v>-4146</v>
      </c>
      <c r="BH68" s="1217">
        <f t="shared" si="46"/>
        <v>0</v>
      </c>
      <c r="BI68" s="1201">
        <f t="shared" si="47"/>
        <v>0</v>
      </c>
      <c r="BJ68" s="1201">
        <f t="shared" si="48"/>
        <v>0</v>
      </c>
      <c r="BK68" s="1201">
        <f t="shared" si="48"/>
        <v>0</v>
      </c>
      <c r="BL68" s="1222">
        <f t="shared" si="48"/>
        <v>0</v>
      </c>
      <c r="BN68" s="959">
        <v>24.5</v>
      </c>
      <c r="BO68" s="959">
        <v>19.600000000000001</v>
      </c>
      <c r="BP68" s="959">
        <v>15</v>
      </c>
      <c r="BQ68" s="959">
        <v>16</v>
      </c>
      <c r="BR68" s="959">
        <v>2.2999999999999998</v>
      </c>
    </row>
    <row r="69" spans="1:70" ht="15" customHeight="1">
      <c r="A69" s="681">
        <f>Tierb!A69</f>
        <v>650</v>
      </c>
      <c r="B69" s="596" t="str">
        <f>D_Klick!B282</f>
        <v>Ferkel, abgesetzt, 8 bis 26 kg LG, 9.61 Umtriebe</v>
      </c>
      <c r="C69" s="159"/>
      <c r="D69" s="159"/>
      <c r="E69" s="159"/>
      <c r="F69" s="650" t="str">
        <f>Texte!A3731</f>
        <v>Platz</v>
      </c>
      <c r="G69" s="184">
        <f>Tierb!G69</f>
        <v>0</v>
      </c>
      <c r="H69" s="184">
        <f>Tierb!L69</f>
        <v>0</v>
      </c>
      <c r="I69" s="184"/>
      <c r="J69" s="184">
        <f>ROUND((365*I69)*0.01,2)</f>
        <v>0</v>
      </c>
      <c r="K69" s="187">
        <f t="shared" si="37"/>
        <v>0</v>
      </c>
      <c r="L69" s="622"/>
      <c r="M69" s="622"/>
      <c r="N69" s="622"/>
      <c r="O69" s="622"/>
      <c r="P69" s="623"/>
      <c r="Q69" s="184">
        <f t="shared" si="38"/>
        <v>3.9</v>
      </c>
      <c r="R69" s="160">
        <f t="shared" si="27"/>
        <v>3.12</v>
      </c>
      <c r="S69" s="2784">
        <f t="shared" si="39"/>
        <v>1.68</v>
      </c>
      <c r="T69" s="532">
        <f t="shared" si="40"/>
        <v>2.2999999999999998</v>
      </c>
      <c r="U69" s="614">
        <f t="shared" si="40"/>
        <v>0.5</v>
      </c>
      <c r="V69" s="532">
        <f>Tierb!N69</f>
        <v>0</v>
      </c>
      <c r="W69" s="530">
        <f>Tierb!O69</f>
        <v>0</v>
      </c>
      <c r="X69" s="614">
        <f t="shared" si="41"/>
        <v>0</v>
      </c>
      <c r="Y69" s="187">
        <f>Tierb!P69</f>
        <v>0</v>
      </c>
      <c r="Z69" s="532">
        <f>Tierb!Q69</f>
        <v>0</v>
      </c>
      <c r="AA69" s="530">
        <f>Tierb!R69</f>
        <v>0</v>
      </c>
      <c r="AB69" s="614">
        <f t="shared" si="42"/>
        <v>0</v>
      </c>
      <c r="AD69" s="509">
        <f>Tierb!J69*Tierb!K69/365</f>
        <v>0</v>
      </c>
      <c r="AE69" s="209">
        <f>Tierb!H69</f>
        <v>0.06</v>
      </c>
      <c r="AF69" s="209">
        <f t="shared" si="43"/>
        <v>0.8</v>
      </c>
      <c r="AG69" s="209"/>
      <c r="AH69" s="199" t="str">
        <f>Texte!A3831</f>
        <v>Ferkelfutter</v>
      </c>
      <c r="AI69" s="2320">
        <v>177</v>
      </c>
      <c r="AJ69" s="2324">
        <v>5.7</v>
      </c>
      <c r="AK69" s="2328">
        <v>13.7</v>
      </c>
      <c r="AL69" s="2315">
        <f>MAX(AQ69,AI69/AK69*AP69)</f>
        <v>177</v>
      </c>
      <c r="AM69" s="2328">
        <f>MAX(AR69,AJ69/AK69*AP69)</f>
        <v>5.7</v>
      </c>
      <c r="AN69" s="2320">
        <v>177</v>
      </c>
      <c r="AO69" s="2334">
        <v>5.7</v>
      </c>
      <c r="AP69" s="2328">
        <v>13.7</v>
      </c>
      <c r="AQ69" s="2320">
        <v>155</v>
      </c>
      <c r="AR69" s="2328">
        <v>4.5</v>
      </c>
      <c r="AS69" s="2337">
        <v>9.5999999999999992E-3</v>
      </c>
      <c r="AT69" s="2337">
        <f>AS69*100/3</f>
        <v>0.32</v>
      </c>
      <c r="AU69" s="2337">
        <v>3.1</v>
      </c>
      <c r="AV69" s="2337">
        <v>1</v>
      </c>
      <c r="AW69" s="959" t="b">
        <f t="shared" si="49"/>
        <v>0</v>
      </c>
      <c r="AX69" s="91" t="str">
        <f t="shared" si="35"/>
        <v>Ferkel, abgesetzt, 8 bis 26 kg LG, 9.61 Umtriebe</v>
      </c>
      <c r="AY69" s="1217"/>
      <c r="AZ69" s="1201">
        <f t="shared" si="50"/>
        <v>0</v>
      </c>
      <c r="BA69" s="1201"/>
      <c r="BB69" s="650" t="str">
        <f t="shared" si="44"/>
        <v>Platz</v>
      </c>
      <c r="BC69" s="184">
        <f t="shared" si="45"/>
        <v>0</v>
      </c>
      <c r="BD69" s="184">
        <f t="shared" si="51"/>
        <v>0</v>
      </c>
      <c r="BE69" s="532">
        <f t="shared" si="52"/>
        <v>0</v>
      </c>
      <c r="BF69" s="614">
        <f t="shared" si="53"/>
        <v>0</v>
      </c>
      <c r="BG69" s="2199">
        <v>-4146</v>
      </c>
      <c r="BH69" s="1224">
        <f t="shared" si="46"/>
        <v>0</v>
      </c>
      <c r="BI69" s="1225">
        <f t="shared" si="47"/>
        <v>0</v>
      </c>
      <c r="BJ69" s="1225">
        <f t="shared" si="48"/>
        <v>0</v>
      </c>
      <c r="BK69" s="1226">
        <f t="shared" si="48"/>
        <v>0</v>
      </c>
      <c r="BL69" s="1223">
        <f t="shared" si="48"/>
        <v>0</v>
      </c>
      <c r="BN69" s="959">
        <v>3.9</v>
      </c>
      <c r="BO69" s="959">
        <v>3.12</v>
      </c>
      <c r="BP69" s="959">
        <v>1.68</v>
      </c>
      <c r="BQ69" s="959">
        <v>2.2999999999999998</v>
      </c>
      <c r="BR69" s="959">
        <v>0.5</v>
      </c>
    </row>
    <row r="70" spans="1:70" ht="15" customHeight="1">
      <c r="A70" s="681">
        <f>Tierb!A70</f>
        <v>660</v>
      </c>
      <c r="B70" s="91" t="str">
        <f>D_Klick!B283</f>
        <v/>
      </c>
      <c r="C70" s="159"/>
      <c r="D70" s="159"/>
      <c r="E70" s="159"/>
      <c r="F70" s="650" t="str">
        <f>IF(Tierb!F70="","",Tierb!F70)</f>
        <v/>
      </c>
      <c r="G70" s="184">
        <f>Tierb!G70</f>
        <v>0</v>
      </c>
      <c r="H70" s="184">
        <f>Tierb!L70</f>
        <v>0</v>
      </c>
      <c r="I70" s="154"/>
      <c r="J70" s="184">
        <f>ROUND((365*I70)*0.01,2)</f>
        <v>0</v>
      </c>
      <c r="K70" s="187">
        <f>H70*J70</f>
        <v>0</v>
      </c>
      <c r="L70" s="622"/>
      <c r="M70" s="622"/>
      <c r="N70" s="622"/>
      <c r="O70" s="622"/>
      <c r="P70" s="623"/>
      <c r="Q70" s="154"/>
      <c r="R70" s="85">
        <f>Q70*0.8</f>
        <v>0</v>
      </c>
      <c r="S70" s="531"/>
      <c r="T70" s="531"/>
      <c r="U70" s="893"/>
      <c r="V70" s="532">
        <f>Tierb!N70</f>
        <v>0</v>
      </c>
      <c r="W70" s="530">
        <f>Tierb!O70</f>
        <v>0</v>
      </c>
      <c r="X70" s="614">
        <f t="shared" si="41"/>
        <v>0</v>
      </c>
      <c r="Y70" s="187">
        <f>Tierb!P70</f>
        <v>0</v>
      </c>
      <c r="Z70" s="532">
        <f>Tierb!Q70</f>
        <v>0</v>
      </c>
      <c r="AA70" s="530">
        <f>Tierb!R70</f>
        <v>0</v>
      </c>
      <c r="AB70" s="614">
        <f t="shared" si="42"/>
        <v>0</v>
      </c>
      <c r="AD70" s="509">
        <f>Tierb!J70*Tierb!K70/365</f>
        <v>0</v>
      </c>
      <c r="AE70" s="209">
        <f>Tierb!H70</f>
        <v>0</v>
      </c>
      <c r="AF70" s="209">
        <f t="shared" si="43"/>
        <v>0.8</v>
      </c>
      <c r="AG70" s="209"/>
      <c r="AI70" s="2316"/>
      <c r="AJ70" s="2325"/>
      <c r="AK70" s="2329"/>
      <c r="AL70" s="2316"/>
      <c r="AM70" s="2329"/>
      <c r="AN70" s="2316"/>
      <c r="AO70" s="2335"/>
      <c r="AP70" s="2329"/>
      <c r="AQ70" s="2316"/>
      <c r="AR70" s="2329"/>
      <c r="AS70" s="2338"/>
      <c r="AT70" s="2338"/>
      <c r="AU70" s="2338"/>
      <c r="AV70" s="2338"/>
      <c r="AW70" s="959"/>
      <c r="AX70" s="1205" t="str">
        <f t="shared" si="35"/>
        <v/>
      </c>
      <c r="AY70" s="1214"/>
      <c r="AZ70" s="1206">
        <f t="shared" si="50"/>
        <v>0</v>
      </c>
      <c r="BA70" s="1206"/>
      <c r="BB70" s="1207" t="str">
        <f t="shared" si="44"/>
        <v/>
      </c>
      <c r="BC70" s="622">
        <f t="shared" si="45"/>
        <v>0</v>
      </c>
      <c r="BD70" s="622">
        <f t="shared" si="51"/>
        <v>0</v>
      </c>
      <c r="BE70" s="1208">
        <f t="shared" si="52"/>
        <v>0</v>
      </c>
      <c r="BF70" s="911">
        <f t="shared" si="53"/>
        <v>0</v>
      </c>
      <c r="BJ70" s="2200"/>
    </row>
    <row r="71" spans="1:70" ht="15" customHeight="1">
      <c r="A71" s="681">
        <f>Tierb!A71</f>
        <v>670</v>
      </c>
      <c r="B71" s="91" t="str">
        <f>D_Klick!B284</f>
        <v/>
      </c>
      <c r="C71" s="159"/>
      <c r="D71" s="159"/>
      <c r="E71" s="159"/>
      <c r="F71" s="650" t="str">
        <f>IF(Tierb!F71="","",Tierb!F71)</f>
        <v/>
      </c>
      <c r="G71" s="184">
        <f>Tierb!G71</f>
        <v>0</v>
      </c>
      <c r="H71" s="184">
        <f>Tierb!L71</f>
        <v>0</v>
      </c>
      <c r="I71" s="154"/>
      <c r="J71" s="184">
        <f>ROUND((365*I71)*0.01,2)</f>
        <v>0</v>
      </c>
      <c r="K71" s="187">
        <f>H71*J71</f>
        <v>0</v>
      </c>
      <c r="L71" s="622"/>
      <c r="M71" s="622"/>
      <c r="N71" s="622"/>
      <c r="O71" s="622"/>
      <c r="P71" s="623"/>
      <c r="Q71" s="154"/>
      <c r="R71" s="85">
        <f>Q71*0.8</f>
        <v>0</v>
      </c>
      <c r="S71" s="531"/>
      <c r="T71" s="531"/>
      <c r="U71" s="893"/>
      <c r="V71" s="532">
        <f>Tierb!N71</f>
        <v>0</v>
      </c>
      <c r="W71" s="530">
        <f>Tierb!O71</f>
        <v>0</v>
      </c>
      <c r="X71" s="614">
        <f t="shared" si="41"/>
        <v>0</v>
      </c>
      <c r="Y71" s="187">
        <f>Tierb!P71</f>
        <v>0</v>
      </c>
      <c r="Z71" s="532">
        <f>Tierb!Q71</f>
        <v>0</v>
      </c>
      <c r="AA71" s="530">
        <f>Tierb!R71</f>
        <v>0</v>
      </c>
      <c r="AB71" s="614">
        <f t="shared" si="42"/>
        <v>0</v>
      </c>
      <c r="AD71" s="509">
        <f>Tierb!J71*Tierb!K71/365</f>
        <v>0</v>
      </c>
      <c r="AE71" s="209">
        <f>Tierb!H71</f>
        <v>0</v>
      </c>
      <c r="AF71" s="209">
        <f t="shared" si="43"/>
        <v>0.8</v>
      </c>
      <c r="AG71" s="209"/>
      <c r="AH71" s="2202" t="s">
        <v>7746</v>
      </c>
      <c r="AI71" s="2316"/>
      <c r="AJ71" s="2325"/>
      <c r="AK71" s="2329"/>
      <c r="AL71" s="2317"/>
      <c r="AM71" s="2329"/>
      <c r="AN71" s="2316"/>
      <c r="AO71" s="2335"/>
      <c r="AP71" s="2329"/>
      <c r="AQ71" s="2316"/>
      <c r="AR71" s="2329"/>
      <c r="AS71" s="2338"/>
      <c r="AT71" s="2338"/>
      <c r="AU71" s="2338"/>
      <c r="AV71" s="2338"/>
      <c r="AW71" s="959"/>
      <c r="AX71" s="1205" t="str">
        <f t="shared" si="35"/>
        <v/>
      </c>
      <c r="AY71" s="1214"/>
      <c r="AZ71" s="1206">
        <f t="shared" si="50"/>
        <v>0</v>
      </c>
      <c r="BA71" s="1206"/>
      <c r="BB71" s="1207" t="str">
        <f t="shared" si="44"/>
        <v/>
      </c>
      <c r="BC71" s="622">
        <f t="shared" si="45"/>
        <v>0</v>
      </c>
      <c r="BD71" s="622">
        <f t="shared" ref="BD71:BF72" si="54">IF($BC71=0,0,AY71/$BC71)</f>
        <v>0</v>
      </c>
      <c r="BE71" s="1208">
        <f t="shared" si="54"/>
        <v>0</v>
      </c>
      <c r="BF71" s="911">
        <f t="shared" si="54"/>
        <v>0</v>
      </c>
      <c r="BJ71" s="2200"/>
    </row>
    <row r="72" spans="1:70" ht="15" customHeight="1" thickBot="1">
      <c r="B72" s="100" t="str">
        <f>D_Klick!B285</f>
        <v>Schweine aus Import/Export Bilanz</v>
      </c>
      <c r="C72" s="197"/>
      <c r="D72" s="197"/>
      <c r="E72" s="197"/>
      <c r="F72" s="3371" t="str">
        <f>Texte!A3731</f>
        <v>Platz</v>
      </c>
      <c r="G72" s="3329">
        <v>1</v>
      </c>
      <c r="H72" s="3329">
        <f>IF(OR(AY72="",BA72=""),0,1)</f>
        <v>0</v>
      </c>
      <c r="I72" s="3329"/>
      <c r="J72" s="3329">
        <f>ROUND((365*I72)*0.01,2)</f>
        <v>0</v>
      </c>
      <c r="K72" s="3330">
        <f t="shared" si="37"/>
        <v>0</v>
      </c>
      <c r="L72" s="3372"/>
      <c r="M72" s="3372"/>
      <c r="N72" s="3372"/>
      <c r="O72" s="3372"/>
      <c r="P72" s="3373"/>
      <c r="Q72" s="3329">
        <f>IF($H72=1,AY72-BH72,0)</f>
        <v>0</v>
      </c>
      <c r="R72" s="970">
        <f>ROUND(Q72*AF72,2)</f>
        <v>0</v>
      </c>
      <c r="S72" s="3331">
        <f>IF($H72=1,BA72-BJ72,0)</f>
        <v>0</v>
      </c>
      <c r="T72" s="3331"/>
      <c r="U72" s="3374"/>
      <c r="V72" s="3331">
        <f>Tierb!N71</f>
        <v>0</v>
      </c>
      <c r="W72" s="3375">
        <f>Tierb!O71</f>
        <v>0</v>
      </c>
      <c r="X72" s="3374">
        <f t="shared" si="41"/>
        <v>0</v>
      </c>
      <c r="Y72" s="601">
        <f>Tierb!P71</f>
        <v>0</v>
      </c>
      <c r="Z72" s="616">
        <f>Tierb!Q71</f>
        <v>0</v>
      </c>
      <c r="AA72" s="618">
        <f>Tierb!R71</f>
        <v>0</v>
      </c>
      <c r="AB72" s="617">
        <f t="shared" si="42"/>
        <v>0</v>
      </c>
      <c r="AD72" s="509">
        <f>Tierb!J71*Tierb!K71/365</f>
        <v>0</v>
      </c>
      <c r="AE72" s="209"/>
      <c r="AF72" s="209">
        <f t="shared" si="43"/>
        <v>0.8</v>
      </c>
      <c r="AG72" s="209"/>
      <c r="AH72" s="2388">
        <v>0</v>
      </c>
      <c r="AI72" s="2321"/>
      <c r="AJ72" s="2326"/>
      <c r="AK72" s="2330"/>
      <c r="AL72" s="2318"/>
      <c r="AM72" s="2332"/>
      <c r="AN72" s="2321"/>
      <c r="AO72" s="2326"/>
      <c r="AP72" s="2330"/>
      <c r="AQ72" s="2321"/>
      <c r="AR72" s="2330"/>
      <c r="AS72" s="2339"/>
      <c r="AT72" s="2339"/>
      <c r="AU72" s="2339"/>
      <c r="AV72" s="2339"/>
      <c r="AW72" s="959"/>
      <c r="AX72" s="115" t="str">
        <f t="shared" si="35"/>
        <v>Schweine aus Import/Export Bilanz</v>
      </c>
      <c r="AY72" s="1218"/>
      <c r="AZ72" s="1202">
        <f t="shared" si="50"/>
        <v>0</v>
      </c>
      <c r="BA72" s="1202"/>
      <c r="BB72" s="615" t="str">
        <f t="shared" si="44"/>
        <v>Platz</v>
      </c>
      <c r="BC72" s="599">
        <f t="shared" si="45"/>
        <v>0</v>
      </c>
      <c r="BD72" s="599">
        <f t="shared" si="54"/>
        <v>0</v>
      </c>
      <c r="BE72" s="616">
        <f t="shared" si="54"/>
        <v>0</v>
      </c>
      <c r="BF72" s="617">
        <f t="shared" si="54"/>
        <v>0</v>
      </c>
      <c r="BG72" s="2201" t="str">
        <f>Texte!A3835</f>
        <v>Summe</v>
      </c>
      <c r="BH72" s="1227">
        <f>SUM(BH64:BH69)</f>
        <v>0</v>
      </c>
      <c r="BI72" s="1228">
        <f>SUM(BI64:BI69)</f>
        <v>0</v>
      </c>
      <c r="BJ72" s="1228">
        <f>SUM(BJ64:BJ69)</f>
        <v>0</v>
      </c>
      <c r="BK72" s="1229">
        <f>SUM(BK64:BK69)</f>
        <v>0</v>
      </c>
      <c r="BL72" s="1230">
        <f>SUM(BL64:BL69)</f>
        <v>0</v>
      </c>
    </row>
    <row r="73" spans="1:70" ht="15" customHeight="1" thickBot="1">
      <c r="B73" s="2258" t="str">
        <f>D_Klick!B286</f>
        <v>Geflügel</v>
      </c>
      <c r="C73" s="2258"/>
      <c r="D73" s="2259"/>
      <c r="E73" s="2259"/>
      <c r="F73" s="2259"/>
      <c r="G73" s="2260"/>
      <c r="H73" s="2260"/>
      <c r="I73" s="2261"/>
      <c r="J73" s="2262"/>
      <c r="K73" s="2262"/>
      <c r="L73" s="2262"/>
      <c r="M73" s="2262"/>
      <c r="N73" s="2261"/>
      <c r="O73" s="2261"/>
      <c r="P73" s="2262"/>
      <c r="Q73" s="3376"/>
      <c r="R73" s="2263"/>
      <c r="S73" s="3376"/>
      <c r="T73" s="3376"/>
      <c r="U73" s="2261"/>
      <c r="V73" s="2261"/>
      <c r="W73" s="2261"/>
      <c r="X73" s="2261"/>
      <c r="AD73" s="509"/>
      <c r="AE73" s="209"/>
      <c r="AF73" s="209"/>
      <c r="AG73" s="209"/>
      <c r="AI73" s="2316"/>
      <c r="AJ73" s="2325"/>
      <c r="AK73" s="2329"/>
      <c r="AL73" s="2317"/>
      <c r="AM73" s="2329"/>
      <c r="AN73" s="2316"/>
      <c r="AO73" s="2335"/>
      <c r="AP73" s="2329"/>
      <c r="AQ73" s="2316"/>
      <c r="AR73" s="2329"/>
      <c r="AS73" s="2338"/>
      <c r="AT73" s="2338"/>
      <c r="AU73" s="2338"/>
      <c r="AV73" s="2338"/>
      <c r="AW73" s="959"/>
      <c r="AX73" s="197"/>
      <c r="AY73" s="1203"/>
      <c r="AZ73" s="1203"/>
      <c r="BA73" s="1203"/>
      <c r="BB73" s="197"/>
      <c r="BC73" s="509"/>
      <c r="BD73" s="612"/>
      <c r="BE73" s="611"/>
      <c r="BF73" s="611"/>
      <c r="BG73" s="2201" t="str">
        <f>Texte!A3836</f>
        <v>Werte für Schweine aus Impex für Hofdüngerberechnung</v>
      </c>
      <c r="BH73" s="1227">
        <f>AY72</f>
        <v>0</v>
      </c>
      <c r="BI73" s="1228">
        <f>AZ72</f>
        <v>0</v>
      </c>
      <c r="BJ73" s="1228">
        <f>BA72</f>
        <v>0</v>
      </c>
      <c r="BK73" s="1229">
        <f>BK72</f>
        <v>0</v>
      </c>
      <c r="BL73" s="1230">
        <f>BL72</f>
        <v>0</v>
      </c>
    </row>
    <row r="74" spans="1:70" ht="15" customHeight="1" thickBot="1">
      <c r="A74" s="681">
        <f>Tierb!A73</f>
        <v>700</v>
      </c>
      <c r="B74" s="603" t="str">
        <f>D_Klick!C287</f>
        <v>Lege- und Zuchthennen</v>
      </c>
      <c r="C74" s="604"/>
      <c r="D74" s="604" t="str">
        <f>Tierb!D73</f>
        <v>Bodenhaltung, Kotgrube</v>
      </c>
      <c r="E74" s="2006">
        <f>Tierb!E73</f>
        <v>2</v>
      </c>
      <c r="F74" s="605" t="str">
        <f>Tierb!F73</f>
        <v>100 Pl.</v>
      </c>
      <c r="G74" s="606">
        <f>Tierb!G73</f>
        <v>0</v>
      </c>
      <c r="H74" s="606">
        <f>Tierb!L73</f>
        <v>0</v>
      </c>
      <c r="I74" s="619"/>
      <c r="J74" s="619"/>
      <c r="K74" s="620"/>
      <c r="L74" s="620"/>
      <c r="M74" s="620"/>
      <c r="N74" s="619"/>
      <c r="O74" s="619"/>
      <c r="P74" s="620"/>
      <c r="Q74" s="606">
        <f>IF(AND($AW74,$H74&lt;&gt;0),BD74,MAX(80*(1-(AN74-AL74)*AS74),AU74))</f>
        <v>80</v>
      </c>
      <c r="R74" s="2188">
        <f t="shared" ref="R74:R80" si="55">ROUND(Q74*AF74,2)</f>
        <v>40</v>
      </c>
      <c r="S74" s="613">
        <f>IF(AND($AW74,$H74&lt;&gt;0),BF74,MAX(46*(1+(AM74-AO74)*AT74),AV74))</f>
        <v>46</v>
      </c>
      <c r="T74" s="613">
        <v>30</v>
      </c>
      <c r="U74" s="621">
        <v>6.5</v>
      </c>
      <c r="V74" s="613">
        <f>Tierb!N73</f>
        <v>0</v>
      </c>
      <c r="W74" s="608">
        <f>Tierb!O73</f>
        <v>0</v>
      </c>
      <c r="X74" s="621">
        <f t="shared" ref="X74:X80" si="56">(R74*V74*W74*0.1)/365</f>
        <v>0</v>
      </c>
      <c r="AD74" s="509">
        <f>Tierb!J73*Tierb!K73/365</f>
        <v>0</v>
      </c>
      <c r="AE74" s="209">
        <f>Tierb!H73</f>
        <v>1</v>
      </c>
      <c r="AF74" s="209">
        <f>IF(E74=1,0.7,IF(E74=2,0.5,0))</f>
        <v>0.5</v>
      </c>
      <c r="AG74" s="209"/>
      <c r="AH74" s="199" t="str">
        <f>Texte!A3833</f>
        <v>Legehennenfutter</v>
      </c>
      <c r="AI74" s="2320">
        <v>180</v>
      </c>
      <c r="AJ74" s="2324">
        <v>5.7</v>
      </c>
      <c r="AK74" s="2328">
        <v>11.6</v>
      </c>
      <c r="AL74" s="2315">
        <f>MAX(AQ74,AI74/AK74*AP74)</f>
        <v>180</v>
      </c>
      <c r="AM74" s="2328">
        <f>MAX(AR74,AJ74/AK74*AP74)</f>
        <v>5.7</v>
      </c>
      <c r="AN74" s="2320">
        <v>180</v>
      </c>
      <c r="AO74" s="2334">
        <v>5.7</v>
      </c>
      <c r="AP74" s="2328">
        <v>11.6</v>
      </c>
      <c r="AQ74" s="2320">
        <v>160</v>
      </c>
      <c r="AR74" s="2328">
        <v>4.4000000000000004</v>
      </c>
      <c r="AS74" s="2337">
        <v>8.0000000000000002E-3</v>
      </c>
      <c r="AT74" s="2337">
        <v>0.2</v>
      </c>
      <c r="AU74" s="2337">
        <v>67.2</v>
      </c>
      <c r="AV74" s="2337">
        <v>34</v>
      </c>
      <c r="AW74" s="959" t="b">
        <f>IF(AND(AY74&lt;&gt;0,BA74&lt;&gt;0),TRUE,FALSE)</f>
        <v>0</v>
      </c>
      <c r="AX74" s="2196" t="str">
        <f>B73</f>
        <v>Geflügel</v>
      </c>
      <c r="BJ74" s="2200"/>
    </row>
    <row r="75" spans="1:70" ht="15" customHeight="1" thickBot="1">
      <c r="A75" s="681">
        <f>Tierb!A74</f>
        <v>710</v>
      </c>
      <c r="B75" s="596" t="str">
        <f>D_Klick!B288</f>
        <v>Junghennen, 2.25 Umtriebe</v>
      </c>
      <c r="C75" s="159"/>
      <c r="D75" s="159"/>
      <c r="E75" s="159"/>
      <c r="F75" s="158" t="str">
        <f>Tierb!F74</f>
        <v>100 Pl.</v>
      </c>
      <c r="G75" s="184">
        <f>Tierb!G74</f>
        <v>0</v>
      </c>
      <c r="H75" s="184">
        <f>Tierb!L74</f>
        <v>0</v>
      </c>
      <c r="I75" s="622"/>
      <c r="J75" s="622"/>
      <c r="K75" s="623"/>
      <c r="L75" s="623"/>
      <c r="M75" s="623"/>
      <c r="N75" s="622"/>
      <c r="O75" s="622"/>
      <c r="P75" s="623"/>
      <c r="Q75" s="184">
        <f>IF(AND($AW75,$H75&lt;&gt;0),BD75,30)</f>
        <v>30</v>
      </c>
      <c r="R75" s="160">
        <f t="shared" si="55"/>
        <v>18</v>
      </c>
      <c r="S75" s="532">
        <f>IF(AND($AW75,$H75&lt;&gt;0),BF75,17)</f>
        <v>17</v>
      </c>
      <c r="T75" s="532">
        <v>12</v>
      </c>
      <c r="U75" s="614">
        <v>2.5</v>
      </c>
      <c r="V75" s="532">
        <f>Tierb!N74</f>
        <v>0</v>
      </c>
      <c r="W75" s="530">
        <f>Tierb!O74</f>
        <v>0</v>
      </c>
      <c r="X75" s="614">
        <f t="shared" si="56"/>
        <v>0</v>
      </c>
      <c r="AD75" s="509">
        <f>Tierb!J74*Tierb!K74/365</f>
        <v>0</v>
      </c>
      <c r="AE75" s="209">
        <f>Tierb!H74</f>
        <v>0.4</v>
      </c>
      <c r="AF75" s="209">
        <v>0.6</v>
      </c>
      <c r="AG75" s="209"/>
      <c r="AI75" s="2321"/>
      <c r="AJ75" s="2326"/>
      <c r="AK75" s="2330"/>
      <c r="AL75" s="2318"/>
      <c r="AM75" s="2332"/>
      <c r="AN75" s="2321"/>
      <c r="AO75" s="2326"/>
      <c r="AP75" s="2330"/>
      <c r="AQ75" s="2321"/>
      <c r="AR75" s="2330"/>
      <c r="AS75" s="2339"/>
      <c r="AT75" s="2339"/>
      <c r="AU75" s="2339"/>
      <c r="AV75" s="2339"/>
      <c r="AW75" s="959" t="b">
        <f t="shared" si="49"/>
        <v>0</v>
      </c>
      <c r="AX75" s="603" t="str">
        <f t="shared" ref="AX75:AX80" si="57">B75</f>
        <v>Junghennen, 2.25 Umtriebe</v>
      </c>
      <c r="AY75" s="1216"/>
      <c r="AZ75" s="1200">
        <f t="shared" ref="AZ75:AZ80" si="58">AY75*0.6</f>
        <v>0</v>
      </c>
      <c r="BA75" s="1200"/>
      <c r="BB75" s="605" t="str">
        <f t="shared" ref="BB75:BB80" si="59">F75</f>
        <v>100 Pl.</v>
      </c>
      <c r="BC75" s="606">
        <f>H75</f>
        <v>0</v>
      </c>
      <c r="BD75" s="606">
        <f t="shared" ref="BD75:BF77" si="60">IF($BC75=0,0,AY75/$BC75)</f>
        <v>0</v>
      </c>
      <c r="BE75" s="613">
        <f t="shared" si="60"/>
        <v>0</v>
      </c>
      <c r="BF75" s="621">
        <f t="shared" si="60"/>
        <v>0</v>
      </c>
      <c r="BJ75" s="2200"/>
    </row>
    <row r="76" spans="1:70" ht="15" customHeight="1">
      <c r="A76" s="681">
        <f>Tierb!A75</f>
        <v>720</v>
      </c>
      <c r="B76" s="596" t="str">
        <f>D_Klick!B289</f>
        <v>Mastpoulets</v>
      </c>
      <c r="C76" s="159"/>
      <c r="D76" s="159"/>
      <c r="E76" s="159"/>
      <c r="F76" s="158" t="str">
        <f>Tierb!F75</f>
        <v>100 Pl.</v>
      </c>
      <c r="G76" s="184">
        <f>Tierb!G75</f>
        <v>0</v>
      </c>
      <c r="H76" s="184">
        <f>Tierb!L75</f>
        <v>0</v>
      </c>
      <c r="I76" s="622"/>
      <c r="J76" s="622"/>
      <c r="K76" s="623"/>
      <c r="L76" s="623"/>
      <c r="M76" s="623"/>
      <c r="N76" s="622"/>
      <c r="O76" s="622"/>
      <c r="P76" s="623"/>
      <c r="Q76" s="154">
        <f>IF(AND($AW76,$H76&lt;&gt;0),BD76,36)</f>
        <v>36</v>
      </c>
      <c r="R76" s="85">
        <f t="shared" si="55"/>
        <v>21.6</v>
      </c>
      <c r="S76" s="531">
        <f>IF(AND($AW76,$H76&lt;&gt;0),BF76,13)</f>
        <v>13</v>
      </c>
      <c r="T76" s="531">
        <v>22</v>
      </c>
      <c r="U76" s="893">
        <v>4.4000000000000004</v>
      </c>
      <c r="V76" s="532">
        <f>Tierb!N75</f>
        <v>0</v>
      </c>
      <c r="W76" s="530">
        <f>Tierb!O75</f>
        <v>0</v>
      </c>
      <c r="X76" s="614">
        <f t="shared" si="56"/>
        <v>0</v>
      </c>
      <c r="AD76" s="509">
        <f>Tierb!J75*Tierb!K75/365</f>
        <v>0</v>
      </c>
      <c r="AE76" s="209">
        <f>Tierb!H75</f>
        <v>0.4</v>
      </c>
      <c r="AF76" s="209">
        <f>$AF$75</f>
        <v>0.6</v>
      </c>
      <c r="AG76" s="209"/>
      <c r="AW76" s="959" t="b">
        <f t="shared" si="49"/>
        <v>0</v>
      </c>
      <c r="AX76" s="596" t="str">
        <f t="shared" si="57"/>
        <v>Mastpoulets</v>
      </c>
      <c r="AY76" s="1217"/>
      <c r="AZ76" s="1201">
        <f t="shared" si="58"/>
        <v>0</v>
      </c>
      <c r="BA76" s="1201"/>
      <c r="BB76" s="158" t="str">
        <f t="shared" si="59"/>
        <v>100 Pl.</v>
      </c>
      <c r="BC76" s="184">
        <f>H76</f>
        <v>0</v>
      </c>
      <c r="BD76" s="184">
        <f t="shared" si="60"/>
        <v>0</v>
      </c>
      <c r="BE76" s="532">
        <f t="shared" si="60"/>
        <v>0</v>
      </c>
      <c r="BF76" s="614">
        <f t="shared" si="60"/>
        <v>0</v>
      </c>
      <c r="BJ76" s="2200"/>
    </row>
    <row r="77" spans="1:70" ht="15" customHeight="1">
      <c r="A77" s="681">
        <f>Tierb!A76</f>
        <v>730</v>
      </c>
      <c r="B77" s="596" t="str">
        <f>D_Klick!B290</f>
        <v>Masttruten, 2.8 Umtriebe</v>
      </c>
      <c r="C77" s="159"/>
      <c r="D77" s="159"/>
      <c r="E77" s="76">
        <f>Tierb!K_MTR</f>
        <v>0</v>
      </c>
      <c r="F77" s="158" t="str">
        <f>IF(Tierb!F76 = "", "", Tierb!F76)</f>
        <v>100 Pl.</v>
      </c>
      <c r="G77" s="184">
        <f>Tierb!G76</f>
        <v>0</v>
      </c>
      <c r="H77" s="184">
        <f>Tierb!L76</f>
        <v>0</v>
      </c>
      <c r="I77" s="622"/>
      <c r="J77" s="622"/>
      <c r="K77" s="623"/>
      <c r="L77" s="623"/>
      <c r="M77" s="623"/>
      <c r="N77" s="622"/>
      <c r="O77" s="622"/>
      <c r="P77" s="623"/>
      <c r="Q77" s="154">
        <f>IF(AND($AW77,$H77&lt;&gt;0),BD77,IF($E77=2,50,140))</f>
        <v>140</v>
      </c>
      <c r="R77" s="85">
        <f t="shared" si="55"/>
        <v>84</v>
      </c>
      <c r="S77" s="531">
        <f>IF(AND($AW77,$H77&lt;&gt;0),BF77,IF($E77=2,25,70))</f>
        <v>70</v>
      </c>
      <c r="T77" s="531">
        <f>IF(AND($AW77,$H77&lt;&gt;0),BG77,IF($E77=2,14.29,40))</f>
        <v>40</v>
      </c>
      <c r="U77" s="893">
        <f>IF(AND($AW77,$H77&lt;&gt;0),BH77,IF($E77=2,6.43,18))</f>
        <v>18</v>
      </c>
      <c r="V77" s="532">
        <f>Tierb!N76</f>
        <v>0</v>
      </c>
      <c r="W77" s="530">
        <f>Tierb!O76</f>
        <v>0</v>
      </c>
      <c r="X77" s="614">
        <f t="shared" si="56"/>
        <v>0</v>
      </c>
      <c r="AD77" s="509">
        <f>Tierb!J76*Tierb!K76/365</f>
        <v>0</v>
      </c>
      <c r="AE77" s="209">
        <f>Tierb!H76</f>
        <v>1.5</v>
      </c>
      <c r="AF77" s="209">
        <f>$AF$75</f>
        <v>0.6</v>
      </c>
      <c r="AG77" s="209"/>
      <c r="AW77" s="959" t="b">
        <f t="shared" si="49"/>
        <v>0</v>
      </c>
      <c r="AX77" s="596" t="str">
        <f t="shared" si="57"/>
        <v>Masttruten, 2.8 Umtriebe</v>
      </c>
      <c r="AY77" s="1217"/>
      <c r="AZ77" s="1201">
        <f t="shared" si="58"/>
        <v>0</v>
      </c>
      <c r="BA77" s="1201"/>
      <c r="BB77" s="158" t="str">
        <f t="shared" si="59"/>
        <v>100 Pl.</v>
      </c>
      <c r="BC77" s="184">
        <f>H77</f>
        <v>0</v>
      </c>
      <c r="BD77" s="184">
        <f t="shared" si="60"/>
        <v>0</v>
      </c>
      <c r="BE77" s="532">
        <f t="shared" si="60"/>
        <v>0</v>
      </c>
      <c r="BF77" s="614">
        <f t="shared" si="60"/>
        <v>0</v>
      </c>
      <c r="BJ77" s="2200"/>
    </row>
    <row r="78" spans="1:70" ht="15" customHeight="1">
      <c r="A78" s="681">
        <f>Tierb!A77</f>
        <v>740</v>
      </c>
      <c r="B78" s="596" t="str">
        <f>D_Klick!B291</f>
        <v>Trutenvormast, bis 1.5 kg LG, 6 Umtriebe</v>
      </c>
      <c r="C78" s="159"/>
      <c r="D78" s="159"/>
      <c r="E78" s="159"/>
      <c r="F78" s="158" t="str">
        <f>Tierb!F77</f>
        <v>100 Pl.</v>
      </c>
      <c r="G78" s="184">
        <f>Tierb!G77</f>
        <v>0</v>
      </c>
      <c r="H78" s="184">
        <f>Tierb!L77</f>
        <v>0</v>
      </c>
      <c r="I78" s="622"/>
      <c r="J78" s="622"/>
      <c r="K78" s="623"/>
      <c r="L78" s="623"/>
      <c r="M78" s="623"/>
      <c r="N78" s="622"/>
      <c r="O78" s="622"/>
      <c r="P78" s="623"/>
      <c r="Q78" s="184">
        <v>40</v>
      </c>
      <c r="R78" s="160">
        <f t="shared" si="55"/>
        <v>24</v>
      </c>
      <c r="S78" s="532">
        <v>20.6</v>
      </c>
      <c r="T78" s="532">
        <v>12</v>
      </c>
      <c r="U78" s="614">
        <v>5</v>
      </c>
      <c r="V78" s="532">
        <f>Tierb!N77</f>
        <v>0</v>
      </c>
      <c r="W78" s="530">
        <f>Tierb!O77</f>
        <v>0</v>
      </c>
      <c r="X78" s="614">
        <f t="shared" si="56"/>
        <v>0</v>
      </c>
      <c r="AD78" s="509">
        <f>Tierb!J77*Tierb!K77/365</f>
        <v>0</v>
      </c>
      <c r="AE78" s="209">
        <f>Tierb!H77</f>
        <v>0.5</v>
      </c>
      <c r="AF78" s="209">
        <f>$AF$75</f>
        <v>0.6</v>
      </c>
      <c r="AG78" s="209"/>
      <c r="AW78" s="959" t="b">
        <f t="shared" si="49"/>
        <v>0</v>
      </c>
      <c r="AX78" s="596" t="str">
        <f t="shared" si="57"/>
        <v>Trutenvormast, bis 1.5 kg LG, 6 Umtriebe</v>
      </c>
      <c r="AY78" s="1217"/>
      <c r="AZ78" s="1201">
        <f t="shared" si="58"/>
        <v>0</v>
      </c>
      <c r="BA78" s="1201"/>
      <c r="BB78" s="158" t="str">
        <f t="shared" si="59"/>
        <v>100 Pl.</v>
      </c>
      <c r="BC78" s="184">
        <f>H78</f>
        <v>0</v>
      </c>
      <c r="BD78" s="184">
        <f t="shared" ref="BD78:BF79" si="61">IF($BC78=0,0,AY78/$BC78)</f>
        <v>0</v>
      </c>
      <c r="BE78" s="532">
        <f t="shared" si="61"/>
        <v>0</v>
      </c>
      <c r="BF78" s="614">
        <f t="shared" si="61"/>
        <v>0</v>
      </c>
      <c r="BJ78" s="2200"/>
    </row>
    <row r="79" spans="1:70" ht="15" customHeight="1">
      <c r="A79" s="681">
        <f>Tierb!A78</f>
        <v>750</v>
      </c>
      <c r="B79" s="596" t="str">
        <f>D_Klick!B292</f>
        <v>Trutenausmast, 1.5 bis 13 kg LG, 2.9 Umtriebe</v>
      </c>
      <c r="C79" s="159"/>
      <c r="D79" s="159"/>
      <c r="E79" s="159"/>
      <c r="F79" s="158" t="str">
        <f>Tierb!F78</f>
        <v>100 Pl.</v>
      </c>
      <c r="G79" s="184">
        <f>Tierb!G78</f>
        <v>0</v>
      </c>
      <c r="H79" s="184">
        <f>Tierb!L78</f>
        <v>0</v>
      </c>
      <c r="I79" s="622"/>
      <c r="J79" s="622"/>
      <c r="K79" s="623"/>
      <c r="L79" s="623"/>
      <c r="M79" s="623"/>
      <c r="N79" s="622"/>
      <c r="O79" s="622"/>
      <c r="P79" s="623"/>
      <c r="Q79" s="184">
        <v>230</v>
      </c>
      <c r="R79" s="160">
        <f t="shared" si="55"/>
        <v>138</v>
      </c>
      <c r="S79" s="532">
        <v>114.6</v>
      </c>
      <c r="T79" s="532">
        <v>70</v>
      </c>
      <c r="U79" s="614">
        <v>29</v>
      </c>
      <c r="V79" s="532">
        <f>Tierb!N78</f>
        <v>0</v>
      </c>
      <c r="W79" s="530">
        <f>Tierb!O78</f>
        <v>0</v>
      </c>
      <c r="X79" s="614">
        <f t="shared" si="56"/>
        <v>0</v>
      </c>
      <c r="AD79" s="509">
        <f>Tierb!J78*Tierb!K78/365</f>
        <v>0</v>
      </c>
      <c r="AE79" s="209">
        <f>Tierb!H78</f>
        <v>2.8</v>
      </c>
      <c r="AF79" s="209">
        <f>$AF$75</f>
        <v>0.6</v>
      </c>
      <c r="AG79" s="209"/>
      <c r="AH79" s="2202" t="s">
        <v>7746</v>
      </c>
      <c r="AW79" s="959" t="b">
        <f>IF(AND(AY79&lt;&gt;0,BA79&lt;&gt;0),TRUE,FALSE)</f>
        <v>0</v>
      </c>
      <c r="AX79" s="596" t="str">
        <f t="shared" si="57"/>
        <v>Trutenausmast, 1.5 bis 13 kg LG, 2.9 Umtriebe</v>
      </c>
      <c r="AY79" s="1217"/>
      <c r="AZ79" s="1201">
        <f t="shared" si="58"/>
        <v>0</v>
      </c>
      <c r="BA79" s="1201"/>
      <c r="BB79" s="158" t="str">
        <f t="shared" si="59"/>
        <v>100 Pl.</v>
      </c>
      <c r="BC79" s="184">
        <f>H79</f>
        <v>0</v>
      </c>
      <c r="BD79" s="184">
        <f t="shared" si="61"/>
        <v>0</v>
      </c>
      <c r="BE79" s="532">
        <f t="shared" si="61"/>
        <v>0</v>
      </c>
      <c r="BF79" s="614">
        <f t="shared" si="61"/>
        <v>0</v>
      </c>
      <c r="BJ79" s="2200"/>
    </row>
    <row r="80" spans="1:70" ht="15" customHeight="1" thickBot="1">
      <c r="A80" s="681">
        <f>Tierb!A79</f>
        <v>760</v>
      </c>
      <c r="B80" s="115" t="str">
        <f>D_Klick!B293</f>
        <v/>
      </c>
      <c r="C80" s="598"/>
      <c r="D80" s="598"/>
      <c r="E80" s="598"/>
      <c r="F80" s="615" t="str">
        <f>IF(Tierb!F79 = "", "", Tierb!F79)</f>
        <v/>
      </c>
      <c r="G80" s="599">
        <f>Tierb!G79</f>
        <v>0</v>
      </c>
      <c r="H80" s="599">
        <f>Tierb!L79</f>
        <v>0</v>
      </c>
      <c r="I80" s="624"/>
      <c r="J80" s="624"/>
      <c r="K80" s="625"/>
      <c r="L80" s="625"/>
      <c r="M80" s="625"/>
      <c r="N80" s="624"/>
      <c r="O80" s="624"/>
      <c r="P80" s="625"/>
      <c r="Q80" s="600"/>
      <c r="R80" s="129">
        <f t="shared" si="55"/>
        <v>0</v>
      </c>
      <c r="S80" s="602"/>
      <c r="T80" s="602"/>
      <c r="U80" s="626"/>
      <c r="V80" s="616">
        <f>Tierb!N79</f>
        <v>0</v>
      </c>
      <c r="W80" s="618">
        <f>Tierb!O79</f>
        <v>0</v>
      </c>
      <c r="X80" s="617">
        <f t="shared" si="56"/>
        <v>0</v>
      </c>
      <c r="AD80" s="509">
        <f>Tierb!J79*Tierb!K79/365</f>
        <v>0</v>
      </c>
      <c r="AE80" s="209">
        <f>Tierb!H79</f>
        <v>0</v>
      </c>
      <c r="AF80" s="209">
        <f>$AF$75</f>
        <v>0.6</v>
      </c>
      <c r="AG80" s="209"/>
      <c r="AH80" s="2202">
        <f>COUNT(Tierb!G64:G79)</f>
        <v>0</v>
      </c>
      <c r="AL80" s="2207"/>
      <c r="AW80" s="959"/>
      <c r="AX80" s="1209" t="str">
        <f t="shared" si="57"/>
        <v/>
      </c>
      <c r="AY80" s="1215"/>
      <c r="AZ80" s="1210">
        <f t="shared" si="58"/>
        <v>0</v>
      </c>
      <c r="BA80" s="1210"/>
      <c r="BB80" s="1211" t="str">
        <f t="shared" si="59"/>
        <v/>
      </c>
      <c r="BC80" s="624">
        <v>0</v>
      </c>
      <c r="BD80" s="1212"/>
      <c r="BE80" s="1213"/>
      <c r="BF80" s="912"/>
      <c r="BJ80" s="2200"/>
    </row>
    <row r="81" spans="2:32">
      <c r="B81" s="609"/>
      <c r="AD81" s="2197"/>
      <c r="AE81" s="2197"/>
      <c r="AF81" s="209">
        <f>IFERROR(R81/Q81,0)</f>
        <v>0</v>
      </c>
    </row>
  </sheetData>
  <sheetProtection algorithmName="SHA-512" hashValue="8EuH1+LbpXG+F7TexszEqIwgTUpPIXRE7NizsErex8JKXB6wkYW5Bg+xgDQcg2rRJa64YMwFt7jtY8UV90THvg==" saltValue="PEibPrI3Qa4sxexB9DFsHg==" spinCount="100000" sheet="1" objects="1" scenarios="1"/>
  <dataConsolidate link="1"/>
  <mergeCells count="2">
    <mergeCell ref="N5:P5"/>
    <mergeCell ref="R5:U5"/>
  </mergeCells>
  <phoneticPr fontId="65" type="noConversion"/>
  <pageMargins left="0.59055118110236227" right="0.59055118110236227" top="0.59055118110236227" bottom="0.59055118110236227" header="0.51181102362204722" footer="0.51181102362204722"/>
  <pageSetup paperSize="9" scale="48" orientation="landscape" r:id="rId1"/>
  <headerFooter alignWithMargins="0">
    <oddFooter>&amp;C&amp;9&amp;F&amp;R&amp;"Arial,Standard"&amp;9Seite &amp;P&amp;L&amp;"Arial,Fett"&amp;11AGRIDEA &amp;"Arial,Standard"&amp;9 Nachweis Version 9.9</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0">
    <tabColor indexed="31"/>
    <pageSetUpPr fitToPage="1"/>
  </sheetPr>
  <dimension ref="B1:G71"/>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42.7109375" customWidth="1"/>
    <col min="3" max="3" width="11.42578125" hidden="1" customWidth="1"/>
  </cols>
  <sheetData>
    <row r="1" spans="2:7" ht="13.5" thickBot="1">
      <c r="B1" s="1"/>
      <c r="C1" s="1"/>
      <c r="D1" s="1"/>
      <c r="E1" s="1"/>
      <c r="F1" s="1"/>
      <c r="G1" s="1"/>
    </row>
    <row r="2" spans="2:7" ht="15.75">
      <c r="B2" s="380" t="str">
        <f>Q!F70</f>
        <v>Gemüsebau Freiland</v>
      </c>
      <c r="C2" s="573"/>
      <c r="D2" s="627" t="s">
        <v>1511</v>
      </c>
      <c r="E2" s="1826" t="s">
        <v>2416</v>
      </c>
      <c r="F2" s="1826" t="s">
        <v>1548</v>
      </c>
      <c r="G2" s="629" t="s">
        <v>7031</v>
      </c>
    </row>
    <row r="3" spans="2:7" ht="13.5" thickBot="1">
      <c r="B3" s="575"/>
      <c r="C3" s="576"/>
      <c r="D3" s="577"/>
      <c r="E3" s="630"/>
      <c r="F3" s="630"/>
      <c r="G3" s="631"/>
    </row>
    <row r="4" spans="2:7" ht="12.75">
      <c r="B4" s="632" t="str">
        <f>Texte!A3838</f>
        <v>Aubergine</v>
      </c>
      <c r="C4" s="529"/>
      <c r="D4" s="876">
        <v>1.7</v>
      </c>
      <c r="E4" s="876">
        <v>0.2</v>
      </c>
      <c r="F4" s="876">
        <v>1.3</v>
      </c>
      <c r="G4" s="579">
        <v>0.1</v>
      </c>
    </row>
    <row r="5" spans="2:7" ht="12.75">
      <c r="B5" s="632" t="str">
        <f>Texte!A3839</f>
        <v>Blumenkohl</v>
      </c>
      <c r="C5" s="529"/>
      <c r="D5" s="876">
        <v>2.6</v>
      </c>
      <c r="E5" s="876">
        <v>0.4</v>
      </c>
      <c r="F5" s="876">
        <v>1.2</v>
      </c>
      <c r="G5" s="579">
        <v>0.1</v>
      </c>
    </row>
    <row r="6" spans="2:7" ht="12.75">
      <c r="B6" s="632" t="str">
        <f>Texte!A3840</f>
        <v>Bodenkohlrabi</v>
      </c>
      <c r="C6" s="529"/>
      <c r="D6" s="876">
        <v>1.5</v>
      </c>
      <c r="E6" s="876">
        <v>0.3</v>
      </c>
      <c r="F6" s="876">
        <v>1.2</v>
      </c>
      <c r="G6" s="579">
        <v>0.2</v>
      </c>
    </row>
    <row r="7" spans="2:7" ht="12.75">
      <c r="B7" s="632" t="str">
        <f>Texte!A3841</f>
        <v>Bohnen Busch-, Handpflück-</v>
      </c>
      <c r="C7" s="529"/>
      <c r="D7" s="876">
        <v>0</v>
      </c>
      <c r="E7" s="876">
        <v>0.2</v>
      </c>
      <c r="F7" s="876">
        <v>0.7</v>
      </c>
      <c r="G7" s="579">
        <v>0.05</v>
      </c>
    </row>
    <row r="8" spans="2:7" ht="12.75">
      <c r="B8" s="632" t="str">
        <f>Texte!A3842</f>
        <v>Bohnen, Verarbeitung-</v>
      </c>
      <c r="C8" s="529"/>
      <c r="D8" s="876">
        <v>0</v>
      </c>
      <c r="E8" s="876">
        <v>0.1</v>
      </c>
      <c r="F8" s="876">
        <v>0.3</v>
      </c>
      <c r="G8" s="579">
        <v>0.05</v>
      </c>
    </row>
    <row r="9" spans="2:7" ht="12.75">
      <c r="B9" s="632" t="str">
        <f>Texte!A3843</f>
        <v>Broccoli</v>
      </c>
      <c r="C9" s="529"/>
      <c r="D9" s="876">
        <v>2.2000000000000002</v>
      </c>
      <c r="E9" s="876">
        <v>0.3</v>
      </c>
      <c r="F9" s="876">
        <v>0.9</v>
      </c>
      <c r="G9" s="579">
        <v>0.1</v>
      </c>
    </row>
    <row r="10" spans="2:7" ht="12.75">
      <c r="B10" s="632" t="str">
        <f>Texte!A3844</f>
        <v>Chinakohl</v>
      </c>
      <c r="C10" s="529"/>
      <c r="D10" s="876">
        <v>1.6</v>
      </c>
      <c r="E10" s="876">
        <v>0.6</v>
      </c>
      <c r="F10" s="876">
        <v>2</v>
      </c>
      <c r="G10" s="579">
        <v>0.1</v>
      </c>
    </row>
    <row r="11" spans="2:7" ht="12.75">
      <c r="B11" s="632" t="str">
        <f>Texte!A3845</f>
        <v>Chicorée, Wurzelanbau</v>
      </c>
      <c r="C11" s="529"/>
      <c r="D11" s="876">
        <v>0.7</v>
      </c>
      <c r="E11" s="876">
        <v>0.5</v>
      </c>
      <c r="F11" s="876">
        <v>1.5</v>
      </c>
      <c r="G11" s="579">
        <v>0.3</v>
      </c>
    </row>
    <row r="12" spans="2:7" ht="12.75">
      <c r="B12" s="632" t="str">
        <f>Texte!A3846</f>
        <v>Cima di rapa</v>
      </c>
      <c r="C12" s="529"/>
      <c r="D12" s="876">
        <v>1.4</v>
      </c>
      <c r="E12" s="876">
        <v>0.4</v>
      </c>
      <c r="F12" s="876">
        <v>1.6</v>
      </c>
      <c r="G12" s="579">
        <v>0.1</v>
      </c>
    </row>
    <row r="13" spans="2:7" ht="12.75">
      <c r="B13" s="632" t="str">
        <f>Texte!A3847</f>
        <v>Cicorino rosso, Radicchio</v>
      </c>
      <c r="C13" s="529"/>
      <c r="D13" s="876">
        <v>1.1000000000000001</v>
      </c>
      <c r="E13" s="876">
        <v>0.2</v>
      </c>
      <c r="F13" s="876">
        <v>0.9</v>
      </c>
      <c r="G13" s="579">
        <v>0.1</v>
      </c>
    </row>
    <row r="14" spans="2:7" ht="12.75">
      <c r="B14" s="632" t="str">
        <f>Texte!A3848</f>
        <v>Endivie, mittlerer Ertrag</v>
      </c>
      <c r="C14" s="529"/>
      <c r="D14" s="876">
        <v>1.3</v>
      </c>
      <c r="E14" s="876">
        <v>0.3</v>
      </c>
      <c r="F14" s="876">
        <v>1.6</v>
      </c>
      <c r="G14" s="579">
        <v>0.2</v>
      </c>
    </row>
    <row r="15" spans="2:7" ht="12.75">
      <c r="B15" s="632" t="str">
        <f>Texte!A3849</f>
        <v>Endivie, hoher Ertrag</v>
      </c>
      <c r="C15" s="529"/>
      <c r="D15" s="876">
        <v>1.6</v>
      </c>
      <c r="E15" s="876">
        <v>0.4</v>
      </c>
      <c r="F15" s="876">
        <v>2</v>
      </c>
      <c r="G15" s="579">
        <v>0.2</v>
      </c>
    </row>
    <row r="16" spans="2:7" ht="12.75">
      <c r="B16" s="632" t="str">
        <f>Texte!A3850</f>
        <v>Erbsen, Verarbeitung-</v>
      </c>
      <c r="C16" s="529"/>
      <c r="D16" s="876">
        <v>0</v>
      </c>
      <c r="E16" s="876">
        <v>0.2</v>
      </c>
      <c r="F16" s="876">
        <v>0.6</v>
      </c>
      <c r="G16" s="579">
        <v>0.05</v>
      </c>
    </row>
    <row r="17" spans="2:7" ht="12.75">
      <c r="B17" s="632" t="str">
        <f>Texte!A3851</f>
        <v>Erbsen, Kefen</v>
      </c>
      <c r="C17" s="529"/>
      <c r="D17" s="876">
        <v>0</v>
      </c>
      <c r="E17" s="876">
        <v>0.3</v>
      </c>
      <c r="F17" s="876">
        <v>1.1000000000000001</v>
      </c>
      <c r="G17" s="579">
        <v>0.1</v>
      </c>
    </row>
    <row r="18" spans="2:7" ht="12.75">
      <c r="B18" s="632" t="str">
        <f>Texte!A3852</f>
        <v>Federkohl</v>
      </c>
      <c r="C18" s="529"/>
      <c r="D18" s="876">
        <v>2.5</v>
      </c>
      <c r="E18" s="876">
        <v>0.5</v>
      </c>
      <c r="F18" s="876">
        <v>1.6</v>
      </c>
      <c r="G18" s="579">
        <v>0.1</v>
      </c>
    </row>
    <row r="19" spans="2:7" ht="12.75">
      <c r="B19" s="632" t="str">
        <f>Texte!A3853</f>
        <v>Fenchel, Knollen</v>
      </c>
      <c r="C19" s="529"/>
      <c r="D19" s="876">
        <v>1.6</v>
      </c>
      <c r="E19" s="876">
        <v>0.3</v>
      </c>
      <c r="F19" s="876">
        <v>1.8</v>
      </c>
      <c r="G19" s="579">
        <v>0.2</v>
      </c>
    </row>
    <row r="20" spans="2:7" ht="12.75">
      <c r="B20" s="632" t="str">
        <f>Texte!A3854</f>
        <v>Gurken, Essiggurken</v>
      </c>
      <c r="C20" s="529"/>
      <c r="D20" s="876">
        <v>1.4</v>
      </c>
      <c r="E20" s="876">
        <v>0.3</v>
      </c>
      <c r="F20" s="876">
        <v>1.7</v>
      </c>
      <c r="G20" s="579">
        <v>0.2</v>
      </c>
    </row>
    <row r="21" spans="2:7" ht="12.75">
      <c r="B21" s="632" t="str">
        <f>Texte!A3855</f>
        <v>Kabis Früh-, Folie</v>
      </c>
      <c r="C21" s="529"/>
      <c r="D21" s="876">
        <v>1.4</v>
      </c>
      <c r="E21" s="876">
        <v>0.4</v>
      </c>
      <c r="F21" s="876">
        <v>1.5</v>
      </c>
      <c r="G21" s="579">
        <v>0.1</v>
      </c>
    </row>
    <row r="22" spans="2:7" ht="12.75">
      <c r="B22" s="632" t="str">
        <f>Texte!A3856</f>
        <v>Kabis Lager</v>
      </c>
      <c r="C22" s="529"/>
      <c r="D22" s="876">
        <v>1.9</v>
      </c>
      <c r="E22" s="876">
        <v>0.5</v>
      </c>
      <c r="F22" s="876">
        <v>2</v>
      </c>
      <c r="G22" s="579">
        <v>0.2</v>
      </c>
    </row>
    <row r="23" spans="2:7" ht="12.75">
      <c r="B23" s="632" t="str">
        <f>Texte!A3857</f>
        <v>Kabis Einschneide-</v>
      </c>
      <c r="C23" s="529"/>
      <c r="D23" s="876">
        <v>2.6</v>
      </c>
      <c r="E23" s="876">
        <v>0.6</v>
      </c>
      <c r="F23" s="876">
        <v>2.5</v>
      </c>
      <c r="G23" s="579">
        <v>0.2</v>
      </c>
    </row>
    <row r="24" spans="2:7" ht="12.75">
      <c r="B24" s="632" t="str">
        <f>Texte!A3858</f>
        <v>Karotten Pariser</v>
      </c>
      <c r="C24" s="529"/>
      <c r="D24" s="876">
        <v>0.5</v>
      </c>
      <c r="E24" s="876">
        <v>0.3</v>
      </c>
      <c r="F24" s="876">
        <v>1</v>
      </c>
      <c r="G24" s="579">
        <v>0.1</v>
      </c>
    </row>
    <row r="25" spans="2:7" ht="12.75">
      <c r="B25" s="632" t="str">
        <f>Texte!A3859</f>
        <v>Karotten Bund-, Früh-</v>
      </c>
      <c r="C25" s="529"/>
      <c r="D25" s="876">
        <v>1</v>
      </c>
      <c r="E25" s="876">
        <v>0.4</v>
      </c>
      <c r="F25" s="876">
        <v>1.4</v>
      </c>
      <c r="G25" s="579">
        <v>0.2</v>
      </c>
    </row>
    <row r="26" spans="2:7" ht="12.75">
      <c r="B26" s="632" t="str">
        <f>Texte!A3860</f>
        <v>Karotten Verarbeitung-, Lager-, mittlerer Ertrag</v>
      </c>
      <c r="C26" s="529"/>
      <c r="D26" s="876">
        <v>1.1000000000000001</v>
      </c>
      <c r="E26" s="876">
        <v>0.4</v>
      </c>
      <c r="F26" s="876">
        <v>2.5</v>
      </c>
      <c r="G26" s="579">
        <v>0.2</v>
      </c>
    </row>
    <row r="27" spans="2:7" ht="12.75">
      <c r="B27" s="632" t="str">
        <f>Texte!A3861</f>
        <v>Karotten Verarbeitung-, Lager-, hoher Ertrag</v>
      </c>
      <c r="C27" s="529"/>
      <c r="D27" s="876">
        <v>1.3</v>
      </c>
      <c r="E27" s="876">
        <v>0.5</v>
      </c>
      <c r="F27" s="876">
        <v>3</v>
      </c>
      <c r="G27" s="579">
        <v>0.2</v>
      </c>
    </row>
    <row r="28" spans="2:7" ht="12.75">
      <c r="B28" s="632" t="str">
        <f>Texte!A3863</f>
        <v>Knoblauch</v>
      </c>
      <c r="C28" s="529"/>
      <c r="D28" s="876">
        <v>1.2</v>
      </c>
      <c r="E28" s="876">
        <v>0.3</v>
      </c>
      <c r="F28" s="876">
        <v>1.2</v>
      </c>
      <c r="G28" s="579">
        <v>0.1</v>
      </c>
    </row>
    <row r="29" spans="2:7" ht="12.75">
      <c r="B29" s="632" t="str">
        <f>Texte!A3864</f>
        <v>Kohlrabi</v>
      </c>
      <c r="C29" s="529"/>
      <c r="D29" s="876">
        <v>1.3</v>
      </c>
      <c r="E29" s="876">
        <v>0.4</v>
      </c>
      <c r="F29" s="876">
        <v>1.2</v>
      </c>
      <c r="G29" s="579">
        <v>0.2</v>
      </c>
    </row>
    <row r="30" spans="2:7" ht="12.75">
      <c r="B30" s="632" t="str">
        <f>Texte!A3865</f>
        <v>Kohlrabi Verarbeitung</v>
      </c>
      <c r="C30" s="529"/>
      <c r="D30" s="876">
        <v>1.7</v>
      </c>
      <c r="E30" s="876">
        <v>0.5</v>
      </c>
      <c r="F30" s="876">
        <v>1.5</v>
      </c>
      <c r="G30" s="579">
        <v>0.3</v>
      </c>
    </row>
    <row r="31" spans="2:7" ht="12.75">
      <c r="B31" s="632" t="str">
        <f>Texte!A3866</f>
        <v>Kräuter, Gewürz klein</v>
      </c>
      <c r="C31" s="529"/>
      <c r="D31" s="876">
        <v>0.4</v>
      </c>
      <c r="E31" s="876">
        <v>0.15</v>
      </c>
      <c r="F31" s="876">
        <v>0.6</v>
      </c>
      <c r="G31" s="579">
        <v>0.1</v>
      </c>
    </row>
    <row r="32" spans="2:7" ht="12.75">
      <c r="B32" s="632" t="str">
        <f>Texte!A3867</f>
        <v>Kräuter, Gewürz mittel</v>
      </c>
      <c r="C32" s="529"/>
      <c r="D32" s="876">
        <v>0.7</v>
      </c>
      <c r="E32" s="876">
        <v>0.3</v>
      </c>
      <c r="F32" s="876">
        <v>1.6</v>
      </c>
      <c r="G32" s="579">
        <v>0.15</v>
      </c>
    </row>
    <row r="33" spans="2:7" ht="12.75">
      <c r="B33" s="632" t="str">
        <f>Texte!A3868</f>
        <v>Kräuter, Gewürz mittel bis gross</v>
      </c>
      <c r="C33" s="529"/>
      <c r="D33" s="876">
        <v>1.2</v>
      </c>
      <c r="E33" s="876">
        <v>0.4</v>
      </c>
      <c r="F33" s="876">
        <v>2</v>
      </c>
      <c r="G33" s="579">
        <v>0.2</v>
      </c>
    </row>
    <row r="34" spans="2:7" ht="12.75">
      <c r="B34" s="632" t="str">
        <f>Texte!A3869</f>
        <v>Kräuter, Gewürz gross</v>
      </c>
      <c r="C34" s="529"/>
      <c r="D34" s="876">
        <v>1.6</v>
      </c>
      <c r="E34" s="876">
        <v>0.5</v>
      </c>
      <c r="F34" s="876">
        <v>2.5</v>
      </c>
      <c r="G34" s="579">
        <v>0.25</v>
      </c>
    </row>
    <row r="35" spans="2:7" ht="12.75">
      <c r="B35" s="632" t="str">
        <f>Texte!A3871</f>
        <v>Krautstiel</v>
      </c>
      <c r="C35" s="529"/>
      <c r="D35" s="876">
        <v>1.5</v>
      </c>
      <c r="E35" s="876">
        <v>0.6</v>
      </c>
      <c r="F35" s="876">
        <v>2.2000000000000002</v>
      </c>
      <c r="G35" s="579">
        <v>0.3</v>
      </c>
    </row>
    <row r="36" spans="2:7" ht="12.75">
      <c r="B36" s="632" t="str">
        <f>Texte!A3872</f>
        <v>Lauch</v>
      </c>
      <c r="C36" s="529"/>
      <c r="D36" s="876">
        <v>2</v>
      </c>
      <c r="E36" s="876">
        <v>0.4</v>
      </c>
      <c r="F36" s="876">
        <v>1.8</v>
      </c>
      <c r="G36" s="579">
        <v>0.2</v>
      </c>
    </row>
    <row r="37" spans="2:7" ht="12.75">
      <c r="B37" s="632" t="str">
        <f>Texte!A3873</f>
        <v>Melone</v>
      </c>
      <c r="C37" s="529"/>
      <c r="D37" s="876">
        <v>1.4</v>
      </c>
      <c r="E37" s="876">
        <v>0.3</v>
      </c>
      <c r="F37" s="876">
        <v>1.7</v>
      </c>
      <c r="G37" s="579">
        <v>0.4</v>
      </c>
    </row>
    <row r="38" spans="2:7" ht="12.75">
      <c r="B38" s="632" t="str">
        <f>Texte!A3874</f>
        <v>Nüsslisalat, Feldsalat</v>
      </c>
      <c r="C38" s="529"/>
      <c r="D38" s="876">
        <v>0.5</v>
      </c>
      <c r="E38" s="876">
        <v>0.2</v>
      </c>
      <c r="F38" s="876">
        <v>0.6</v>
      </c>
      <c r="G38" s="579">
        <v>0.1</v>
      </c>
    </row>
    <row r="39" spans="2:7" ht="12.75">
      <c r="B39" s="632" t="str">
        <f>Texte!A3875</f>
        <v>Pastinake</v>
      </c>
      <c r="C39" s="529"/>
      <c r="D39" s="876">
        <v>1.8</v>
      </c>
      <c r="E39" s="876">
        <v>0.9</v>
      </c>
      <c r="F39" s="876">
        <v>2.9</v>
      </c>
      <c r="G39" s="579">
        <v>0.25</v>
      </c>
    </row>
    <row r="40" spans="2:7" ht="12.75">
      <c r="B40" s="632" t="str">
        <f>Texte!A3876</f>
        <v>Petersilie</v>
      </c>
      <c r="C40" s="529"/>
      <c r="D40" s="876">
        <v>1</v>
      </c>
      <c r="E40" s="876">
        <v>0.3</v>
      </c>
      <c r="F40" s="876">
        <v>1.2</v>
      </c>
      <c r="G40" s="579">
        <v>0.2</v>
      </c>
    </row>
    <row r="41" spans="2:7" ht="12.75">
      <c r="B41" s="632" t="str">
        <f>Texte!A3877</f>
        <v>Radies 10 Bund/m2</v>
      </c>
      <c r="C41" s="529"/>
      <c r="D41" s="876">
        <v>0.5</v>
      </c>
      <c r="E41" s="876">
        <v>0.2</v>
      </c>
      <c r="F41" s="876">
        <v>0.8</v>
      </c>
      <c r="G41" s="579">
        <v>0.1</v>
      </c>
    </row>
    <row r="42" spans="2:7" ht="12.75">
      <c r="B42" s="632" t="str">
        <f>Texte!A3878</f>
        <v>Randen</v>
      </c>
      <c r="C42" s="529"/>
      <c r="D42" s="876">
        <v>1.4</v>
      </c>
      <c r="E42" s="876">
        <v>0.4</v>
      </c>
      <c r="F42" s="876">
        <v>1.6</v>
      </c>
      <c r="G42" s="579">
        <v>0.2</v>
      </c>
    </row>
    <row r="43" spans="2:7" ht="12.75">
      <c r="B43" s="632" t="str">
        <f>Texte!A3879</f>
        <v>Rettich 8-9 Stk/m2</v>
      </c>
      <c r="C43" s="529"/>
      <c r="D43" s="876">
        <v>1.1000000000000001</v>
      </c>
      <c r="E43" s="876">
        <v>0.4</v>
      </c>
      <c r="F43" s="876">
        <v>1.5</v>
      </c>
      <c r="G43" s="579">
        <v>0.1</v>
      </c>
    </row>
    <row r="44" spans="2:7" ht="12.75">
      <c r="B44" s="632" t="str">
        <f>Texte!A3881</f>
        <v>Rosenkohl, Strünke abgeführt</v>
      </c>
      <c r="C44" s="529"/>
      <c r="D44" s="876">
        <v>2.6</v>
      </c>
      <c r="E44" s="876">
        <v>0.5</v>
      </c>
      <c r="F44" s="876">
        <v>1.7</v>
      </c>
      <c r="G44" s="579">
        <v>0.05</v>
      </c>
    </row>
    <row r="45" spans="2:7" ht="12.75">
      <c r="B45" s="632" t="str">
        <f>Texte!A3882</f>
        <v>Rüben Herbst-, Mai-</v>
      </c>
      <c r="C45" s="529"/>
      <c r="D45" s="876">
        <v>1.4</v>
      </c>
      <c r="E45" s="876">
        <v>0.3</v>
      </c>
      <c r="F45" s="876">
        <v>1.5</v>
      </c>
      <c r="G45" s="579">
        <v>0.2</v>
      </c>
    </row>
    <row r="46" spans="2:7" ht="12.75">
      <c r="B46" s="632" t="str">
        <f>Texte!A3883</f>
        <v>Rucola, 1 Schnitt</v>
      </c>
      <c r="C46" s="529"/>
      <c r="D46" s="876">
        <v>1.5</v>
      </c>
      <c r="E46" s="876">
        <v>0.3</v>
      </c>
      <c r="F46" s="876">
        <v>1.5</v>
      </c>
      <c r="G46" s="579">
        <v>0.1</v>
      </c>
    </row>
    <row r="47" spans="2:7" ht="12.75">
      <c r="B47" s="632" t="str">
        <f>Texte!A3884</f>
        <v>Rucola, 2 Schnitte</v>
      </c>
      <c r="C47" s="529"/>
      <c r="D47" s="876">
        <v>2.1</v>
      </c>
      <c r="E47" s="876">
        <v>0.4</v>
      </c>
      <c r="F47" s="876">
        <v>1.8</v>
      </c>
      <c r="G47" s="579">
        <v>0.2</v>
      </c>
    </row>
    <row r="48" spans="2:7" ht="12.75">
      <c r="B48" s="632" t="str">
        <f>Texte!A3885</f>
        <v>Salate, diverse, mittlerer Ertrag</v>
      </c>
      <c r="C48" s="529"/>
      <c r="D48" s="876">
        <v>0.9</v>
      </c>
      <c r="E48" s="876">
        <v>0.2</v>
      </c>
      <c r="F48" s="876">
        <v>0.7</v>
      </c>
      <c r="G48" s="579">
        <v>0.1</v>
      </c>
    </row>
    <row r="49" spans="2:7" ht="12.75">
      <c r="B49" s="632" t="str">
        <f>Texte!A3886</f>
        <v>Salate, diverse, hoher Ertrag</v>
      </c>
      <c r="C49" s="529"/>
      <c r="D49" s="876">
        <v>1.1000000000000001</v>
      </c>
      <c r="E49" s="876">
        <v>0.4</v>
      </c>
      <c r="F49" s="876">
        <v>1.2</v>
      </c>
      <c r="G49" s="579">
        <v>0.1</v>
      </c>
    </row>
    <row r="50" spans="2:7" ht="12.75">
      <c r="B50" s="632" t="str">
        <f>Texte!A3887</f>
        <v>Schnittblumen, klein</v>
      </c>
      <c r="C50" s="529"/>
      <c r="D50" s="876">
        <v>1.4</v>
      </c>
      <c r="E50" s="876">
        <v>1</v>
      </c>
      <c r="F50" s="876">
        <v>1.5</v>
      </c>
      <c r="G50" s="579">
        <v>0.3</v>
      </c>
    </row>
    <row r="51" spans="2:7" ht="12.75">
      <c r="B51" s="632" t="str">
        <f>Texte!A3888</f>
        <v>Schnittblumen, mittel</v>
      </c>
      <c r="C51" s="529"/>
      <c r="D51" s="876">
        <v>2.2999999999999998</v>
      </c>
      <c r="E51" s="876">
        <v>1.4</v>
      </c>
      <c r="F51" s="876">
        <v>2.5</v>
      </c>
      <c r="G51" s="579">
        <v>0.4</v>
      </c>
    </row>
    <row r="52" spans="2:7" ht="12.75">
      <c r="B52" s="632" t="str">
        <f>Texte!A3889</f>
        <v>Schnittblumen, gross</v>
      </c>
      <c r="C52" s="529"/>
      <c r="D52" s="876">
        <v>3.2</v>
      </c>
      <c r="E52" s="876">
        <v>1.8</v>
      </c>
      <c r="F52" s="876">
        <v>3.5</v>
      </c>
      <c r="G52" s="579">
        <v>0.6</v>
      </c>
    </row>
    <row r="53" spans="2:7" ht="12.75">
      <c r="B53" s="632" t="str">
        <f>Texte!A3890</f>
        <v>Schnittsalat</v>
      </c>
      <c r="C53" s="529"/>
      <c r="D53" s="876">
        <v>0.6</v>
      </c>
      <c r="E53" s="876">
        <v>0.2</v>
      </c>
      <c r="F53" s="876">
        <v>0.6</v>
      </c>
      <c r="G53" s="579">
        <v>0.2</v>
      </c>
    </row>
    <row r="54" spans="2:7" ht="12.75">
      <c r="B54" s="632" t="str">
        <f>Texte!A3891</f>
        <v>Schnittlauch</v>
      </c>
      <c r="C54" s="529"/>
      <c r="D54" s="876">
        <v>1.7</v>
      </c>
      <c r="E54" s="876">
        <v>0.3</v>
      </c>
      <c r="F54" s="876">
        <v>1.2</v>
      </c>
      <c r="G54" s="579">
        <v>0.2</v>
      </c>
    </row>
    <row r="55" spans="2:7" ht="12.75">
      <c r="B55" s="632" t="str">
        <f>Texte!A3892</f>
        <v>Schwarzwurzel</v>
      </c>
      <c r="C55" s="529"/>
      <c r="D55" s="876">
        <v>1.2</v>
      </c>
      <c r="E55" s="876">
        <v>0.3</v>
      </c>
      <c r="F55" s="876">
        <v>1</v>
      </c>
      <c r="G55" s="579">
        <v>0.1</v>
      </c>
    </row>
    <row r="56" spans="2:7" ht="12.75">
      <c r="B56" s="632" t="str">
        <f>Texte!A3893</f>
        <v>Sellerie Knollen-</v>
      </c>
      <c r="C56" s="529"/>
      <c r="D56" s="876">
        <v>1.9</v>
      </c>
      <c r="E56" s="876">
        <v>0.7</v>
      </c>
      <c r="F56" s="876">
        <v>3</v>
      </c>
      <c r="G56" s="579">
        <v>0.2</v>
      </c>
    </row>
    <row r="57" spans="2:7" ht="12.75">
      <c r="B57" s="632" t="str">
        <f>Texte!A3894</f>
        <v>Sellerie Stangen-</v>
      </c>
      <c r="C57" s="529"/>
      <c r="D57" s="876">
        <v>1.8</v>
      </c>
      <c r="E57" s="876">
        <v>0.7</v>
      </c>
      <c r="F57" s="876">
        <v>3</v>
      </c>
      <c r="G57" s="579">
        <v>0.2</v>
      </c>
    </row>
    <row r="58" spans="2:7" ht="12.75">
      <c r="B58" s="632" t="str">
        <f>Texte!A3897</f>
        <v>Spinat, nicht überw., 1 Schnitt vor Mitte April gesät</v>
      </c>
      <c r="C58" s="529"/>
      <c r="D58" s="876">
        <v>1.6</v>
      </c>
      <c r="E58" s="876">
        <v>0.2</v>
      </c>
      <c r="F58" s="876">
        <v>1.5</v>
      </c>
      <c r="G58" s="579">
        <v>0.15</v>
      </c>
    </row>
    <row r="59" spans="2:7" ht="12.75">
      <c r="B59" s="632" t="str">
        <f>Texte!A3899</f>
        <v>Spinat, nicht überwinternd, 1 Schnitt</v>
      </c>
      <c r="C59" s="529"/>
      <c r="D59" s="876">
        <v>1.3</v>
      </c>
      <c r="E59" s="876">
        <v>0.2</v>
      </c>
      <c r="F59" s="876">
        <v>1.5</v>
      </c>
      <c r="G59" s="579">
        <v>0.15</v>
      </c>
    </row>
    <row r="60" spans="2:7" ht="12.75">
      <c r="B60" s="632" t="str">
        <f>Texte!A3900</f>
        <v>Spinat, nicht überwinternd, 2 Schnitte</v>
      </c>
      <c r="C60" s="529"/>
      <c r="D60" s="876">
        <v>1.5</v>
      </c>
      <c r="E60" s="876">
        <v>0.4</v>
      </c>
      <c r="F60" s="876">
        <v>1.8</v>
      </c>
      <c r="G60" s="579">
        <v>0.2</v>
      </c>
    </row>
    <row r="61" spans="2:7" ht="12.75">
      <c r="B61" s="632" t="str">
        <f>Texte!A3901</f>
        <v>Winterspinat, 1 Schnitt</v>
      </c>
      <c r="C61" s="529"/>
      <c r="D61" s="876">
        <v>1.8</v>
      </c>
      <c r="E61" s="876">
        <v>0.2</v>
      </c>
      <c r="F61" s="876">
        <v>1.5</v>
      </c>
      <c r="G61" s="579">
        <v>0.15</v>
      </c>
    </row>
    <row r="62" spans="2:7" ht="12.75">
      <c r="B62" s="632" t="str">
        <f>Texte!A3902</f>
        <v>Tomaten</v>
      </c>
      <c r="C62" s="529"/>
      <c r="D62" s="876">
        <v>1.3</v>
      </c>
      <c r="E62" s="876">
        <v>0.5</v>
      </c>
      <c r="F62" s="876">
        <v>2.6</v>
      </c>
      <c r="G62" s="579">
        <v>0.3</v>
      </c>
    </row>
    <row r="63" spans="2:7" ht="12.75">
      <c r="B63" s="632" t="str">
        <f>Texte!A3903</f>
        <v>Viola (Stiefmütterchen, Pensée)</v>
      </c>
      <c r="C63" s="529"/>
      <c r="D63" s="876">
        <v>0.5</v>
      </c>
      <c r="E63" s="876">
        <v>0.1</v>
      </c>
      <c r="F63" s="876">
        <v>0.6</v>
      </c>
      <c r="G63" s="579">
        <v>0.1</v>
      </c>
    </row>
    <row r="64" spans="2:7" ht="12.75">
      <c r="B64" s="632" t="str">
        <f>Texte!A3904</f>
        <v>Wirz leicht</v>
      </c>
      <c r="C64" s="529"/>
      <c r="D64" s="876">
        <v>1.2</v>
      </c>
      <c r="E64" s="876">
        <v>0.3</v>
      </c>
      <c r="F64" s="876">
        <v>1.4</v>
      </c>
      <c r="G64" s="579">
        <v>0.1</v>
      </c>
    </row>
    <row r="65" spans="2:7" ht="12.75">
      <c r="B65" s="632" t="str">
        <f>Texte!A3905</f>
        <v>Wirz schwer</v>
      </c>
      <c r="C65" s="529"/>
      <c r="D65" s="876">
        <v>1.4</v>
      </c>
      <c r="E65" s="876">
        <v>0.4</v>
      </c>
      <c r="F65" s="876">
        <v>1.6</v>
      </c>
      <c r="G65" s="579">
        <v>0.1</v>
      </c>
    </row>
    <row r="66" spans="2:7" ht="12.75">
      <c r="B66" s="632" t="str">
        <f>Texte!A3906</f>
        <v>Zucchetti, Patisson, Kürbis</v>
      </c>
      <c r="C66" s="529"/>
      <c r="D66" s="876">
        <v>1.3</v>
      </c>
      <c r="E66" s="876">
        <v>0.2</v>
      </c>
      <c r="F66" s="876">
        <v>1</v>
      </c>
      <c r="G66" s="579">
        <v>0.1</v>
      </c>
    </row>
    <row r="67" spans="2:7" ht="12.75">
      <c r="B67" s="632" t="str">
        <f>Texte!A3907</f>
        <v>Zuckerhut</v>
      </c>
      <c r="C67" s="529"/>
      <c r="D67" s="876">
        <v>1.3</v>
      </c>
      <c r="E67" s="876">
        <v>0.2</v>
      </c>
      <c r="F67" s="876">
        <v>0.9</v>
      </c>
      <c r="G67" s="579">
        <v>0.1</v>
      </c>
    </row>
    <row r="68" spans="2:7" ht="12.75">
      <c r="B68" s="632" t="str">
        <f>Texte!A3908</f>
        <v>Zuckerhut (Convenience)</v>
      </c>
      <c r="C68" s="529"/>
      <c r="D68" s="876">
        <v>1.6</v>
      </c>
      <c r="E68" s="876">
        <v>0.2</v>
      </c>
      <c r="F68" s="876">
        <v>0.9</v>
      </c>
      <c r="G68" s="579">
        <v>0.1</v>
      </c>
    </row>
    <row r="69" spans="2:7" ht="12.75">
      <c r="B69" s="632" t="str">
        <f>Texte!A3909</f>
        <v>Zuckermais</v>
      </c>
      <c r="C69" s="529"/>
      <c r="D69" s="876">
        <v>1.5</v>
      </c>
      <c r="E69" s="876">
        <v>0.5</v>
      </c>
      <c r="F69" s="876">
        <v>1</v>
      </c>
      <c r="G69" s="579">
        <v>0.2</v>
      </c>
    </row>
    <row r="70" spans="2:7" ht="12.75">
      <c r="B70" s="632" t="str">
        <f>Texte!A3910</f>
        <v>Zwiebeln</v>
      </c>
      <c r="C70" s="529"/>
      <c r="D70" s="876">
        <v>1.3</v>
      </c>
      <c r="E70" s="876">
        <v>0.6</v>
      </c>
      <c r="F70" s="876">
        <v>1.6</v>
      </c>
      <c r="G70" s="579">
        <v>0.2</v>
      </c>
    </row>
    <row r="71" spans="2:7" ht="13.5" thickBot="1">
      <c r="B71" s="575" t="str">
        <f>Texte!A3911</f>
        <v>Mittelwert Freilandgemüse</v>
      </c>
      <c r="C71" s="634"/>
      <c r="D71" s="635">
        <v>1.2</v>
      </c>
      <c r="E71" s="635">
        <v>0.3</v>
      </c>
      <c r="F71" s="635">
        <v>1.2</v>
      </c>
      <c r="G71" s="636">
        <v>0.15</v>
      </c>
    </row>
  </sheetData>
  <sheetProtection algorithmName="SHA-512" hashValue="wXQRuRMJPS3XQuecFhcN2jt9asjVkk0vvLJzEMJo4L7BjbMQ4kAooq1GwZHWZd6HNE4r+P3EhUnYnYrp5JH8HA==" saltValue="+QnkKQBQL9g1z+o8z4KXyQ==" spinCount="100000" sheet="1" objects="1" scenarios="1"/>
  <phoneticPr fontId="65" type="noConversion"/>
  <pageMargins left="0.67" right="0.73" top="0.59055118110236227" bottom="0.98425196850393704" header="0.51181102362204722" footer="0.51181102362204722"/>
  <pageSetup paperSize="9" scale="86" orientation="portrait" r:id="rId1"/>
  <headerFooter alignWithMargins="0">
    <oddFooter>&amp;C&amp;9&amp;F&amp;R&amp;"Arial,Standard"&amp;9Seite &amp;P&amp;L&amp;"Arial,Fett"&amp;11AGRIDEA &amp;"Arial,Standard"&amp;9 Nachweis Version 9.9</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1">
    <tabColor indexed="31"/>
    <pageSetUpPr fitToPage="1"/>
  </sheetPr>
  <dimension ref="B1:G31"/>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28.7109375" customWidth="1"/>
    <col min="3" max="3" width="11.42578125" hidden="1" customWidth="1"/>
  </cols>
  <sheetData>
    <row r="1" spans="2:7" ht="13.5" thickBot="1">
      <c r="B1" s="1"/>
      <c r="C1" s="1"/>
      <c r="D1" s="1"/>
      <c r="E1" s="1"/>
      <c r="F1" s="1"/>
      <c r="G1" s="1"/>
    </row>
    <row r="2" spans="2:7" ht="15.75">
      <c r="B2" s="380" t="str">
        <f>Q!F71</f>
        <v>Gemüse Gewächshaus</v>
      </c>
      <c r="C2" s="573"/>
      <c r="D2" s="627" t="s">
        <v>1511</v>
      </c>
      <c r="E2" s="1826" t="s">
        <v>2416</v>
      </c>
      <c r="F2" s="1826" t="s">
        <v>1548</v>
      </c>
      <c r="G2" s="629" t="s">
        <v>7031</v>
      </c>
    </row>
    <row r="3" spans="2:7" ht="13.5" thickBot="1">
      <c r="B3" s="575"/>
      <c r="C3" s="576"/>
      <c r="D3" s="577"/>
      <c r="E3" s="577"/>
      <c r="F3" s="577"/>
      <c r="G3" s="637"/>
    </row>
    <row r="4" spans="2:7" ht="12.75">
      <c r="B4" s="632" t="str">
        <f>Texte!A3913</f>
        <v>Aubergine, Erdkultur</v>
      </c>
      <c r="C4" s="529"/>
      <c r="D4" s="432">
        <v>2</v>
      </c>
      <c r="E4" s="432">
        <v>1</v>
      </c>
      <c r="F4" s="432">
        <v>3.5</v>
      </c>
      <c r="G4" s="633">
        <v>0.5</v>
      </c>
    </row>
    <row r="5" spans="2:7" ht="12.75">
      <c r="B5" s="632" t="str">
        <f>Texte!A3914</f>
        <v>Bohnen Stangen-</v>
      </c>
      <c r="C5" s="529"/>
      <c r="D5" s="432">
        <v>0.4</v>
      </c>
      <c r="E5" s="432">
        <v>0.8</v>
      </c>
      <c r="F5" s="432">
        <v>1.8</v>
      </c>
      <c r="G5" s="633">
        <v>0.3</v>
      </c>
    </row>
    <row r="6" spans="2:7" ht="12.75">
      <c r="B6" s="632" t="str">
        <f>Texte!A3915</f>
        <v>Endivie Herbst-</v>
      </c>
      <c r="C6" s="529"/>
      <c r="D6" s="432">
        <v>1.4</v>
      </c>
      <c r="E6" s="432">
        <v>0.5</v>
      </c>
      <c r="F6" s="432">
        <v>1.8</v>
      </c>
      <c r="G6" s="633">
        <v>0.3</v>
      </c>
    </row>
    <row r="7" spans="2:7" ht="12.75">
      <c r="B7" s="632" t="str">
        <f>Texte!A3916</f>
        <v>Gurken; 30 Stk./m2, Erdkultur</v>
      </c>
      <c r="C7" s="529"/>
      <c r="D7" s="432">
        <v>2</v>
      </c>
      <c r="E7" s="432">
        <v>1</v>
      </c>
      <c r="F7" s="432">
        <v>3</v>
      </c>
      <c r="G7" s="633">
        <v>0.6</v>
      </c>
    </row>
    <row r="8" spans="2:7" ht="12.75">
      <c r="B8" s="632" t="str">
        <f>Texte!A3917</f>
        <v>Gurken; 50 Stk./m2, Erdkultur</v>
      </c>
      <c r="C8" s="529"/>
      <c r="D8" s="432">
        <v>3</v>
      </c>
      <c r="E8" s="432">
        <v>1.5</v>
      </c>
      <c r="F8" s="432">
        <v>4</v>
      </c>
      <c r="G8" s="633">
        <v>0.8</v>
      </c>
    </row>
    <row r="9" spans="2:7" ht="12.75">
      <c r="B9" s="632" t="str">
        <f>Texte!A3918</f>
        <v>Kohlrabi</v>
      </c>
      <c r="C9" s="529"/>
      <c r="D9" s="432">
        <v>1.4</v>
      </c>
      <c r="E9" s="432">
        <v>0.6</v>
      </c>
      <c r="F9" s="432">
        <v>2</v>
      </c>
      <c r="G9" s="633">
        <v>0.3</v>
      </c>
    </row>
    <row r="10" spans="2:7" ht="12.75">
      <c r="B10" s="632" t="str">
        <f>Texte!A3919</f>
        <v>Krautstiel</v>
      </c>
      <c r="C10" s="529"/>
      <c r="D10" s="432">
        <v>2</v>
      </c>
      <c r="E10" s="432">
        <v>1</v>
      </c>
      <c r="F10" s="432">
        <v>4</v>
      </c>
      <c r="G10" s="633">
        <v>0.5</v>
      </c>
    </row>
    <row r="11" spans="2:7" ht="12.75">
      <c r="B11" s="632" t="str">
        <f>Texte!A3920</f>
        <v>Kresse</v>
      </c>
      <c r="C11" s="529"/>
      <c r="D11" s="432">
        <v>0.2</v>
      </c>
      <c r="E11" s="432">
        <v>0.1</v>
      </c>
      <c r="F11" s="432">
        <v>0.3</v>
      </c>
      <c r="G11" s="633">
        <v>0.1</v>
      </c>
    </row>
    <row r="12" spans="2:7" ht="12.75">
      <c r="B12" s="632" t="str">
        <f>Texte!A3921</f>
        <v>Lauch</v>
      </c>
      <c r="C12" s="529"/>
      <c r="D12" s="432">
        <v>1.6</v>
      </c>
      <c r="E12" s="432">
        <v>0.6</v>
      </c>
      <c r="F12" s="432">
        <v>2.2000000000000002</v>
      </c>
      <c r="G12" s="633">
        <v>0.3</v>
      </c>
    </row>
    <row r="13" spans="2:7" ht="12.75">
      <c r="B13" s="632" t="str">
        <f>Texte!A3922</f>
        <v>Nüsslisalat, Feldsalat</v>
      </c>
      <c r="C13" s="529"/>
      <c r="D13" s="432">
        <v>0.5</v>
      </c>
      <c r="E13" s="432">
        <v>0.1</v>
      </c>
      <c r="F13" s="432">
        <v>0.6</v>
      </c>
      <c r="G13" s="633">
        <v>0.1</v>
      </c>
    </row>
    <row r="14" spans="2:7" ht="12.75">
      <c r="B14" s="632" t="str">
        <f>Texte!A3923</f>
        <v>Paprika, Bodenkultur</v>
      </c>
      <c r="C14" s="529"/>
      <c r="D14" s="432">
        <v>1.6</v>
      </c>
      <c r="E14" s="432">
        <v>0.5</v>
      </c>
      <c r="F14" s="432">
        <v>2.5</v>
      </c>
      <c r="G14" s="633">
        <v>0.3</v>
      </c>
    </row>
    <row r="15" spans="2:7" ht="12.75">
      <c r="B15" s="632" t="str">
        <f>Texte!A3924</f>
        <v>Petersilie</v>
      </c>
      <c r="C15" s="529"/>
      <c r="D15" s="432">
        <v>1</v>
      </c>
      <c r="E15" s="432">
        <v>0.5</v>
      </c>
      <c r="F15" s="432">
        <v>1.8</v>
      </c>
      <c r="G15" s="633">
        <v>0.2</v>
      </c>
    </row>
    <row r="16" spans="2:7" ht="12.75">
      <c r="B16" s="632" t="str">
        <f>Texte!A3925</f>
        <v>Radies 20 Bund/m2</v>
      </c>
      <c r="C16" s="529"/>
      <c r="D16" s="432">
        <v>0.6</v>
      </c>
      <c r="E16" s="432">
        <v>0.3</v>
      </c>
      <c r="F16" s="432">
        <v>1</v>
      </c>
      <c r="G16" s="633">
        <v>0.2</v>
      </c>
    </row>
    <row r="17" spans="2:7" ht="12.75">
      <c r="B17" s="632" t="str">
        <f>Texte!A3926</f>
        <v>Rettich 18 Stk/m2</v>
      </c>
      <c r="C17" s="529"/>
      <c r="D17" s="432">
        <v>0.9</v>
      </c>
      <c r="E17" s="432">
        <v>0.5</v>
      </c>
      <c r="F17" s="432">
        <v>2</v>
      </c>
      <c r="G17" s="633">
        <v>0.3</v>
      </c>
    </row>
    <row r="18" spans="2:7" ht="12.75">
      <c r="B18" s="632" t="str">
        <f>Texte!A3927</f>
        <v>Portulak</v>
      </c>
      <c r="C18" s="529"/>
      <c r="D18" s="432">
        <v>0.7</v>
      </c>
      <c r="E18" s="432">
        <v>0.2</v>
      </c>
      <c r="F18" s="432">
        <v>0.9</v>
      </c>
      <c r="G18" s="633">
        <v>0.2</v>
      </c>
    </row>
    <row r="19" spans="2:7" ht="12.75">
      <c r="B19" s="632" t="str">
        <f>Texte!A3928</f>
        <v>Rucola, ein Schnitt</v>
      </c>
      <c r="C19" s="529"/>
      <c r="D19" s="432">
        <v>1.5</v>
      </c>
      <c r="E19" s="432">
        <v>0.3</v>
      </c>
      <c r="F19" s="432">
        <v>1.5</v>
      </c>
      <c r="G19" s="633">
        <v>0.1</v>
      </c>
    </row>
    <row r="20" spans="2:7" ht="12.75">
      <c r="B20" s="632" t="str">
        <f>Texte!A3929</f>
        <v>Rucola, zwei Schnitte</v>
      </c>
      <c r="C20" s="529"/>
      <c r="D20" s="432">
        <v>2.1</v>
      </c>
      <c r="E20" s="432">
        <v>0.4</v>
      </c>
      <c r="F20" s="432">
        <v>1.8</v>
      </c>
      <c r="G20" s="633">
        <v>0.2</v>
      </c>
    </row>
    <row r="21" spans="2:7" ht="12.75">
      <c r="B21" s="632" t="str">
        <f>Texte!A3930</f>
        <v>Salate Kopf-, Eisberg, Lollo</v>
      </c>
      <c r="C21" s="529"/>
      <c r="D21" s="432">
        <v>0.8</v>
      </c>
      <c r="E21" s="432">
        <v>0.3</v>
      </c>
      <c r="F21" s="432">
        <v>1.4</v>
      </c>
      <c r="G21" s="633">
        <v>0.2</v>
      </c>
    </row>
    <row r="22" spans="2:7" ht="12.75">
      <c r="B22" s="632" t="str">
        <f>Texte!A3931</f>
        <v>Schnittlauch (Kultur)</v>
      </c>
      <c r="C22" s="529"/>
      <c r="D22" s="432">
        <v>1</v>
      </c>
      <c r="E22" s="432">
        <v>0.4</v>
      </c>
      <c r="F22" s="432">
        <v>1.8</v>
      </c>
      <c r="G22" s="633">
        <v>0.3</v>
      </c>
    </row>
    <row r="23" spans="2:7" ht="12.75">
      <c r="B23" s="632" t="str">
        <f>Texte!A3932</f>
        <v>Schnittsalat</v>
      </c>
      <c r="C23" s="529"/>
      <c r="D23" s="432">
        <v>0.5</v>
      </c>
      <c r="E23" s="432">
        <v>0.1</v>
      </c>
      <c r="F23" s="432">
        <v>0.5</v>
      </c>
      <c r="G23" s="633">
        <v>0.1</v>
      </c>
    </row>
    <row r="24" spans="2:7" ht="12.75">
      <c r="B24" s="632" t="str">
        <f>Texte!A3933</f>
        <v>Sellerie Suppen-, 40 Stk/m2</v>
      </c>
      <c r="C24" s="529"/>
      <c r="D24" s="432">
        <v>1.2</v>
      </c>
      <c r="E24" s="432">
        <v>0.7</v>
      </c>
      <c r="F24" s="432">
        <v>2.2000000000000002</v>
      </c>
      <c r="G24" s="633">
        <v>0.3</v>
      </c>
    </row>
    <row r="25" spans="2:7" ht="12.75">
      <c r="B25" s="632" t="str">
        <f>Texte!A3934</f>
        <v>Spinat</v>
      </c>
      <c r="C25" s="529"/>
      <c r="D25" s="432">
        <v>1</v>
      </c>
      <c r="E25" s="432">
        <v>0.3</v>
      </c>
      <c r="F25" s="432">
        <v>1.4</v>
      </c>
      <c r="G25" s="633">
        <v>0.2</v>
      </c>
    </row>
    <row r="26" spans="2:7" ht="12.75">
      <c r="B26" s="632" t="str">
        <f>Texte!A3935</f>
        <v xml:space="preserve">Tomaten  1200 kg Ertrag </v>
      </c>
      <c r="C26" s="529"/>
      <c r="D26" s="432">
        <v>1.7</v>
      </c>
      <c r="E26" s="432">
        <v>0.8</v>
      </c>
      <c r="F26" s="432">
        <v>3.4</v>
      </c>
      <c r="G26" s="633">
        <v>0.6</v>
      </c>
    </row>
    <row r="27" spans="2:7" ht="12.75">
      <c r="B27" s="632" t="str">
        <f>Texte!A3936</f>
        <v xml:space="preserve">Tomaten  1800 kg Ertrag </v>
      </c>
      <c r="C27" s="529"/>
      <c r="D27" s="432">
        <v>2.5</v>
      </c>
      <c r="E27" s="432">
        <v>1</v>
      </c>
      <c r="F27" s="432">
        <v>5</v>
      </c>
      <c r="G27" s="633">
        <v>0.8</v>
      </c>
    </row>
    <row r="28" spans="2:7" ht="12.75">
      <c r="B28" s="632" t="str">
        <f>Texte!A3937</f>
        <v xml:space="preserve">Tomaten  2400 kg Ertrag </v>
      </c>
      <c r="C28" s="529"/>
      <c r="D28" s="432">
        <v>3.3</v>
      </c>
      <c r="E28" s="432">
        <v>1.6</v>
      </c>
      <c r="F28" s="432">
        <v>6.8</v>
      </c>
      <c r="G28" s="633">
        <v>1.2</v>
      </c>
    </row>
    <row r="29" spans="2:7" ht="12.75">
      <c r="B29" s="632" t="str">
        <f>Texte!A3938</f>
        <v xml:space="preserve">Tomaten  3000 kg Ertrag </v>
      </c>
      <c r="C29" s="529"/>
      <c r="D29" s="432">
        <v>4</v>
      </c>
      <c r="E29" s="432">
        <v>2</v>
      </c>
      <c r="F29" s="432">
        <v>8.5</v>
      </c>
      <c r="G29" s="633">
        <v>1.5</v>
      </c>
    </row>
    <row r="30" spans="2:7" ht="12.75">
      <c r="B30" s="632" t="str">
        <f>Texte!A3939</f>
        <v>Zucchetti, Patisson</v>
      </c>
      <c r="C30" s="529"/>
      <c r="D30" s="432">
        <v>1.6</v>
      </c>
      <c r="E30" s="432">
        <v>0.3</v>
      </c>
      <c r="F30" s="432">
        <v>1.5</v>
      </c>
      <c r="G30" s="633">
        <v>0.1</v>
      </c>
    </row>
    <row r="31" spans="2:7" ht="13.5" thickBot="1">
      <c r="B31" s="575" t="str">
        <f>Texte!A3940</f>
        <v>Mittelwert Gewächshausgemüse</v>
      </c>
      <c r="C31" s="634"/>
      <c r="D31" s="635">
        <v>1.3</v>
      </c>
      <c r="E31" s="635">
        <v>0.6</v>
      </c>
      <c r="F31" s="635">
        <v>2.2000000000000002</v>
      </c>
      <c r="G31" s="636">
        <v>0.35</v>
      </c>
    </row>
  </sheetData>
  <sheetProtection algorithmName="SHA-512" hashValue="3CH5CnuXV7ZtLYgG/XI7XBBiwj/oc8ids9ZHhRZlIgu+p1hsK7He5urn4wJntqFdWUVFsDEjrDaOZn8nhPQMBA==" saltValue="I9ja4c7EsOI8n++YLvJMeg==" spinCount="100000" sheet="1" objects="1" scenarios="1"/>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2">
    <tabColor indexed="31"/>
    <pageSetUpPr fitToPage="1"/>
  </sheetPr>
  <dimension ref="B1:G40"/>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30.7109375" customWidth="1"/>
    <col min="3" max="3" width="11.42578125" hidden="1" customWidth="1"/>
  </cols>
  <sheetData>
    <row r="1" spans="2:7" ht="13.5" thickBot="1">
      <c r="B1" s="1"/>
      <c r="C1" s="1"/>
      <c r="D1" s="1"/>
      <c r="E1" s="1"/>
      <c r="F1" s="1"/>
      <c r="G1" s="1"/>
    </row>
    <row r="2" spans="2:7" ht="15.75">
      <c r="B2" s="380" t="str">
        <f>Q!F72</f>
        <v>Obst und Beeren</v>
      </c>
      <c r="C2" s="573"/>
      <c r="D2" s="627" t="s">
        <v>1511</v>
      </c>
      <c r="E2" s="1826" t="s">
        <v>2416</v>
      </c>
      <c r="F2" s="1826" t="s">
        <v>1548</v>
      </c>
      <c r="G2" s="629" t="s">
        <v>7031</v>
      </c>
    </row>
    <row r="3" spans="2:7" ht="13.5" thickBot="1">
      <c r="B3" s="575"/>
      <c r="C3" s="576"/>
      <c r="D3" s="577"/>
      <c r="E3" s="577"/>
      <c r="F3" s="577"/>
      <c r="G3" s="637"/>
    </row>
    <row r="4" spans="2:7" ht="12.75">
      <c r="B4" s="632" t="str">
        <f>Texte!A3943</f>
        <v>Kernobst</v>
      </c>
      <c r="C4" s="529"/>
      <c r="D4" s="856">
        <v>60</v>
      </c>
      <c r="E4" s="856">
        <v>20</v>
      </c>
      <c r="F4" s="856">
        <v>75</v>
      </c>
      <c r="G4" s="857">
        <v>20</v>
      </c>
    </row>
    <row r="5" spans="2:7" ht="12.75">
      <c r="B5" s="632" t="str">
        <f>Texte!A3944</f>
        <v>Kernobst, hoher Ertrag</v>
      </c>
      <c r="C5" s="529"/>
      <c r="D5" s="856">
        <v>80</v>
      </c>
      <c r="E5" s="856">
        <v>30</v>
      </c>
      <c r="F5" s="856">
        <v>110</v>
      </c>
      <c r="G5" s="857">
        <v>40</v>
      </c>
    </row>
    <row r="6" spans="2:7" ht="12.75">
      <c r="B6" s="632" t="str">
        <f>Texte!A3945</f>
        <v>Kirschen</v>
      </c>
      <c r="C6" s="529"/>
      <c r="D6" s="856">
        <v>60</v>
      </c>
      <c r="E6" s="856">
        <v>20</v>
      </c>
      <c r="F6" s="856">
        <v>50</v>
      </c>
      <c r="G6" s="857">
        <v>20</v>
      </c>
    </row>
    <row r="7" spans="2:7" ht="12.75">
      <c r="B7" s="632" t="str">
        <f>Texte!A3946</f>
        <v>Kirschen, hoher Ertrag</v>
      </c>
      <c r="C7" s="529"/>
      <c r="D7" s="856">
        <v>80</v>
      </c>
      <c r="E7" s="856">
        <v>30</v>
      </c>
      <c r="F7" s="856">
        <v>65</v>
      </c>
      <c r="G7" s="857">
        <v>30</v>
      </c>
    </row>
    <row r="8" spans="2:7" ht="12.75">
      <c r="B8" s="632" t="str">
        <f>Texte!A3947</f>
        <v>Zwetschgen</v>
      </c>
      <c r="C8" s="529"/>
      <c r="D8" s="856">
        <v>60</v>
      </c>
      <c r="E8" s="856">
        <v>15</v>
      </c>
      <c r="F8" s="856">
        <v>50</v>
      </c>
      <c r="G8" s="857">
        <v>15</v>
      </c>
    </row>
    <row r="9" spans="2:7" ht="12.75">
      <c r="B9" s="632" t="str">
        <f>Texte!A3948</f>
        <v>Zwetschgen, hoher Ertrag</v>
      </c>
      <c r="C9" s="529"/>
      <c r="D9" s="856">
        <v>80</v>
      </c>
      <c r="E9" s="856">
        <v>20</v>
      </c>
      <c r="F9" s="856">
        <v>65</v>
      </c>
      <c r="G9" s="857">
        <v>20</v>
      </c>
    </row>
    <row r="10" spans="2:7" ht="12.75">
      <c r="B10" s="632" t="str">
        <f>Texte!A3949</f>
        <v>Aprikosen</v>
      </c>
      <c r="C10" s="529"/>
      <c r="D10" s="856">
        <v>60</v>
      </c>
      <c r="E10" s="856">
        <v>25</v>
      </c>
      <c r="F10" s="856">
        <v>75</v>
      </c>
      <c r="G10" s="857">
        <v>20</v>
      </c>
    </row>
    <row r="11" spans="2:7" ht="12.75">
      <c r="B11" s="632" t="str">
        <f>Texte!A3950</f>
        <v>Aprikosen, hoher Ertrag</v>
      </c>
      <c r="C11" s="529"/>
      <c r="D11" s="856">
        <v>75</v>
      </c>
      <c r="E11" s="856">
        <v>30</v>
      </c>
      <c r="F11" s="856">
        <v>90</v>
      </c>
      <c r="G11" s="857">
        <v>30</v>
      </c>
    </row>
    <row r="12" spans="2:7" ht="12.75">
      <c r="B12" s="632" t="str">
        <f>Texte!A3951</f>
        <v>Pfirsich</v>
      </c>
      <c r="C12" s="529"/>
      <c r="D12" s="856">
        <v>60</v>
      </c>
      <c r="E12" s="856">
        <v>15</v>
      </c>
      <c r="F12" s="856">
        <v>55</v>
      </c>
      <c r="G12" s="857">
        <v>20</v>
      </c>
    </row>
    <row r="13" spans="2:7" ht="12.75">
      <c r="B13" s="632" t="str">
        <f>Texte!A3952</f>
        <v>Pfirsich, hoher Ertrag</v>
      </c>
      <c r="C13" s="529"/>
      <c r="D13" s="856">
        <v>75</v>
      </c>
      <c r="E13" s="856">
        <v>20</v>
      </c>
      <c r="F13" s="856">
        <v>70</v>
      </c>
      <c r="G13" s="857">
        <v>30</v>
      </c>
    </row>
    <row r="14" spans="2:7" ht="12.75">
      <c r="B14" s="632" t="str">
        <f>Texte!A3953</f>
        <v>Kiwi</v>
      </c>
      <c r="C14" s="529"/>
      <c r="D14" s="856">
        <v>50</v>
      </c>
      <c r="E14" s="856">
        <v>15</v>
      </c>
      <c r="F14" s="856">
        <v>75</v>
      </c>
      <c r="G14" s="857">
        <v>15</v>
      </c>
    </row>
    <row r="15" spans="2:7" ht="12.75">
      <c r="B15" s="632" t="str">
        <f>Texte!A3954</f>
        <v>Kiwi, hoher Ertrag</v>
      </c>
      <c r="C15" s="529"/>
      <c r="D15" s="856">
        <v>65</v>
      </c>
      <c r="E15" s="856">
        <v>20</v>
      </c>
      <c r="F15" s="856">
        <v>90</v>
      </c>
      <c r="G15" s="857">
        <v>20</v>
      </c>
    </row>
    <row r="16" spans="2:7" ht="12.75">
      <c r="B16" s="632" t="str">
        <f>Texte!A3637</f>
        <v>Alternative Strauchbeeren</v>
      </c>
      <c r="C16" s="529"/>
      <c r="D16" s="856">
        <v>85</v>
      </c>
      <c r="E16" s="856">
        <v>46</v>
      </c>
      <c r="F16" s="856">
        <v>121</v>
      </c>
      <c r="G16" s="857">
        <v>15</v>
      </c>
    </row>
    <row r="17" spans="2:7" ht="12.75">
      <c r="B17" s="632" t="str">
        <f>Texte!A3955</f>
        <v xml:space="preserve">Kleine gemischte Anlagen (&lt; 20 a) </v>
      </c>
      <c r="C17" s="529"/>
      <c r="D17" s="856">
        <v>60</v>
      </c>
      <c r="E17" s="856">
        <v>20</v>
      </c>
      <c r="F17" s="856">
        <v>75</v>
      </c>
      <c r="G17" s="857">
        <v>20</v>
      </c>
    </row>
    <row r="18" spans="2:7" ht="12.75">
      <c r="B18" s="632" t="str">
        <f>Texte!A3956</f>
        <v>Walnüsse, &lt; 185 Bäume pro ha</v>
      </c>
      <c r="C18" s="529"/>
      <c r="D18" s="856">
        <v>80</v>
      </c>
      <c r="E18" s="856">
        <v>30</v>
      </c>
      <c r="F18" s="856">
        <v>100</v>
      </c>
      <c r="G18" s="857">
        <v>30</v>
      </c>
    </row>
    <row r="19" spans="2:7" ht="12.75">
      <c r="B19" s="2782" t="str">
        <f>Texte!A3957</f>
        <v>Walnüsse, ≥ 185 Bäume pro ha</v>
      </c>
      <c r="C19" s="529"/>
      <c r="D19" s="856">
        <v>120</v>
      </c>
      <c r="E19" s="856">
        <v>50</v>
      </c>
      <c r="F19" s="856">
        <v>140</v>
      </c>
      <c r="G19" s="857">
        <v>50</v>
      </c>
    </row>
    <row r="20" spans="2:7" ht="12.75" customHeight="1" thickBot="1">
      <c r="B20" s="632" t="str">
        <f>Texte!A3958</f>
        <v>Haselnüsse</v>
      </c>
      <c r="C20" s="574"/>
      <c r="D20" s="578">
        <v>90</v>
      </c>
      <c r="E20" s="578">
        <v>25</v>
      </c>
      <c r="F20" s="578">
        <v>50</v>
      </c>
      <c r="G20" s="2244">
        <v>15</v>
      </c>
    </row>
    <row r="21" spans="2:7" ht="12.75">
      <c r="B21" s="126"/>
      <c r="C21" s="2245"/>
      <c r="D21" s="2246"/>
      <c r="E21" s="2246"/>
      <c r="F21" s="2246"/>
      <c r="G21" s="2246"/>
    </row>
    <row r="22" spans="2:7" ht="12.75" thickBot="1"/>
    <row r="23" spans="2:7" ht="15.75">
      <c r="B23" s="380" t="str">
        <f>Texte!A3959</f>
        <v>Beeren</v>
      </c>
      <c r="C23" s="573"/>
      <c r="D23" s="627" t="s">
        <v>1511</v>
      </c>
      <c r="E23" s="628" t="s">
        <v>2112</v>
      </c>
      <c r="F23" s="628" t="s">
        <v>2113</v>
      </c>
      <c r="G23" s="629" t="s">
        <v>7031</v>
      </c>
    </row>
    <row r="24" spans="2:7" ht="13.5" thickBot="1">
      <c r="B24" s="575"/>
      <c r="C24" s="576"/>
      <c r="D24" s="577"/>
      <c r="E24" s="577"/>
      <c r="F24" s="577"/>
      <c r="G24" s="637"/>
    </row>
    <row r="25" spans="2:7" ht="12.75">
      <c r="B25" s="632" t="str">
        <f>Texte!A3960</f>
        <v>Erdbeeren, einjährig</v>
      </c>
      <c r="C25" s="529"/>
      <c r="D25" s="856">
        <v>100</v>
      </c>
      <c r="E25" s="856">
        <v>34</v>
      </c>
      <c r="F25" s="856">
        <v>121</v>
      </c>
      <c r="G25" s="857">
        <v>20</v>
      </c>
    </row>
    <row r="26" spans="2:7" ht="12.75">
      <c r="B26" s="632" t="str">
        <f>Texte!A3961</f>
        <v>Erdbeeren, einjährig, hoher Ertrag</v>
      </c>
      <c r="C26" s="529"/>
      <c r="D26" s="856">
        <v>120</v>
      </c>
      <c r="E26" s="856">
        <v>46</v>
      </c>
      <c r="F26" s="856">
        <v>157</v>
      </c>
      <c r="G26" s="857">
        <v>25</v>
      </c>
    </row>
    <row r="27" spans="2:7" ht="12.75">
      <c r="B27" s="632" t="str">
        <f>Texte!A3962</f>
        <v>Erdbeeren mehrjährig</v>
      </c>
      <c r="C27" s="529"/>
      <c r="D27" s="856">
        <v>100</v>
      </c>
      <c r="E27" s="856">
        <v>34</v>
      </c>
      <c r="F27" s="856">
        <v>121</v>
      </c>
      <c r="G27" s="857">
        <v>20</v>
      </c>
    </row>
    <row r="28" spans="2:7" ht="12.75">
      <c r="B28" s="632" t="str">
        <f>Texte!A3963</f>
        <v>Himbeeren</v>
      </c>
      <c r="C28" s="529"/>
      <c r="D28" s="856">
        <v>45</v>
      </c>
      <c r="E28" s="856">
        <v>23</v>
      </c>
      <c r="F28" s="856">
        <v>61</v>
      </c>
      <c r="G28" s="857">
        <v>15</v>
      </c>
    </row>
    <row r="29" spans="2:7" ht="12.75">
      <c r="B29" s="632" t="str">
        <f>Texte!A3964</f>
        <v>Himbeeren, hoher Ertrag</v>
      </c>
      <c r="C29" s="529"/>
      <c r="D29" s="856">
        <v>75</v>
      </c>
      <c r="E29" s="856">
        <v>46</v>
      </c>
      <c r="F29" s="856">
        <v>97</v>
      </c>
      <c r="G29" s="857">
        <v>20</v>
      </c>
    </row>
    <row r="30" spans="2:7" ht="12.75">
      <c r="B30" s="632" t="str">
        <f>Texte!A3965</f>
        <v>Brombeeren</v>
      </c>
      <c r="C30" s="529"/>
      <c r="D30" s="856">
        <v>55</v>
      </c>
      <c r="E30" s="856">
        <v>34</v>
      </c>
      <c r="F30" s="856">
        <v>67</v>
      </c>
      <c r="G30" s="857">
        <v>15</v>
      </c>
    </row>
    <row r="31" spans="2:7" ht="12.75">
      <c r="B31" s="632" t="str">
        <f>Texte!A3966</f>
        <v>Brombeeren, hoher Ertrag</v>
      </c>
      <c r="C31" s="529"/>
      <c r="D31" s="856">
        <v>70</v>
      </c>
      <c r="E31" s="856">
        <v>46</v>
      </c>
      <c r="F31" s="856">
        <v>85</v>
      </c>
      <c r="G31" s="857">
        <v>20</v>
      </c>
    </row>
    <row r="32" spans="2:7" ht="12.75">
      <c r="B32" s="632" t="str">
        <f>Texte!A3967</f>
        <v>Rote Johannisbeeren</v>
      </c>
      <c r="C32" s="529"/>
      <c r="D32" s="856">
        <v>85</v>
      </c>
      <c r="E32" s="856">
        <v>46</v>
      </c>
      <c r="F32" s="856">
        <v>121</v>
      </c>
      <c r="G32" s="857">
        <v>15</v>
      </c>
    </row>
    <row r="33" spans="2:7" ht="12.75">
      <c r="B33" s="632" t="str">
        <f>Texte!A3968</f>
        <v>Rote Johannisbeeren, hoher Ertrag</v>
      </c>
      <c r="C33" s="529"/>
      <c r="D33" s="856">
        <v>110</v>
      </c>
      <c r="E33" s="856">
        <v>57</v>
      </c>
      <c r="F33" s="856">
        <v>151</v>
      </c>
      <c r="G33" s="857">
        <v>20</v>
      </c>
    </row>
    <row r="34" spans="2:7" ht="12.75">
      <c r="B34" s="632" t="str">
        <f>Texte!A3969</f>
        <v>Cassis</v>
      </c>
      <c r="C34" s="529"/>
      <c r="D34" s="856">
        <v>70</v>
      </c>
      <c r="E34" s="856">
        <v>46</v>
      </c>
      <c r="F34" s="856">
        <v>121</v>
      </c>
      <c r="G34" s="857">
        <v>15</v>
      </c>
    </row>
    <row r="35" spans="2:7" ht="12.75">
      <c r="B35" s="632" t="str">
        <f>Texte!A3970</f>
        <v>Cassis, hoher Ertrag</v>
      </c>
      <c r="C35" s="529"/>
      <c r="D35" s="856">
        <v>90</v>
      </c>
      <c r="E35" s="856">
        <v>57</v>
      </c>
      <c r="F35" s="856">
        <v>157</v>
      </c>
      <c r="G35" s="857">
        <v>20</v>
      </c>
    </row>
    <row r="36" spans="2:7" ht="12.75">
      <c r="B36" s="632" t="str">
        <f>Texte!A3971</f>
        <v>Stachelbeeren</v>
      </c>
      <c r="C36" s="529"/>
      <c r="D36" s="856">
        <v>60</v>
      </c>
      <c r="E36" s="856">
        <v>34</v>
      </c>
      <c r="F36" s="856">
        <v>79</v>
      </c>
      <c r="G36" s="857">
        <v>15</v>
      </c>
    </row>
    <row r="37" spans="2:7" ht="12.75">
      <c r="B37" s="632" t="str">
        <f>Texte!A3972</f>
        <v>Stachelbeeren, hoher Ertrag</v>
      </c>
      <c r="C37" s="529"/>
      <c r="D37" s="856">
        <v>80</v>
      </c>
      <c r="E37" s="856">
        <v>46</v>
      </c>
      <c r="F37" s="856">
        <v>109</v>
      </c>
      <c r="G37" s="857">
        <v>20</v>
      </c>
    </row>
    <row r="38" spans="2:7" ht="12.75">
      <c r="B38" s="632" t="str">
        <f>Texte!A3973</f>
        <v xml:space="preserve">Strauchbeeren, alternative </v>
      </c>
      <c r="C38" s="529"/>
      <c r="D38" s="856">
        <v>85</v>
      </c>
      <c r="E38" s="856">
        <v>46</v>
      </c>
      <c r="F38" s="856">
        <v>121</v>
      </c>
      <c r="G38" s="857">
        <v>15</v>
      </c>
    </row>
    <row r="39" spans="2:7" ht="12.75">
      <c r="B39" s="632" t="str">
        <f>Texte!A3974</f>
        <v>Heidelbeeren</v>
      </c>
      <c r="C39" s="529"/>
      <c r="D39" s="856">
        <v>55</v>
      </c>
      <c r="E39" s="856">
        <v>23</v>
      </c>
      <c r="F39" s="856">
        <v>73</v>
      </c>
      <c r="G39" s="857">
        <v>20</v>
      </c>
    </row>
    <row r="40" spans="2:7" ht="13.5" thickBot="1">
      <c r="B40" s="638" t="str">
        <f>Texte!A3975</f>
        <v>Heidelbeeren, hoher Ertrag</v>
      </c>
      <c r="C40" s="576"/>
      <c r="D40" s="581">
        <v>60</v>
      </c>
      <c r="E40" s="581">
        <v>34</v>
      </c>
      <c r="F40" s="581">
        <v>79</v>
      </c>
      <c r="G40" s="858">
        <v>25</v>
      </c>
    </row>
  </sheetData>
  <sheetProtection algorithmName="SHA-512" hashValue="oRsntfNiOhjc92cB1MS9op41oPYbuiTq1Cv1vUq2hOlryH5T3fLTyAOEIcajrnvEyKrD2AfxE5Seyh1e9SG2YQ==" saltValue="7iMyLRnlwHxIfTbYrFFRjw==" spinCount="100000" sheet="1" objects="1" scenarios="1"/>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3">
    <tabColor indexed="31"/>
  </sheetPr>
  <dimension ref="B1:G57"/>
  <sheetViews>
    <sheetView showRowColHeaders="0"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25.140625" customWidth="1"/>
    <col min="3" max="3" width="29" customWidth="1"/>
    <col min="4" max="5" width="10.28515625" customWidth="1"/>
    <col min="6" max="6" width="13.5703125" customWidth="1"/>
  </cols>
  <sheetData>
    <row r="1" spans="2:7" ht="18" customHeight="1">
      <c r="B1" s="582" t="str">
        <f>Q!F73</f>
        <v>Datenbank Bodenschutzfaktor (A5)</v>
      </c>
      <c r="C1" s="582"/>
      <c r="D1" s="57"/>
      <c r="E1" s="1"/>
    </row>
    <row r="2" spans="2:7" ht="12.75">
      <c r="B2" s="1"/>
      <c r="C2" s="1"/>
      <c r="D2" s="1"/>
      <c r="E2" s="1"/>
    </row>
    <row r="3" spans="2:7" ht="12.75">
      <c r="B3" s="251" t="str">
        <f>Texte!A3977</f>
        <v>Kulturen im Winterhalbjahr</v>
      </c>
      <c r="C3" s="23"/>
      <c r="D3" s="23"/>
      <c r="E3" s="23"/>
    </row>
    <row r="4" spans="2:7" ht="12.75">
      <c r="B4" s="1"/>
      <c r="C4" s="196" t="str">
        <f>Texte!A3979</f>
        <v>Umbruch</v>
      </c>
      <c r="D4" s="1773" t="str">
        <f>Texte!A3982</f>
        <v>Index</v>
      </c>
      <c r="E4" s="1773"/>
      <c r="F4" s="1774" t="str">
        <f>Texte!A3983</f>
        <v>Vorkultur</v>
      </c>
      <c r="G4" s="1775" t="str">
        <f>Texte!A3986</f>
        <v>Ist</v>
      </c>
    </row>
    <row r="5" spans="2:7" ht="12.75">
      <c r="B5" s="43" t="str">
        <f>Texte!A3978</f>
        <v>Feld- und Gemüsekulturen</v>
      </c>
      <c r="C5" s="328" t="str">
        <f>Texte!A3980</f>
        <v>nach dem</v>
      </c>
      <c r="D5" s="2" t="s">
        <v>4515</v>
      </c>
      <c r="E5" s="2">
        <v>15.2</v>
      </c>
      <c r="F5" s="2" t="str">
        <f>Texte!A3984</f>
        <v>Gemüse</v>
      </c>
      <c r="G5" s="2" t="str">
        <f>Texte!A3987</f>
        <v>Gemüse-</v>
      </c>
    </row>
    <row r="6" spans="2:7" ht="12.75">
      <c r="B6" s="1"/>
      <c r="C6" s="328" t="str">
        <f>Texte!A3981</f>
        <v>aber vor dem</v>
      </c>
      <c r="D6" s="2">
        <v>15.2</v>
      </c>
      <c r="E6" s="2"/>
      <c r="F6" s="2" t="str">
        <f>Texte!A3985</f>
        <v>möglich</v>
      </c>
      <c r="G6" s="2" t="str">
        <f>Texte!A3988</f>
        <v>kultur</v>
      </c>
    </row>
    <row r="7" spans="2:7" ht="12.75">
      <c r="B7" s="1"/>
      <c r="C7" s="1"/>
      <c r="D7" s="2"/>
      <c r="E7" s="2"/>
      <c r="F7" s="2" t="b">
        <v>0</v>
      </c>
      <c r="G7" s="2" t="b">
        <v>0</v>
      </c>
    </row>
    <row r="8" spans="2:7" ht="12.75">
      <c r="B8" s="1" t="str">
        <f>Texte!A3989</f>
        <v>Brache mit gehäckselter Maisstrohbedeckung, unbearbeitet</v>
      </c>
      <c r="C8" s="1"/>
      <c r="D8" s="2">
        <v>20</v>
      </c>
      <c r="E8" s="2">
        <v>20</v>
      </c>
      <c r="F8" s="2" t="b">
        <v>0</v>
      </c>
      <c r="G8" s="2" t="b">
        <v>0</v>
      </c>
    </row>
    <row r="9" spans="2:7" ht="12.75">
      <c r="B9" s="1" t="str">
        <f>Texte!A3990</f>
        <v>Brache mit gehäckselter Maisstrohbedeckung, bearbeitet</v>
      </c>
      <c r="C9" s="1"/>
      <c r="D9" s="2">
        <v>10</v>
      </c>
      <c r="E9" s="2">
        <v>20</v>
      </c>
      <c r="F9" s="2" t="b">
        <v>0</v>
      </c>
      <c r="G9" s="2" t="b">
        <v>0</v>
      </c>
    </row>
    <row r="10" spans="2:7" ht="12.75">
      <c r="B10" s="1" t="str">
        <f>Texte!A3991</f>
        <v>Rotations- und Buntbrachen, Saat bis 31.8 oder ab 2. Winter</v>
      </c>
      <c r="C10" s="1"/>
      <c r="D10" s="2">
        <v>100</v>
      </c>
      <c r="E10" s="2">
        <v>100</v>
      </c>
      <c r="F10" s="2" t="b">
        <v>0</v>
      </c>
      <c r="G10" s="2" t="b">
        <v>0</v>
      </c>
    </row>
    <row r="11" spans="2:7" ht="12.75">
      <c r="B11" s="1" t="str">
        <f>Texte!A3992</f>
        <v>Buntbrachen, Saat zwischen 1.9 und 30.9</v>
      </c>
      <c r="C11" s="1"/>
      <c r="D11" s="2">
        <v>50</v>
      </c>
      <c r="E11" s="2">
        <v>50</v>
      </c>
      <c r="F11" s="2" t="b">
        <v>0</v>
      </c>
      <c r="G11" s="2" t="b">
        <v>0</v>
      </c>
    </row>
    <row r="12" spans="2:7" ht="12.75">
      <c r="B12" s="1" t="str">
        <f>Texte!A3993</f>
        <v>Rotationsbrachen, Saat zwischen 1.9 und 15.9</v>
      </c>
      <c r="C12" s="1"/>
      <c r="D12" s="2">
        <v>50</v>
      </c>
      <c r="E12" s="2">
        <v>50</v>
      </c>
      <c r="F12" s="2" t="b">
        <v>0</v>
      </c>
      <c r="G12" s="2" t="b">
        <v>0</v>
      </c>
    </row>
    <row r="13" spans="2:7" ht="12.75">
      <c r="B13" s="1" t="str">
        <f>Texte!A3994</f>
        <v>Getreidestoppelbrache mit max. 1 Stoppelbearbeitung</v>
      </c>
      <c r="C13" s="1"/>
      <c r="D13" s="2">
        <v>20</v>
      </c>
      <c r="E13" s="2">
        <v>20</v>
      </c>
      <c r="F13" s="2" t="b">
        <v>0</v>
      </c>
      <c r="G13" s="2" t="b">
        <v>0</v>
      </c>
    </row>
    <row r="14" spans="2:7" ht="12.75">
      <c r="B14" s="1" t="str">
        <f>Texte!A3995</f>
        <v>Hanfstoppeln</v>
      </c>
      <c r="C14" s="1"/>
      <c r="D14" s="2">
        <v>10</v>
      </c>
      <c r="E14" s="2">
        <v>20</v>
      </c>
      <c r="F14" s="2" t="b">
        <v>0</v>
      </c>
      <c r="G14" s="2" t="b">
        <v>0</v>
      </c>
    </row>
    <row r="15" spans="2:7" ht="12.75">
      <c r="B15" s="1" t="str">
        <f>Texte!A3996</f>
        <v>Kunstwiese vor Sommerkultur</v>
      </c>
      <c r="C15" s="1"/>
      <c r="D15" s="2">
        <v>80</v>
      </c>
      <c r="E15" s="2">
        <v>100</v>
      </c>
      <c r="F15" s="2" t="b">
        <v>1</v>
      </c>
      <c r="G15" s="2" t="b">
        <v>0</v>
      </c>
    </row>
    <row r="16" spans="2:7" ht="12.75">
      <c r="B16" s="1" t="str">
        <f>Texte!A3997</f>
        <v>Maisuntersaat</v>
      </c>
      <c r="C16" s="1"/>
      <c r="D16" s="2">
        <v>80</v>
      </c>
      <c r="E16" s="2">
        <v>100</v>
      </c>
      <c r="F16" s="2" t="b">
        <v>0</v>
      </c>
      <c r="G16" s="2" t="b">
        <v>0</v>
      </c>
    </row>
    <row r="17" spans="2:7" ht="12.75">
      <c r="B17" s="1" t="str">
        <f>Texte!A3998</f>
        <v>Maiswiese</v>
      </c>
      <c r="C17" s="1"/>
      <c r="D17" s="2">
        <v>80</v>
      </c>
      <c r="E17" s="2">
        <v>100</v>
      </c>
      <c r="F17" s="2" t="b">
        <v>0</v>
      </c>
      <c r="G17" s="2" t="b">
        <v>0</v>
      </c>
    </row>
    <row r="18" spans="2:7" ht="12.75">
      <c r="B18" s="1" t="str">
        <f>Texte!A3999</f>
        <v>Reine Leguminosen-Zwischenkulturen</v>
      </c>
      <c r="C18" s="1"/>
      <c r="D18" s="2">
        <v>40</v>
      </c>
      <c r="E18" s="2">
        <v>70</v>
      </c>
      <c r="F18" s="2" t="b">
        <v>1</v>
      </c>
      <c r="G18" s="2" t="b">
        <v>0</v>
      </c>
    </row>
    <row r="19" spans="2:7" ht="12.75">
      <c r="B19" s="1" t="str">
        <f>Texte!A4000</f>
        <v>Selbstbegrünung</v>
      </c>
      <c r="C19" s="1"/>
      <c r="D19" s="2">
        <v>40</v>
      </c>
      <c r="E19" s="2">
        <v>40</v>
      </c>
      <c r="F19" s="2" t="b">
        <v>0</v>
      </c>
      <c r="G19" s="2" t="b">
        <v>0</v>
      </c>
    </row>
    <row r="20" spans="2:7" ht="12.75">
      <c r="B20" s="1" t="str">
        <f>Texte!A4001</f>
        <v>Sonnenblumenstoppeln</v>
      </c>
      <c r="C20" s="1"/>
      <c r="D20" s="2">
        <v>10</v>
      </c>
      <c r="E20" s="2">
        <v>20</v>
      </c>
      <c r="F20" s="2" t="b">
        <v>0</v>
      </c>
      <c r="G20" s="2" t="b">
        <v>0</v>
      </c>
    </row>
    <row r="21" spans="2:7" ht="12.75">
      <c r="B21" s="1" t="str">
        <f>Texte!A4002</f>
        <v>Sojastoppeln</v>
      </c>
      <c r="C21" s="1"/>
      <c r="D21" s="2">
        <v>10</v>
      </c>
      <c r="E21" s="2">
        <v>20</v>
      </c>
      <c r="F21" s="2" t="b">
        <v>0</v>
      </c>
      <c r="G21" s="2" t="b">
        <v>0</v>
      </c>
    </row>
    <row r="22" spans="2:7" ht="12.75">
      <c r="B22" s="1" t="str">
        <f>Texte!A4003</f>
        <v>Tabakstoppeln</v>
      </c>
      <c r="C22" s="1"/>
      <c r="D22" s="2">
        <v>10</v>
      </c>
      <c r="E22" s="2">
        <v>20</v>
      </c>
      <c r="F22" s="2" t="b">
        <v>0</v>
      </c>
      <c r="G22" s="2" t="b">
        <v>0</v>
      </c>
    </row>
    <row r="23" spans="2:7" ht="12.75">
      <c r="B23" s="1" t="str">
        <f>Texte!A4004</f>
        <v>Grünschnittroggen</v>
      </c>
      <c r="C23" s="1"/>
      <c r="D23" s="2">
        <v>50</v>
      </c>
      <c r="E23" s="2">
        <v>50</v>
      </c>
      <c r="F23" s="2" t="b">
        <v>1</v>
      </c>
      <c r="G23" s="2" t="b">
        <v>0</v>
      </c>
    </row>
    <row r="24" spans="2:7" ht="12.75">
      <c r="B24" s="1" t="str">
        <f>Texte!A4005</f>
        <v>Grünschnittroggen, pflugloser Anbau</v>
      </c>
      <c r="C24" s="1"/>
      <c r="D24" s="2">
        <v>70</v>
      </c>
      <c r="E24" s="2">
        <v>70</v>
      </c>
      <c r="F24" s="2" t="b">
        <v>1</v>
      </c>
      <c r="G24" s="2" t="b">
        <v>0</v>
      </c>
    </row>
    <row r="25" spans="2:7" ht="12.75">
      <c r="B25" s="1" t="str">
        <f>Texte!A4006</f>
        <v>Italienisches Raigras, Saat zwischen 1.10 und 31.10</v>
      </c>
      <c r="C25" s="1"/>
      <c r="D25" s="2">
        <v>0</v>
      </c>
      <c r="E25" s="2">
        <v>40</v>
      </c>
      <c r="F25" s="2" t="b">
        <v>1</v>
      </c>
      <c r="G25" s="2" t="b">
        <v>0</v>
      </c>
    </row>
    <row r="26" spans="2:7" ht="12.75">
      <c r="B26" s="1" t="str">
        <f>Texte!A4007</f>
        <v>Zwischenfutter, Gründüngung, Saat bis spätestens 31.8</v>
      </c>
      <c r="C26" s="1"/>
      <c r="D26" s="2">
        <v>80</v>
      </c>
      <c r="E26" s="2">
        <v>100</v>
      </c>
      <c r="F26" s="2" t="b">
        <v>1</v>
      </c>
      <c r="G26" s="2" t="b">
        <v>0</v>
      </c>
    </row>
    <row r="27" spans="2:7" ht="12.75">
      <c r="B27" s="1" t="str">
        <f>Texte!A4008</f>
        <v>Zwischenfutter, Gründüngung, Saat zwischen 1.9 und 30.9</v>
      </c>
      <c r="C27" s="1"/>
      <c r="D27" s="2">
        <v>40</v>
      </c>
      <c r="E27" s="2">
        <v>70</v>
      </c>
      <c r="F27" s="2" t="b">
        <v>1</v>
      </c>
      <c r="G27" s="2" t="b">
        <v>0</v>
      </c>
    </row>
    <row r="28" spans="2:7" ht="12.75">
      <c r="B28" s="1" t="str">
        <f>Texte!A4009</f>
        <v>Zwischenfutter, Gründüngung, Saat nach 30.9</v>
      </c>
      <c r="C28" s="1"/>
      <c r="D28" s="2">
        <v>0</v>
      </c>
      <c r="E28" s="2">
        <v>0</v>
      </c>
      <c r="F28" s="2" t="b">
        <v>1</v>
      </c>
      <c r="G28" s="2" t="b">
        <v>0</v>
      </c>
    </row>
    <row r="29" spans="2:7" ht="12.75">
      <c r="B29" s="1" t="str">
        <f>Texte!A4010</f>
        <v>Wintererbsen, -ackerbohnen</v>
      </c>
      <c r="C29" s="1"/>
      <c r="D29" s="2">
        <v>40</v>
      </c>
      <c r="E29" s="2">
        <v>40</v>
      </c>
      <c r="F29" s="2" t="b">
        <v>0</v>
      </c>
      <c r="G29" s="2" t="b">
        <v>0</v>
      </c>
    </row>
    <row r="30" spans="2:7" ht="12.75">
      <c r="B30" s="1" t="str">
        <f>Texte!A4011</f>
        <v>Wintererbsen, -ackerbohnen, pflugloser Anbau</v>
      </c>
      <c r="C30" s="1"/>
      <c r="D30" s="2">
        <v>60</v>
      </c>
      <c r="E30" s="2">
        <v>60</v>
      </c>
      <c r="F30" s="2" t="b">
        <v>0</v>
      </c>
      <c r="G30" s="2" t="b">
        <v>0</v>
      </c>
    </row>
    <row r="31" spans="2:7" ht="12.75">
      <c r="B31" s="1" t="str">
        <f>Texte!A4012</f>
        <v>Kunstwiesenansaat im folgenden Frühjahr nach Brache</v>
      </c>
      <c r="C31" s="1"/>
      <c r="D31" s="2">
        <v>0</v>
      </c>
      <c r="E31" s="2">
        <v>0</v>
      </c>
      <c r="F31" s="2" t="b">
        <v>1</v>
      </c>
      <c r="G31" s="2" t="b">
        <v>0</v>
      </c>
    </row>
    <row r="32" spans="2:7" ht="12.75">
      <c r="B32" s="1" t="str">
        <f>Texte!A4013</f>
        <v>Felder ohne deckende Kultur</v>
      </c>
      <c r="C32" s="1"/>
      <c r="D32" s="2">
        <v>0</v>
      </c>
      <c r="E32" s="2">
        <v>0</v>
      </c>
      <c r="F32" s="2" t="b">
        <v>1</v>
      </c>
      <c r="G32" s="2" t="b">
        <v>0</v>
      </c>
    </row>
    <row r="33" spans="2:7" ht="12.75">
      <c r="B33" s="1" t="str">
        <f>Texte!A4014</f>
        <v>Flächen, auf denen Freilandschweine weiden</v>
      </c>
      <c r="C33" s="1"/>
      <c r="D33" s="2">
        <v>0</v>
      </c>
      <c r="E33" s="2">
        <v>0</v>
      </c>
      <c r="F33" s="2" t="b">
        <v>0</v>
      </c>
      <c r="G33" s="2" t="b">
        <v>0</v>
      </c>
    </row>
    <row r="34" spans="2:7" ht="12.75">
      <c r="B34" s="1">
        <f>Texte!A4015</f>
        <v>0</v>
      </c>
      <c r="C34" s="1"/>
      <c r="D34" s="1"/>
      <c r="E34" s="1"/>
      <c r="F34" s="1"/>
      <c r="G34" s="1"/>
    </row>
    <row r="35" spans="2:7" ht="12.75">
      <c r="B35" s="1" t="str">
        <f>Texte!A4016</f>
        <v>Cicorino</v>
      </c>
      <c r="C35" s="1"/>
      <c r="D35" s="2">
        <v>60</v>
      </c>
      <c r="E35" s="2">
        <v>60</v>
      </c>
      <c r="F35" s="2" t="b">
        <v>0</v>
      </c>
      <c r="G35" s="2" t="b">
        <v>1</v>
      </c>
    </row>
    <row r="36" spans="2:7" ht="12.75">
      <c r="B36" s="1" t="str">
        <f>Texte!A4017</f>
        <v>Erdbeeren, einjährig</v>
      </c>
      <c r="C36" s="1"/>
      <c r="D36" s="2">
        <v>60</v>
      </c>
      <c r="E36" s="2">
        <v>60</v>
      </c>
      <c r="F36" s="2" t="b">
        <v>0</v>
      </c>
      <c r="G36" s="2" t="b">
        <v>1</v>
      </c>
    </row>
    <row r="37" spans="2:7" ht="12.75">
      <c r="B37" s="1" t="str">
        <f>Texte!A4018</f>
        <v>Krautstiel</v>
      </c>
      <c r="C37" s="1"/>
      <c r="D37" s="2">
        <v>60</v>
      </c>
      <c r="E37" s="2">
        <v>60</v>
      </c>
      <c r="F37" s="2" t="b">
        <v>0</v>
      </c>
      <c r="G37" s="2" t="b">
        <v>1</v>
      </c>
    </row>
    <row r="38" spans="2:7" ht="12.75">
      <c r="B38" s="1" t="str">
        <f>Texte!A4019</f>
        <v>Lauch</v>
      </c>
      <c r="C38" s="1"/>
      <c r="D38" s="2">
        <v>80</v>
      </c>
      <c r="E38" s="2">
        <v>80</v>
      </c>
      <c r="F38" s="2" t="b">
        <v>0</v>
      </c>
      <c r="G38" s="2" t="b">
        <v>1</v>
      </c>
    </row>
    <row r="39" spans="2:7" ht="12.75">
      <c r="B39" s="1" t="str">
        <f>Texte!A4020</f>
        <v>Nüssler</v>
      </c>
      <c r="C39" s="1"/>
      <c r="D39" s="2">
        <v>60</v>
      </c>
      <c r="E39" s="2">
        <v>60</v>
      </c>
      <c r="F39" s="2" t="b">
        <v>0</v>
      </c>
      <c r="G39" s="2" t="b">
        <v>1</v>
      </c>
    </row>
    <row r="40" spans="2:7" ht="12.75">
      <c r="B40" s="1" t="str">
        <f>Texte!A4021</f>
        <v>Pastinaken</v>
      </c>
      <c r="C40" s="1"/>
      <c r="D40" s="2">
        <v>40</v>
      </c>
      <c r="E40" s="2">
        <v>40</v>
      </c>
      <c r="F40" s="2" t="b">
        <v>0</v>
      </c>
      <c r="G40" s="2" t="b">
        <v>1</v>
      </c>
    </row>
    <row r="41" spans="2:7" ht="12.75">
      <c r="B41" s="1" t="str">
        <f>Texte!A4022</f>
        <v>Peterli</v>
      </c>
      <c r="C41" s="1"/>
      <c r="D41" s="2">
        <v>60</v>
      </c>
      <c r="E41" s="2">
        <v>60</v>
      </c>
      <c r="F41" s="2" t="b">
        <v>0</v>
      </c>
      <c r="G41" s="2" t="b">
        <v>1</v>
      </c>
    </row>
    <row r="42" spans="2:7" ht="12.75">
      <c r="B42" s="1" t="str">
        <f>Texte!A4023</f>
        <v>Portulak</v>
      </c>
      <c r="C42" s="1"/>
      <c r="D42" s="2">
        <v>60</v>
      </c>
      <c r="E42" s="2">
        <v>60</v>
      </c>
      <c r="F42" s="2" t="b">
        <v>0</v>
      </c>
      <c r="G42" s="2" t="b">
        <v>1</v>
      </c>
    </row>
    <row r="43" spans="2:7" ht="12.75">
      <c r="B43" s="1" t="str">
        <f>Texte!A4024</f>
        <v>Rosenkohl</v>
      </c>
      <c r="C43" s="1"/>
      <c r="D43" s="2">
        <v>80</v>
      </c>
      <c r="E43" s="2">
        <v>80</v>
      </c>
      <c r="F43" s="2" t="b">
        <v>0</v>
      </c>
      <c r="G43" s="2" t="b">
        <v>1</v>
      </c>
    </row>
    <row r="44" spans="2:7" ht="12.75">
      <c r="B44" s="1" t="str">
        <f>Texte!A4025</f>
        <v>Schnittblumen 2-jährig, Schnittstauden</v>
      </c>
      <c r="C44" s="1"/>
      <c r="D44" s="2">
        <v>50</v>
      </c>
      <c r="E44" s="2">
        <v>50</v>
      </c>
      <c r="F44" s="2" t="b">
        <v>0</v>
      </c>
      <c r="G44" s="2" t="b">
        <v>1</v>
      </c>
    </row>
    <row r="45" spans="2:7" ht="12.75">
      <c r="B45" s="1" t="str">
        <f>Texte!A4026</f>
        <v>Schwarzwurzeln</v>
      </c>
      <c r="C45" s="1"/>
      <c r="D45" s="2">
        <v>40</v>
      </c>
      <c r="E45" s="2">
        <v>40</v>
      </c>
      <c r="F45" s="2" t="b">
        <v>0</v>
      </c>
      <c r="G45" s="2" t="b">
        <v>1</v>
      </c>
    </row>
    <row r="46" spans="2:7" ht="12.75">
      <c r="B46" s="1" t="str">
        <f>Texte!A4027</f>
        <v>Topinambur</v>
      </c>
      <c r="C46" s="1"/>
      <c r="D46" s="2">
        <v>40</v>
      </c>
      <c r="E46" s="2">
        <v>40</v>
      </c>
      <c r="F46" s="2" t="b">
        <v>0</v>
      </c>
      <c r="G46" s="2" t="b">
        <v>1</v>
      </c>
    </row>
    <row r="47" spans="2:7" ht="12.75">
      <c r="B47" s="1" t="str">
        <f>Texte!A4028</f>
        <v>Winterkohlarten</v>
      </c>
      <c r="C47" s="1"/>
      <c r="D47" s="2">
        <v>80</v>
      </c>
      <c r="E47" s="2">
        <v>80</v>
      </c>
      <c r="F47" s="2" t="b">
        <v>0</v>
      </c>
      <c r="G47" s="2" t="b">
        <v>1</v>
      </c>
    </row>
    <row r="48" spans="2:7" ht="12.75">
      <c r="B48" s="1" t="str">
        <f>Texte!A4029</f>
        <v>Winterspinat</v>
      </c>
      <c r="C48" s="1"/>
      <c r="D48" s="2">
        <v>60</v>
      </c>
      <c r="E48" s="2">
        <v>60</v>
      </c>
      <c r="F48" s="2" t="b">
        <v>0</v>
      </c>
      <c r="G48" s="2" t="b">
        <v>1</v>
      </c>
    </row>
    <row r="49" spans="2:7" ht="12.75">
      <c r="B49" s="1" t="str">
        <f>Texte!A4030</f>
        <v>Winterzwiebeln</v>
      </c>
      <c r="C49" s="1"/>
      <c r="D49" s="2">
        <v>60</v>
      </c>
      <c r="E49" s="2">
        <v>60</v>
      </c>
      <c r="F49" s="2" t="b">
        <v>0</v>
      </c>
      <c r="G49" s="2" t="b">
        <v>1</v>
      </c>
    </row>
    <row r="50" spans="2:7" ht="12.75">
      <c r="B50" s="1" t="str">
        <f>Texte!A4031</f>
        <v>Karotten</v>
      </c>
      <c r="C50" s="1"/>
      <c r="D50" s="2">
        <v>60</v>
      </c>
      <c r="E50" s="2">
        <v>60</v>
      </c>
      <c r="F50" s="2" t="b">
        <v>0</v>
      </c>
      <c r="G50" s="2" t="b">
        <v>1</v>
      </c>
    </row>
    <row r="51" spans="2:7" ht="12.75">
      <c r="B51" s="1" t="str">
        <f>Texte!A4032</f>
        <v>Sellerie</v>
      </c>
      <c r="C51" s="1"/>
      <c r="D51" s="2">
        <v>60</v>
      </c>
      <c r="E51" s="2">
        <v>60</v>
      </c>
      <c r="F51" s="2" t="b">
        <v>0</v>
      </c>
      <c r="G51" s="2" t="b">
        <v>1</v>
      </c>
    </row>
    <row r="52" spans="2:7" ht="12.75">
      <c r="B52" s="1" t="str">
        <f>Texte!A4033</f>
        <v>Schnittlauch</v>
      </c>
      <c r="C52" s="1"/>
      <c r="D52" s="2">
        <v>60</v>
      </c>
      <c r="E52" s="2">
        <v>60</v>
      </c>
      <c r="F52" s="2" t="b">
        <v>0</v>
      </c>
      <c r="G52" s="2" t="b">
        <v>1</v>
      </c>
    </row>
    <row r="53" spans="2:7" ht="12.75">
      <c r="B53" s="1" t="str">
        <f>Texte!A4034</f>
        <v>Melonen, Ölkürbisse, Zucchetti</v>
      </c>
      <c r="C53" s="1"/>
      <c r="D53" s="2">
        <v>10</v>
      </c>
      <c r="E53" s="2">
        <v>30</v>
      </c>
      <c r="F53" s="2" t="b">
        <v>0</v>
      </c>
      <c r="G53" s="2" t="b">
        <v>1</v>
      </c>
    </row>
    <row r="54" spans="2:7" ht="12.75">
      <c r="B54" s="1" t="str">
        <f>Texte!A4035</f>
        <v>Abgeerntete Gemüse u. Schnittblumen mit intaktem Wurzelwerk</v>
      </c>
      <c r="C54" s="1"/>
      <c r="D54" s="2">
        <v>10</v>
      </c>
      <c r="E54" s="2">
        <v>30</v>
      </c>
      <c r="F54" s="2" t="b">
        <v>0</v>
      </c>
      <c r="G54" s="2" t="b">
        <v>1</v>
      </c>
    </row>
    <row r="55" spans="2:7" ht="12.75">
      <c r="B55" s="1" t="str">
        <f>Texte!A4036</f>
        <v>Abgeschlägelter Spinat</v>
      </c>
      <c r="C55" s="1"/>
      <c r="D55" s="2">
        <v>10</v>
      </c>
      <c r="E55" s="2">
        <v>30</v>
      </c>
      <c r="F55" s="2" t="b">
        <v>0</v>
      </c>
      <c r="G55" s="2" t="b">
        <v>1</v>
      </c>
    </row>
    <row r="56" spans="2:7" ht="12.75">
      <c r="B56" s="1" t="str">
        <f>Texte!A4037</f>
        <v>Übrige nicht abgeerntete Gemüsekulturen</v>
      </c>
      <c r="C56" s="1"/>
      <c r="D56" s="2">
        <v>30</v>
      </c>
      <c r="E56" s="2">
        <v>30</v>
      </c>
      <c r="F56" s="2" t="b">
        <v>0</v>
      </c>
      <c r="G56" s="2" t="b">
        <v>1</v>
      </c>
    </row>
    <row r="57" spans="2:7" ht="12.75">
      <c r="B57" s="1" t="str">
        <f>Texte!A4038</f>
        <v>Brache nach Gemüsekultur</v>
      </c>
      <c r="C57" s="1"/>
      <c r="D57" s="2">
        <v>0</v>
      </c>
      <c r="E57" s="2">
        <v>0</v>
      </c>
      <c r="F57" s="2" t="b">
        <v>0</v>
      </c>
      <c r="G57" s="2" t="b">
        <v>1</v>
      </c>
    </row>
  </sheetData>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4">
    <tabColor indexed="31"/>
  </sheetPr>
  <dimension ref="A1:IV320"/>
  <sheetViews>
    <sheetView showRowColHeaders="0" workbookViewId="0">
      <extLst>
        <ext xmlns:xlsdti="http://schemas.microsoft.com/office/spreadsheetml/2023/showDataTypeIcons" uri="{77bfe23e-c014-4d31-8a63-9c772dbf06b6}">
          <xlsdti:showDataTypeIcons visible="0"/>
        </ext>
      </extLst>
    </sheetView>
  </sheetViews>
  <sheetFormatPr baseColWidth="10" defaultRowHeight="12"/>
  <cols>
    <col min="1" max="1" width="9" customWidth="1"/>
    <col min="2" max="2" width="6.42578125" style="698" customWidth="1"/>
    <col min="3" max="3" width="37.42578125" customWidth="1"/>
    <col min="4" max="4" width="11.5703125" style="2352" customWidth="1"/>
    <col min="5" max="9" width="12.7109375" style="2352" customWidth="1"/>
    <col min="10" max="11" width="12.7109375" customWidth="1"/>
    <col min="12" max="12" width="14.7109375" customWidth="1"/>
    <col min="13" max="13" width="15.42578125" customWidth="1"/>
    <col min="14" max="22" width="12.7109375" customWidth="1"/>
    <col min="24" max="24" width="12.42578125" hidden="1" customWidth="1"/>
    <col min="25" max="256" width="11.42578125" hidden="1" customWidth="1"/>
  </cols>
  <sheetData>
    <row r="1" spans="1:29" ht="18">
      <c r="B1" s="685" t="str">
        <f>Q!F74</f>
        <v>Datenbank Hofdüngeranfall</v>
      </c>
      <c r="D1"/>
      <c r="E1"/>
      <c r="F1"/>
      <c r="G1"/>
      <c r="H1"/>
      <c r="I1"/>
    </row>
    <row r="2" spans="1:29" ht="24" customHeight="1">
      <c r="A2" s="707" t="str">
        <f>Texte!A4040</f>
        <v>Verweis</v>
      </c>
      <c r="B2" s="707" t="str">
        <f>Texte!A4041</f>
        <v>Key</v>
      </c>
      <c r="C2" s="707" t="str">
        <f>Texte!A4042</f>
        <v>Stallhaltungsart</v>
      </c>
      <c r="D2" s="707" t="str">
        <f>Texte!A4043</f>
        <v>Stroh / Jahr</v>
      </c>
      <c r="E2" s="707" t="str">
        <f>Texte!A4044</f>
        <v>Mist / Jahr</v>
      </c>
      <c r="F2" s="707" t="str">
        <f>Texte!A4045</f>
        <v>Gülle / Jahr</v>
      </c>
      <c r="G2" s="707" t="str">
        <f>Texte!A4046</f>
        <v>Stroh / Mt.</v>
      </c>
      <c r="H2" s="707" t="str">
        <f>Texte!A4047</f>
        <v>Mist / Mt.</v>
      </c>
      <c r="I2" s="707" t="str">
        <f>Texte!A4048</f>
        <v>Gülle / Mt.</v>
      </c>
      <c r="J2" s="707" t="str">
        <f>Texte!A4050</f>
        <v>Mist-Typ</v>
      </c>
      <c r="K2" s="707" t="str">
        <f>Texte!A4049</f>
        <v>Gülle-Typ</v>
      </c>
      <c r="L2" s="1274" t="str">
        <f>Texte!A4052</f>
        <v>Stallreinigung Sommer</v>
      </c>
      <c r="M2" s="1274" t="str">
        <f>Texte!A4051</f>
        <v>Stallreinigung Winter</v>
      </c>
      <c r="N2" s="707"/>
      <c r="O2" s="707"/>
      <c r="P2" s="707"/>
      <c r="Q2" s="707"/>
      <c r="R2" s="707"/>
      <c r="S2" s="707"/>
      <c r="T2" s="707"/>
      <c r="U2" s="707"/>
      <c r="V2" s="707"/>
    </row>
    <row r="3" spans="1:29" ht="12.2" customHeight="1">
      <c r="A3" s="710" t="e">
        <f>C3:K9</f>
        <v>#VALUE!</v>
      </c>
      <c r="B3" s="711">
        <f>Tierb!A9</f>
        <v>100</v>
      </c>
      <c r="C3" s="709"/>
      <c r="D3" s="2348"/>
      <c r="E3" s="2349"/>
      <c r="F3" s="2349"/>
      <c r="G3" s="2349"/>
      <c r="H3" s="2349"/>
      <c r="I3" s="2349"/>
      <c r="J3" s="708"/>
      <c r="K3" s="708"/>
      <c r="L3" s="708"/>
      <c r="M3" s="708"/>
      <c r="N3" s="708"/>
      <c r="O3" s="708"/>
      <c r="P3" s="708"/>
      <c r="Q3" s="708"/>
      <c r="R3" s="708"/>
      <c r="S3" s="708"/>
      <c r="T3" s="708"/>
      <c r="U3" s="708"/>
      <c r="V3" s="708"/>
    </row>
    <row r="4" spans="1:29" ht="12.2" customHeight="1">
      <c r="A4" s="710"/>
      <c r="B4" s="711"/>
      <c r="C4" s="709" t="str">
        <f>Texte!A4060</f>
        <v>Nur Vollgülle</v>
      </c>
      <c r="D4" s="2348">
        <v>0</v>
      </c>
      <c r="E4" s="2349">
        <v>0</v>
      </c>
      <c r="F4" s="2349">
        <f>23*D_Klick!DGVE_Fakt</f>
        <v>23</v>
      </c>
      <c r="G4" s="2349">
        <f t="shared" ref="G4:G66" si="0">D4/12</f>
        <v>0</v>
      </c>
      <c r="H4" s="2349">
        <f t="shared" ref="H4:H66" si="1">E4/12</f>
        <v>0</v>
      </c>
      <c r="I4" s="2349">
        <f t="shared" ref="I4:I66" si="2">F4/12</f>
        <v>1.9166666666666667</v>
      </c>
      <c r="J4" s="708">
        <v>0</v>
      </c>
      <c r="K4" s="708">
        <v>2</v>
      </c>
      <c r="L4" s="708">
        <v>1</v>
      </c>
      <c r="M4" s="708">
        <v>0.2</v>
      </c>
      <c r="N4" s="708"/>
      <c r="O4" s="708"/>
      <c r="P4" s="708"/>
      <c r="Q4" s="708"/>
      <c r="R4" s="708"/>
      <c r="S4" s="708"/>
      <c r="T4" s="708"/>
      <c r="U4" s="708"/>
      <c r="V4" s="708"/>
    </row>
    <row r="5" spans="1:29" ht="12.2" customHeight="1">
      <c r="A5" s="710"/>
      <c r="B5" s="711"/>
      <c r="C5" s="709" t="str">
        <f>Texte!A4061</f>
        <v>Kotarme Gülle und Stapelmist</v>
      </c>
      <c r="D5" s="2348">
        <v>6.8</v>
      </c>
      <c r="E5" s="2349">
        <f>8.9*D_Klick!DGVE_Fakt</f>
        <v>8.9</v>
      </c>
      <c r="F5" s="2349">
        <f>11*D_Klick!DGVE_Fakt</f>
        <v>11</v>
      </c>
      <c r="G5" s="2349">
        <f t="shared" si="0"/>
        <v>0.56666666666666665</v>
      </c>
      <c r="H5" s="2349">
        <f t="shared" si="1"/>
        <v>0.7416666666666667</v>
      </c>
      <c r="I5" s="2349">
        <f t="shared" si="2"/>
        <v>0.91666666666666663</v>
      </c>
      <c r="J5" s="708">
        <v>4</v>
      </c>
      <c r="K5" s="708">
        <v>3</v>
      </c>
      <c r="L5" s="708">
        <v>1</v>
      </c>
      <c r="M5" s="708">
        <v>0.2</v>
      </c>
      <c r="N5" s="708"/>
      <c r="O5" s="708"/>
      <c r="P5" s="708"/>
      <c r="Q5" s="708"/>
      <c r="R5" s="708"/>
      <c r="S5" s="708"/>
      <c r="T5" s="708"/>
      <c r="U5" s="708"/>
      <c r="V5" s="708"/>
    </row>
    <row r="6" spans="1:29" ht="12.2" customHeight="1">
      <c r="A6" s="710"/>
      <c r="B6" s="711"/>
      <c r="C6" s="709" t="str">
        <f>Texte!A4062</f>
        <v>Laufstallmist und viel Gülle (10-40% eingestreut)</v>
      </c>
      <c r="D6" s="2348">
        <v>7.5</v>
      </c>
      <c r="E6" s="2349">
        <f>5.3*D_Klick!DGVE_Fakt</f>
        <v>5.3</v>
      </c>
      <c r="F6" s="2349">
        <f>17.3*D_Klick!DGVE_Fakt</f>
        <v>17.3</v>
      </c>
      <c r="G6" s="2349">
        <f t="shared" si="0"/>
        <v>0.625</v>
      </c>
      <c r="H6" s="2349">
        <f t="shared" si="1"/>
        <v>0.44166666666666665</v>
      </c>
      <c r="I6" s="2349">
        <f t="shared" si="2"/>
        <v>1.4416666666666667</v>
      </c>
      <c r="J6" s="708">
        <v>5</v>
      </c>
      <c r="K6" s="708">
        <v>2</v>
      </c>
      <c r="L6" s="708">
        <v>1</v>
      </c>
      <c r="M6" s="708">
        <v>0.2</v>
      </c>
      <c r="N6" s="708"/>
      <c r="O6" s="708"/>
      <c r="P6" s="708"/>
      <c r="Q6" s="708"/>
      <c r="R6" s="708"/>
      <c r="S6" s="708"/>
      <c r="T6" s="708"/>
      <c r="U6" s="708"/>
      <c r="V6" s="708"/>
    </row>
    <row r="7" spans="1:29" ht="12.2" customHeight="1">
      <c r="A7" s="710"/>
      <c r="B7" s="711"/>
      <c r="C7" s="709" t="str">
        <f>Texte!A4063</f>
        <v>Laufstallmist und Gülle (40-60% eingestreut)</v>
      </c>
      <c r="D7" s="2348">
        <v>15</v>
      </c>
      <c r="E7" s="2349">
        <f>10.5*D_Klick!DGVE_Fakt</f>
        <v>10.5</v>
      </c>
      <c r="F7" s="2349">
        <f>11.5*D_Klick!DGVE_Fakt</f>
        <v>11.5</v>
      </c>
      <c r="G7" s="2349">
        <f t="shared" si="0"/>
        <v>1.25</v>
      </c>
      <c r="H7" s="2349">
        <f t="shared" si="1"/>
        <v>0.875</v>
      </c>
      <c r="I7" s="2349">
        <f t="shared" si="2"/>
        <v>0.95833333333333337</v>
      </c>
      <c r="J7" s="708">
        <v>5</v>
      </c>
      <c r="K7" s="708">
        <v>2</v>
      </c>
      <c r="L7" s="708">
        <v>1</v>
      </c>
      <c r="M7" s="708">
        <v>0.2</v>
      </c>
      <c r="N7" s="708"/>
      <c r="O7" s="708"/>
      <c r="P7" s="708"/>
      <c r="Q7" s="708"/>
      <c r="R7" s="708"/>
      <c r="S7" s="708"/>
      <c r="T7" s="708"/>
      <c r="U7" s="708"/>
      <c r="V7" s="708"/>
      <c r="X7" s="88">
        <f>Tierb!E10</f>
        <v>1</v>
      </c>
    </row>
    <row r="8" spans="1:29" ht="12.2" customHeight="1">
      <c r="A8" s="710"/>
      <c r="B8" s="711"/>
      <c r="C8" s="709" t="str">
        <f>Texte!A4064</f>
        <v>Laufstallmist und wenig Gülle (60-90% eingestreut)</v>
      </c>
      <c r="D8" s="2348">
        <v>22.5</v>
      </c>
      <c r="E8" s="2349">
        <f>15.8*D_Klick!DGVE_Fakt</f>
        <v>15.8</v>
      </c>
      <c r="F8" s="2349">
        <f>5.8*D_Klick!DGVE_Fakt</f>
        <v>5.8</v>
      </c>
      <c r="G8" s="2349">
        <f t="shared" si="0"/>
        <v>1.875</v>
      </c>
      <c r="H8" s="2349">
        <f t="shared" si="1"/>
        <v>1.3166666666666667</v>
      </c>
      <c r="I8" s="2349">
        <f t="shared" si="2"/>
        <v>0.48333333333333334</v>
      </c>
      <c r="J8" s="708">
        <v>5</v>
      </c>
      <c r="K8" s="708">
        <v>2</v>
      </c>
      <c r="L8" s="708">
        <v>1</v>
      </c>
      <c r="M8" s="708">
        <v>0.2</v>
      </c>
      <c r="N8" s="708"/>
      <c r="O8" s="708"/>
      <c r="P8" s="708"/>
      <c r="Q8" s="708"/>
      <c r="R8" s="708"/>
      <c r="S8" s="708"/>
      <c r="T8" s="708"/>
      <c r="U8" s="708"/>
      <c r="V8" s="708"/>
      <c r="X8" s="88" t="str">
        <f>D_Klick!F73</f>
        <v>Ausmastkühe</v>
      </c>
      <c r="Y8" s="88"/>
      <c r="Z8" s="88" t="str">
        <f>D_Klick!F74</f>
        <v>Galtkühe</v>
      </c>
      <c r="AA8" s="88"/>
      <c r="AB8" s="88"/>
      <c r="AC8" s="88"/>
    </row>
    <row r="9" spans="1:29" ht="12.2" customHeight="1">
      <c r="A9" s="710"/>
      <c r="B9" s="711"/>
      <c r="C9" s="709" t="str">
        <f>Texte!A4065</f>
        <v>Nur Laufstallmist</v>
      </c>
      <c r="D9" s="2348">
        <v>30</v>
      </c>
      <c r="E9" s="2349">
        <f>21*D_Klick!DGVE_Fakt</f>
        <v>21</v>
      </c>
      <c r="F9" s="2349">
        <v>0</v>
      </c>
      <c r="G9" s="2349">
        <f t="shared" si="0"/>
        <v>2.5</v>
      </c>
      <c r="H9" s="2349">
        <f t="shared" si="1"/>
        <v>1.75</v>
      </c>
      <c r="I9" s="2349">
        <f t="shared" si="2"/>
        <v>0</v>
      </c>
      <c r="J9" s="708">
        <v>5</v>
      </c>
      <c r="K9" s="708">
        <v>0</v>
      </c>
      <c r="L9" s="708">
        <v>1</v>
      </c>
      <c r="M9" s="708">
        <v>0.2</v>
      </c>
      <c r="N9" s="708"/>
      <c r="O9" s="708"/>
      <c r="P9" s="708"/>
      <c r="Q9" s="708"/>
      <c r="R9" s="708"/>
      <c r="S9" s="708"/>
      <c r="T9" s="708"/>
      <c r="U9" s="708"/>
      <c r="V9" s="708"/>
      <c r="X9" s="88">
        <v>1</v>
      </c>
      <c r="Y9" s="88"/>
      <c r="Z9" s="88">
        <v>2</v>
      </c>
      <c r="AA9" s="88"/>
      <c r="AB9" s="88"/>
      <c r="AC9" s="88"/>
    </row>
    <row r="10" spans="1:29" ht="12.2" customHeight="1">
      <c r="A10" s="710" t="e">
        <f>C10:K16</f>
        <v>#VALUE!</v>
      </c>
      <c r="B10" s="711">
        <f>B3+4</f>
        <v>104</v>
      </c>
      <c r="C10" s="709"/>
      <c r="D10" s="2348"/>
      <c r="E10" s="2349"/>
      <c r="F10" s="2349"/>
      <c r="G10" s="2349"/>
      <c r="H10" s="2349"/>
      <c r="I10" s="2349"/>
      <c r="J10" s="708"/>
      <c r="K10" s="708"/>
      <c r="L10" s="708"/>
      <c r="M10" s="708"/>
      <c r="N10" s="708"/>
      <c r="O10" s="708"/>
      <c r="P10" s="708"/>
      <c r="Q10" s="708"/>
      <c r="R10" s="708"/>
      <c r="S10" s="708"/>
      <c r="T10" s="708"/>
      <c r="U10" s="708"/>
      <c r="V10" s="708"/>
      <c r="X10" s="88" t="str">
        <f>$E$2</f>
        <v>Mist / Jahr</v>
      </c>
      <c r="Y10" s="88" t="str">
        <f>$F$2</f>
        <v>Gülle / Jahr</v>
      </c>
      <c r="Z10" s="88" t="str">
        <f>$E$2</f>
        <v>Mist / Jahr</v>
      </c>
      <c r="AA10" s="88" t="str">
        <f>$F$2</f>
        <v>Gülle / Jahr</v>
      </c>
      <c r="AB10" s="88"/>
      <c r="AC10" s="88"/>
    </row>
    <row r="11" spans="1:29" ht="12.2" customHeight="1">
      <c r="A11" s="710"/>
      <c r="B11" s="711"/>
      <c r="C11" s="709" t="str">
        <f>Texte!A4067</f>
        <v>Nur Gülle</v>
      </c>
      <c r="D11" s="2348">
        <v>0</v>
      </c>
      <c r="E11" s="2349">
        <f t="shared" ref="E11:F16" si="3">IF($X$7=$X$9,X11,Z11)</f>
        <v>0</v>
      </c>
      <c r="F11" s="2349">
        <f t="shared" si="3"/>
        <v>19.204999999999998</v>
      </c>
      <c r="G11" s="2349">
        <f t="shared" si="0"/>
        <v>0</v>
      </c>
      <c r="H11" s="2349">
        <f t="shared" si="1"/>
        <v>0</v>
      </c>
      <c r="I11" s="2349">
        <f t="shared" si="2"/>
        <v>1.6004166666666666</v>
      </c>
      <c r="J11" s="708">
        <v>0</v>
      </c>
      <c r="K11" s="708">
        <v>2</v>
      </c>
      <c r="L11" s="708">
        <v>1</v>
      </c>
      <c r="M11" s="708">
        <v>0.2</v>
      </c>
      <c r="N11" s="708"/>
      <c r="O11" s="708"/>
      <c r="P11" s="708"/>
      <c r="Q11" s="708"/>
      <c r="R11" s="708"/>
      <c r="S11" s="708"/>
      <c r="T11" s="708"/>
      <c r="U11" s="708"/>
      <c r="V11" s="708"/>
      <c r="X11" s="88">
        <v>0</v>
      </c>
      <c r="Y11" s="88">
        <v>19.204999999999998</v>
      </c>
      <c r="Z11" s="88">
        <v>0</v>
      </c>
      <c r="AA11" s="88">
        <v>18.399999999999999</v>
      </c>
      <c r="AB11" s="88"/>
      <c r="AC11" s="88"/>
    </row>
    <row r="12" spans="1:29" ht="12.2" customHeight="1">
      <c r="A12" s="710"/>
      <c r="B12" s="711"/>
      <c r="C12" s="709" t="str">
        <f>Texte!A4061</f>
        <v>Kotarme Gülle und Stapelmist</v>
      </c>
      <c r="D12" s="2348">
        <v>6.8</v>
      </c>
      <c r="E12" s="2349">
        <f t="shared" si="3"/>
        <v>7.4320000000000004</v>
      </c>
      <c r="F12" s="2349">
        <f t="shared" si="3"/>
        <v>9.1850000000000005</v>
      </c>
      <c r="G12" s="2349">
        <f t="shared" si="0"/>
        <v>0.56666666666666665</v>
      </c>
      <c r="H12" s="2349">
        <f t="shared" si="1"/>
        <v>0.6193333333333334</v>
      </c>
      <c r="I12" s="2349">
        <f t="shared" si="2"/>
        <v>0.76541666666666675</v>
      </c>
      <c r="J12" s="708">
        <v>4</v>
      </c>
      <c r="K12" s="708">
        <v>3</v>
      </c>
      <c r="L12" s="708">
        <v>1</v>
      </c>
      <c r="M12" s="708">
        <v>0.2</v>
      </c>
      <c r="N12" s="708"/>
      <c r="O12" s="708"/>
      <c r="P12" s="708"/>
      <c r="Q12" s="708"/>
      <c r="R12" s="708"/>
      <c r="S12" s="708"/>
      <c r="T12" s="708"/>
      <c r="U12" s="708"/>
      <c r="V12" s="708"/>
      <c r="X12" s="88">
        <v>7.4320000000000004</v>
      </c>
      <c r="Y12" s="88">
        <v>9.1850000000000005</v>
      </c>
      <c r="Z12" s="88">
        <v>7.12</v>
      </c>
      <c r="AA12" s="88">
        <v>8.8000000000000007</v>
      </c>
      <c r="AB12" s="88"/>
      <c r="AC12" s="88"/>
    </row>
    <row r="13" spans="1:29" ht="12.2" customHeight="1">
      <c r="A13" s="710"/>
      <c r="B13" s="711"/>
      <c r="C13" s="709" t="str">
        <f>Texte!A4062</f>
        <v>Laufstallmist und viel Gülle (10-40% eingestreut)</v>
      </c>
      <c r="D13" s="2348">
        <v>7.5</v>
      </c>
      <c r="E13" s="2349">
        <f t="shared" si="3"/>
        <v>4.4260000000000002</v>
      </c>
      <c r="F13" s="2349">
        <f t="shared" si="3"/>
        <v>14.446</v>
      </c>
      <c r="G13" s="2349">
        <f t="shared" si="0"/>
        <v>0.625</v>
      </c>
      <c r="H13" s="2349">
        <f t="shared" si="1"/>
        <v>0.36883333333333335</v>
      </c>
      <c r="I13" s="2349">
        <f t="shared" si="2"/>
        <v>1.2038333333333333</v>
      </c>
      <c r="J13" s="708">
        <v>5</v>
      </c>
      <c r="K13" s="708">
        <v>2</v>
      </c>
      <c r="L13" s="708">
        <v>1</v>
      </c>
      <c r="M13" s="708">
        <v>0.2</v>
      </c>
      <c r="N13" s="708"/>
      <c r="O13" s="708"/>
      <c r="P13" s="708"/>
      <c r="Q13" s="708"/>
      <c r="R13" s="708"/>
      <c r="S13" s="708"/>
      <c r="T13" s="708"/>
      <c r="U13" s="708"/>
      <c r="V13" s="708"/>
      <c r="X13" s="88">
        <v>4.4260000000000002</v>
      </c>
      <c r="Y13" s="88">
        <v>14.446</v>
      </c>
      <c r="Z13" s="88">
        <v>4.24</v>
      </c>
      <c r="AA13" s="88">
        <v>13.84</v>
      </c>
      <c r="AB13" s="88"/>
      <c r="AC13" s="88"/>
    </row>
    <row r="14" spans="1:29" ht="12.2" customHeight="1">
      <c r="A14" s="710"/>
      <c r="B14" s="711"/>
      <c r="C14" s="709" t="str">
        <f>Texte!A4063</f>
        <v>Laufstallmist und Gülle (40-60% eingestreut)</v>
      </c>
      <c r="D14" s="2348">
        <v>15</v>
      </c>
      <c r="E14" s="2349">
        <f t="shared" si="3"/>
        <v>8.7680000000000007</v>
      </c>
      <c r="F14" s="2349">
        <f t="shared" si="3"/>
        <v>9.6029999999999998</v>
      </c>
      <c r="G14" s="2349">
        <f t="shared" si="0"/>
        <v>1.25</v>
      </c>
      <c r="H14" s="2349">
        <f t="shared" si="1"/>
        <v>0.73066666666666669</v>
      </c>
      <c r="I14" s="2349">
        <f t="shared" si="2"/>
        <v>0.80025000000000002</v>
      </c>
      <c r="J14" s="708">
        <v>5</v>
      </c>
      <c r="K14" s="708">
        <v>2</v>
      </c>
      <c r="L14" s="708">
        <v>1</v>
      </c>
      <c r="M14" s="708">
        <v>0.2</v>
      </c>
      <c r="N14" s="708"/>
      <c r="O14" s="708"/>
      <c r="P14" s="708"/>
      <c r="Q14" s="708"/>
      <c r="R14" s="708"/>
      <c r="S14" s="708"/>
      <c r="T14" s="708"/>
      <c r="U14" s="708"/>
      <c r="V14" s="708"/>
      <c r="X14" s="88">
        <v>8.7680000000000007</v>
      </c>
      <c r="Y14" s="88">
        <v>9.6029999999999998</v>
      </c>
      <c r="Z14" s="88">
        <v>8.4</v>
      </c>
      <c r="AA14" s="88">
        <v>9.1999999999999993</v>
      </c>
      <c r="AB14" s="88"/>
      <c r="AC14" s="88"/>
    </row>
    <row r="15" spans="1:29" ht="12.2" customHeight="1">
      <c r="A15" s="710"/>
      <c r="B15" s="711"/>
      <c r="C15" s="709" t="str">
        <f>Texte!A4064</f>
        <v>Laufstallmist und wenig Gülle (60-90% eingestreut)</v>
      </c>
      <c r="D15" s="2348">
        <v>22.5</v>
      </c>
      <c r="E15" s="2349">
        <f t="shared" si="3"/>
        <v>13.193</v>
      </c>
      <c r="F15" s="2349">
        <f t="shared" si="3"/>
        <v>4.843</v>
      </c>
      <c r="G15" s="2349">
        <f t="shared" si="0"/>
        <v>1.875</v>
      </c>
      <c r="H15" s="2349">
        <f t="shared" si="1"/>
        <v>1.0994166666666667</v>
      </c>
      <c r="I15" s="2349">
        <f t="shared" si="2"/>
        <v>0.40358333333333335</v>
      </c>
      <c r="J15" s="708">
        <v>5</v>
      </c>
      <c r="K15" s="708">
        <v>2</v>
      </c>
      <c r="L15" s="708">
        <v>1</v>
      </c>
      <c r="M15" s="708">
        <v>0.2</v>
      </c>
      <c r="N15" s="708"/>
      <c r="O15" s="708"/>
      <c r="P15" s="708"/>
      <c r="Q15" s="708"/>
      <c r="R15" s="708"/>
      <c r="S15" s="708"/>
      <c r="T15" s="708"/>
      <c r="U15" s="708"/>
      <c r="V15" s="708"/>
      <c r="X15" s="88">
        <v>13.193</v>
      </c>
      <c r="Y15" s="88">
        <v>4.843</v>
      </c>
      <c r="Z15" s="88">
        <v>12.64</v>
      </c>
      <c r="AA15" s="88">
        <v>4.6399999999999997</v>
      </c>
      <c r="AB15" s="88"/>
      <c r="AC15" s="88"/>
    </row>
    <row r="16" spans="1:29" ht="12.2" customHeight="1">
      <c r="A16" s="710"/>
      <c r="B16" s="711"/>
      <c r="C16" s="709" t="str">
        <f>Texte!A4065</f>
        <v>Nur Laufstallmist</v>
      </c>
      <c r="D16" s="2348">
        <v>30</v>
      </c>
      <c r="E16" s="2349">
        <f t="shared" si="3"/>
        <v>17.535</v>
      </c>
      <c r="F16" s="2349">
        <f t="shared" si="3"/>
        <v>0</v>
      </c>
      <c r="G16" s="2349">
        <f t="shared" si="0"/>
        <v>2.5</v>
      </c>
      <c r="H16" s="2349">
        <f t="shared" si="1"/>
        <v>1.4612499999999999</v>
      </c>
      <c r="I16" s="2349">
        <f t="shared" si="2"/>
        <v>0</v>
      </c>
      <c r="J16" s="708">
        <v>5</v>
      </c>
      <c r="K16" s="708">
        <v>0</v>
      </c>
      <c r="L16" s="708">
        <v>1</v>
      </c>
      <c r="M16" s="708">
        <v>0.2</v>
      </c>
      <c r="N16" s="708"/>
      <c r="O16" s="708"/>
      <c r="P16" s="708"/>
      <c r="Q16" s="708"/>
      <c r="R16" s="708"/>
      <c r="S16" s="708"/>
      <c r="T16" s="708"/>
      <c r="U16" s="708"/>
      <c r="V16" s="708"/>
      <c r="X16" s="88">
        <v>17.535</v>
      </c>
      <c r="Y16" s="88">
        <v>0</v>
      </c>
      <c r="Z16" s="88">
        <v>16.8</v>
      </c>
      <c r="AA16" s="88">
        <v>0</v>
      </c>
      <c r="AB16" s="88"/>
      <c r="AC16" s="88"/>
    </row>
    <row r="17" spans="1:32" ht="12.2" customHeight="1">
      <c r="A17" s="710" t="e">
        <f>C17:K23</f>
        <v>#VALUE!</v>
      </c>
      <c r="B17" s="711">
        <f>B10+4</f>
        <v>108</v>
      </c>
      <c r="C17" s="709"/>
      <c r="D17" s="2348"/>
      <c r="E17" s="2349"/>
      <c r="F17" s="2349"/>
      <c r="G17" s="2349"/>
      <c r="H17" s="2349"/>
      <c r="I17" s="2349"/>
      <c r="J17" s="708"/>
      <c r="K17" s="708"/>
      <c r="L17" s="708"/>
      <c r="M17" s="708"/>
      <c r="N17" s="708"/>
      <c r="O17" s="708"/>
      <c r="P17" s="708"/>
      <c r="Q17" s="708"/>
      <c r="R17" s="708"/>
      <c r="S17" s="708"/>
      <c r="T17" s="708"/>
      <c r="U17" s="708"/>
      <c r="V17" s="708"/>
    </row>
    <row r="18" spans="1:32" ht="12.2" customHeight="1">
      <c r="A18" s="710"/>
      <c r="B18" s="711"/>
      <c r="C18" s="709" t="str">
        <f>Texte!A4067</f>
        <v>Nur Gülle</v>
      </c>
      <c r="D18" s="2348">
        <v>0</v>
      </c>
      <c r="E18" s="2349">
        <v>0</v>
      </c>
      <c r="F18" s="2349">
        <v>3.84</v>
      </c>
      <c r="G18" s="2349">
        <f t="shared" si="0"/>
        <v>0</v>
      </c>
      <c r="H18" s="2349">
        <f t="shared" si="1"/>
        <v>0</v>
      </c>
      <c r="I18" s="2349">
        <f t="shared" si="2"/>
        <v>0.32</v>
      </c>
      <c r="J18" s="708">
        <v>0</v>
      </c>
      <c r="K18" s="708">
        <v>2</v>
      </c>
      <c r="L18" s="708">
        <v>1</v>
      </c>
      <c r="M18" s="708">
        <v>0.2</v>
      </c>
      <c r="N18" s="708"/>
      <c r="O18" s="708"/>
      <c r="P18" s="708"/>
      <c r="Q18" s="708"/>
      <c r="R18" s="708"/>
      <c r="S18" s="708"/>
      <c r="T18" s="708"/>
      <c r="U18" s="708"/>
      <c r="V18" s="708"/>
    </row>
    <row r="19" spans="1:32" ht="12.2" customHeight="1">
      <c r="A19" s="710"/>
      <c r="B19" s="711"/>
      <c r="C19" s="709" t="str">
        <f>Texte!A4068</f>
        <v>Kotarme Gülle und Stapelmist</v>
      </c>
      <c r="D19" s="2348">
        <v>1.44</v>
      </c>
      <c r="E19" s="2349">
        <v>1.44</v>
      </c>
      <c r="F19" s="2349">
        <v>1.92</v>
      </c>
      <c r="G19" s="2349">
        <f t="shared" si="0"/>
        <v>0.12</v>
      </c>
      <c r="H19" s="2349">
        <f t="shared" si="1"/>
        <v>0.12</v>
      </c>
      <c r="I19" s="2349">
        <f t="shared" si="2"/>
        <v>0.16</v>
      </c>
      <c r="J19" s="708">
        <v>4</v>
      </c>
      <c r="K19" s="708">
        <v>3</v>
      </c>
      <c r="L19" s="708">
        <v>1</v>
      </c>
      <c r="M19" s="708">
        <v>0.2</v>
      </c>
      <c r="N19" s="708"/>
      <c r="O19" s="708"/>
      <c r="P19" s="708"/>
      <c r="Q19" s="708"/>
      <c r="R19" s="708"/>
      <c r="S19" s="708"/>
      <c r="T19" s="708"/>
      <c r="U19" s="708"/>
      <c r="V19" s="708"/>
      <c r="X19" s="88">
        <f>Tierb!E17</f>
        <v>1</v>
      </c>
    </row>
    <row r="20" spans="1:32" ht="12.2" customHeight="1">
      <c r="A20" s="710"/>
      <c r="B20" s="711"/>
      <c r="C20" s="709" t="str">
        <f>Texte!A4069</f>
        <v>Laufstallmist und viel Gülle (10-40% eingestreut)</v>
      </c>
      <c r="D20" s="2348">
        <v>1.4</v>
      </c>
      <c r="E20" s="2349">
        <v>0.9</v>
      </c>
      <c r="F20" s="2349">
        <v>2.88</v>
      </c>
      <c r="G20" s="2349">
        <f t="shared" si="0"/>
        <v>0.11666666666666665</v>
      </c>
      <c r="H20" s="2349">
        <f t="shared" si="1"/>
        <v>7.4999999999999997E-2</v>
      </c>
      <c r="I20" s="2349">
        <f t="shared" si="2"/>
        <v>0.24</v>
      </c>
      <c r="J20" s="708">
        <v>5</v>
      </c>
      <c r="K20" s="708">
        <v>2</v>
      </c>
      <c r="L20" s="708">
        <v>1</v>
      </c>
      <c r="M20" s="708">
        <v>0.2</v>
      </c>
      <c r="N20" s="708"/>
      <c r="O20" s="708"/>
      <c r="P20" s="708"/>
      <c r="Q20" s="708"/>
      <c r="R20" s="708"/>
      <c r="S20" s="708"/>
      <c r="T20" s="708"/>
      <c r="U20" s="708"/>
      <c r="V20" s="708"/>
      <c r="X20" s="88" t="str">
        <f>Texte!A5102</f>
        <v>M'kühe &gt; 700kg</v>
      </c>
      <c r="Y20" s="88"/>
      <c r="Z20" s="88" t="str">
        <f>Texte!A5103</f>
        <v>M'kühe 600-700kg</v>
      </c>
      <c r="AA20" s="88"/>
      <c r="AB20" s="88" t="str">
        <f>Texte!A5104</f>
        <v>M'kühe &lt; 600kg</v>
      </c>
      <c r="AC20" s="88"/>
    </row>
    <row r="21" spans="1:32" ht="12.2" customHeight="1">
      <c r="A21" s="710"/>
      <c r="B21" s="711"/>
      <c r="C21" s="709" t="str">
        <f>Texte!A4070</f>
        <v>Laufstallmist und Gülle (40-60% eingestreut)</v>
      </c>
      <c r="D21" s="2348">
        <v>2.9</v>
      </c>
      <c r="E21" s="2349">
        <v>1.8</v>
      </c>
      <c r="F21" s="2349">
        <v>1.92</v>
      </c>
      <c r="G21" s="2349">
        <f t="shared" si="0"/>
        <v>0.24166666666666667</v>
      </c>
      <c r="H21" s="2349">
        <f t="shared" si="1"/>
        <v>0.15</v>
      </c>
      <c r="I21" s="2349">
        <f t="shared" si="2"/>
        <v>0.16</v>
      </c>
      <c r="J21" s="708">
        <v>5</v>
      </c>
      <c r="K21" s="708">
        <v>2</v>
      </c>
      <c r="L21" s="708">
        <v>1</v>
      </c>
      <c r="M21" s="708">
        <v>0.2</v>
      </c>
      <c r="N21" s="708"/>
      <c r="O21" s="708"/>
      <c r="P21" s="708"/>
      <c r="Q21" s="708"/>
      <c r="R21" s="708"/>
      <c r="S21" s="708"/>
      <c r="T21" s="708"/>
      <c r="U21" s="708"/>
      <c r="V21" s="708"/>
      <c r="X21" s="88">
        <f>D_Klick!G77</f>
        <v>1</v>
      </c>
      <c r="Y21" s="88"/>
      <c r="Z21" s="88">
        <f>+D_Klick!G78</f>
        <v>2</v>
      </c>
      <c r="AA21" s="88"/>
      <c r="AB21" s="88">
        <f>+D_Klick!G79</f>
        <v>3</v>
      </c>
      <c r="AC21" s="88"/>
    </row>
    <row r="22" spans="1:32" ht="12.2" customHeight="1">
      <c r="A22" s="710"/>
      <c r="B22" s="711"/>
      <c r="C22" s="709" t="str">
        <f>Texte!A4071</f>
        <v>Laufstallmist und wenig Gülle (60-90% eingestreut)</v>
      </c>
      <c r="D22" s="2348">
        <v>4.3</v>
      </c>
      <c r="E22" s="2349">
        <v>2.7</v>
      </c>
      <c r="F22" s="2349">
        <v>0.96</v>
      </c>
      <c r="G22" s="2349">
        <f t="shared" si="0"/>
        <v>0.35833333333333334</v>
      </c>
      <c r="H22" s="2349">
        <f t="shared" si="1"/>
        <v>0.22500000000000001</v>
      </c>
      <c r="I22" s="2349">
        <f t="shared" si="2"/>
        <v>0.08</v>
      </c>
      <c r="J22" s="708">
        <v>5</v>
      </c>
      <c r="K22" s="708">
        <v>2</v>
      </c>
      <c r="L22" s="708">
        <v>1</v>
      </c>
      <c r="M22" s="708">
        <v>0.2</v>
      </c>
      <c r="N22" s="708"/>
      <c r="O22" s="708"/>
      <c r="P22" s="708"/>
      <c r="Q22" s="708"/>
      <c r="R22" s="708"/>
      <c r="S22" s="708"/>
      <c r="T22" s="708"/>
      <c r="U22" s="708"/>
      <c r="V22" s="708"/>
      <c r="X22" s="88" t="str">
        <f>$E$2</f>
        <v>Mist / Jahr</v>
      </c>
      <c r="Y22" s="88" t="str">
        <f>$F$2</f>
        <v>Gülle / Jahr</v>
      </c>
      <c r="Z22" s="88" t="str">
        <f>$E$2</f>
        <v>Mist / Jahr</v>
      </c>
      <c r="AA22" s="88" t="str">
        <f>$F$2</f>
        <v>Gülle / Jahr</v>
      </c>
      <c r="AB22" s="88" t="str">
        <f>$E$2</f>
        <v>Mist / Jahr</v>
      </c>
      <c r="AC22" s="88" t="str">
        <f>$F$2</f>
        <v>Gülle / Jahr</v>
      </c>
    </row>
    <row r="23" spans="1:32" ht="12.2" customHeight="1">
      <c r="A23" s="710"/>
      <c r="B23" s="711"/>
      <c r="C23" s="709" t="str">
        <f>Texte!A4072</f>
        <v>Nur Laufstallmist</v>
      </c>
      <c r="D23" s="2348">
        <v>5.8</v>
      </c>
      <c r="E23" s="2349">
        <v>3.6</v>
      </c>
      <c r="F23" s="2349">
        <v>0</v>
      </c>
      <c r="G23" s="2349">
        <f t="shared" si="0"/>
        <v>0.48333333333333334</v>
      </c>
      <c r="H23" s="2349">
        <f t="shared" si="1"/>
        <v>0.3</v>
      </c>
      <c r="I23" s="2349">
        <f t="shared" si="2"/>
        <v>0</v>
      </c>
      <c r="J23" s="708">
        <v>5</v>
      </c>
      <c r="K23" s="708">
        <v>0</v>
      </c>
      <c r="L23" s="708">
        <v>1</v>
      </c>
      <c r="M23" s="708">
        <v>0.2</v>
      </c>
      <c r="N23" s="708"/>
      <c r="O23" s="708"/>
      <c r="P23" s="708"/>
      <c r="Q23" s="708"/>
      <c r="R23" s="708"/>
      <c r="S23" s="708"/>
      <c r="T23" s="708"/>
      <c r="U23" s="708"/>
      <c r="V23" s="708"/>
    </row>
    <row r="24" spans="1:32" ht="12.2" customHeight="1">
      <c r="A24" s="710" t="e">
        <f>C24:K30</f>
        <v>#VALUE!</v>
      </c>
      <c r="B24" s="711">
        <f>B17+4</f>
        <v>112</v>
      </c>
      <c r="C24" s="709"/>
      <c r="D24" s="2348"/>
      <c r="E24" s="2349"/>
      <c r="F24" s="2349"/>
      <c r="G24" s="2349"/>
      <c r="H24" s="2349"/>
      <c r="I24" s="2349"/>
      <c r="J24" s="708"/>
      <c r="K24" s="708"/>
      <c r="L24" s="708"/>
      <c r="M24" s="708"/>
      <c r="N24" s="708"/>
      <c r="O24" s="708"/>
      <c r="P24" s="708"/>
      <c r="Q24" s="708"/>
      <c r="R24" s="708"/>
      <c r="S24" s="708"/>
      <c r="T24" s="708"/>
      <c r="U24" s="708"/>
      <c r="V24" s="708"/>
      <c r="X24" s="88">
        <v>0</v>
      </c>
      <c r="Y24" s="88">
        <v>19</v>
      </c>
      <c r="Z24" s="88">
        <v>0</v>
      </c>
      <c r="AA24" s="88">
        <v>17</v>
      </c>
      <c r="AB24" s="88">
        <v>0</v>
      </c>
      <c r="AC24" s="88">
        <v>15</v>
      </c>
    </row>
    <row r="25" spans="1:32" ht="12.2" customHeight="1">
      <c r="A25" s="710"/>
      <c r="B25" s="711"/>
      <c r="C25" s="709" t="str">
        <f>Texte!A4074</f>
        <v>Nur Gülle</v>
      </c>
      <c r="D25" s="2348">
        <v>0</v>
      </c>
      <c r="E25" s="2349">
        <v>0</v>
      </c>
      <c r="F25" s="2349">
        <v>5.7</v>
      </c>
      <c r="G25" s="2349">
        <f t="shared" si="0"/>
        <v>0</v>
      </c>
      <c r="H25" s="2349">
        <f t="shared" si="1"/>
        <v>0</v>
      </c>
      <c r="I25" s="2349">
        <f t="shared" si="2"/>
        <v>0.47500000000000003</v>
      </c>
      <c r="J25" s="708">
        <v>0</v>
      </c>
      <c r="K25" s="708">
        <v>2</v>
      </c>
      <c r="L25" s="708">
        <v>1</v>
      </c>
      <c r="M25" s="708">
        <v>0.2</v>
      </c>
      <c r="N25" s="708"/>
      <c r="O25" s="708"/>
      <c r="P25" s="708"/>
      <c r="Q25" s="708"/>
      <c r="R25" s="708"/>
      <c r="S25" s="708"/>
      <c r="T25" s="708"/>
      <c r="U25" s="708"/>
      <c r="V25" s="708"/>
      <c r="X25" s="88">
        <v>6</v>
      </c>
      <c r="Y25" s="88">
        <v>9.4</v>
      </c>
      <c r="Z25" s="88">
        <v>6</v>
      </c>
      <c r="AA25" s="88">
        <v>8.6999999999999993</v>
      </c>
      <c r="AB25" s="88">
        <v>5.7</v>
      </c>
      <c r="AC25" s="88">
        <v>7</v>
      </c>
    </row>
    <row r="26" spans="1:32" ht="12.2" customHeight="1">
      <c r="A26" s="710"/>
      <c r="B26" s="711"/>
      <c r="C26" s="709" t="str">
        <f>Texte!A4075</f>
        <v>Kotarme Gülle und Stapelmist</v>
      </c>
      <c r="D26" s="2348">
        <v>1.6</v>
      </c>
      <c r="E26" s="2349">
        <v>2.5</v>
      </c>
      <c r="F26" s="2349">
        <v>2.8</v>
      </c>
      <c r="G26" s="2349">
        <f t="shared" si="0"/>
        <v>0.13333333333333333</v>
      </c>
      <c r="H26" s="2349">
        <f t="shared" si="1"/>
        <v>0.20833333333333334</v>
      </c>
      <c r="I26" s="2349">
        <f t="shared" si="2"/>
        <v>0.23333333333333331</v>
      </c>
      <c r="J26" s="708">
        <v>4</v>
      </c>
      <c r="K26" s="708">
        <v>3</v>
      </c>
      <c r="L26" s="708">
        <v>1</v>
      </c>
      <c r="M26" s="708">
        <v>0.2</v>
      </c>
      <c r="N26" s="708"/>
      <c r="O26" s="708"/>
      <c r="P26" s="708"/>
      <c r="Q26" s="708"/>
      <c r="R26" s="708"/>
      <c r="S26" s="708"/>
      <c r="T26" s="708"/>
      <c r="U26" s="708"/>
      <c r="V26" s="708"/>
      <c r="X26" s="88">
        <v>4.5</v>
      </c>
      <c r="Y26" s="88">
        <v>14.3</v>
      </c>
      <c r="Z26" s="88">
        <v>4</v>
      </c>
      <c r="AA26" s="88">
        <v>12.8</v>
      </c>
      <c r="AB26" s="88">
        <v>3.3</v>
      </c>
      <c r="AC26" s="88">
        <v>11.3</v>
      </c>
    </row>
    <row r="27" spans="1:32" ht="12.2" customHeight="1">
      <c r="A27" s="710"/>
      <c r="B27" s="711"/>
      <c r="C27" s="709" t="str">
        <f>Texte!A4076</f>
        <v>Laufstallmist und viel Gülle (10-40% eingestreut)</v>
      </c>
      <c r="D27" s="2348">
        <v>2.5</v>
      </c>
      <c r="E27" s="2349">
        <v>1.38</v>
      </c>
      <c r="F27" s="2349">
        <v>4.28</v>
      </c>
      <c r="G27" s="2349">
        <f t="shared" si="0"/>
        <v>0.20833333333333334</v>
      </c>
      <c r="H27" s="2349">
        <f t="shared" si="1"/>
        <v>0.11499999999999999</v>
      </c>
      <c r="I27" s="2349">
        <f t="shared" si="2"/>
        <v>0.35666666666666669</v>
      </c>
      <c r="J27" s="708">
        <v>5</v>
      </c>
      <c r="K27" s="708">
        <v>2</v>
      </c>
      <c r="L27" s="708">
        <v>1</v>
      </c>
      <c r="M27" s="708">
        <v>0.2</v>
      </c>
      <c r="N27" s="708"/>
      <c r="O27" s="708"/>
      <c r="P27" s="708"/>
      <c r="Q27" s="708"/>
      <c r="R27" s="708"/>
      <c r="S27" s="708"/>
      <c r="T27" s="708"/>
      <c r="U27" s="708"/>
      <c r="V27" s="708"/>
      <c r="X27" s="88">
        <v>9</v>
      </c>
      <c r="Y27" s="88">
        <v>9.5</v>
      </c>
      <c r="Z27" s="88">
        <v>8</v>
      </c>
      <c r="AA27" s="88">
        <v>8.5</v>
      </c>
      <c r="AB27" s="88">
        <v>6.5</v>
      </c>
      <c r="AC27" s="88">
        <v>7.5</v>
      </c>
    </row>
    <row r="28" spans="1:32" ht="12.2" customHeight="1">
      <c r="A28" s="710"/>
      <c r="B28" s="711"/>
      <c r="C28" s="709" t="str">
        <f>Texte!A4077</f>
        <v>Laufstallmist und Gülle (40-60% eingestreut)</v>
      </c>
      <c r="D28" s="2348">
        <v>5</v>
      </c>
      <c r="E28" s="2349">
        <v>2.75</v>
      </c>
      <c r="F28" s="2349">
        <v>2.85</v>
      </c>
      <c r="G28" s="2349">
        <f t="shared" si="0"/>
        <v>0.41666666666666669</v>
      </c>
      <c r="H28" s="2349">
        <f t="shared" si="1"/>
        <v>0.22916666666666666</v>
      </c>
      <c r="I28" s="2349">
        <f t="shared" si="2"/>
        <v>0.23750000000000002</v>
      </c>
      <c r="J28" s="708">
        <v>5</v>
      </c>
      <c r="K28" s="708">
        <v>2</v>
      </c>
      <c r="L28" s="708">
        <v>1</v>
      </c>
      <c r="M28" s="708">
        <v>0.2</v>
      </c>
      <c r="N28" s="708"/>
      <c r="O28" s="708"/>
      <c r="P28" s="708"/>
      <c r="Q28" s="708"/>
      <c r="R28" s="708"/>
      <c r="S28" s="708"/>
      <c r="T28" s="708"/>
      <c r="U28" s="708"/>
      <c r="V28" s="708"/>
      <c r="X28" s="88">
        <v>13.5</v>
      </c>
      <c r="Y28" s="88">
        <v>4.8</v>
      </c>
      <c r="Z28" s="88">
        <v>12</v>
      </c>
      <c r="AA28" s="88">
        <v>4.3</v>
      </c>
      <c r="AB28" s="88">
        <v>9.8000000000000007</v>
      </c>
      <c r="AC28" s="88">
        <v>3.8</v>
      </c>
    </row>
    <row r="29" spans="1:32" ht="12.2" customHeight="1">
      <c r="A29" s="710"/>
      <c r="B29" s="711"/>
      <c r="C29" s="709" t="str">
        <f>Texte!A4078</f>
        <v>Laufstallmist und wenig Gülle (60-90% eingestreut)</v>
      </c>
      <c r="D29" s="2348">
        <v>7.5</v>
      </c>
      <c r="E29" s="2349">
        <v>4.13</v>
      </c>
      <c r="F29" s="2349">
        <v>1.43</v>
      </c>
      <c r="G29" s="2349">
        <f t="shared" si="0"/>
        <v>0.625</v>
      </c>
      <c r="H29" s="2349">
        <f t="shared" si="1"/>
        <v>0.34416666666666668</v>
      </c>
      <c r="I29" s="2349">
        <f t="shared" si="2"/>
        <v>0.11916666666666666</v>
      </c>
      <c r="J29" s="708">
        <v>5</v>
      </c>
      <c r="K29" s="708">
        <v>2</v>
      </c>
      <c r="L29" s="708">
        <v>1</v>
      </c>
      <c r="M29" s="708">
        <v>0.2</v>
      </c>
      <c r="N29" s="708"/>
      <c r="O29" s="708"/>
      <c r="P29" s="708"/>
      <c r="Q29" s="708"/>
      <c r="R29" s="708"/>
      <c r="S29" s="708"/>
      <c r="T29" s="708"/>
      <c r="U29" s="708"/>
      <c r="V29" s="708"/>
      <c r="X29" s="88">
        <v>18</v>
      </c>
      <c r="Y29" s="88">
        <v>0</v>
      </c>
      <c r="Z29" s="88">
        <v>16</v>
      </c>
      <c r="AA29" s="88">
        <v>0</v>
      </c>
      <c r="AB29" s="88">
        <v>13</v>
      </c>
      <c r="AC29" s="88">
        <v>0</v>
      </c>
    </row>
    <row r="30" spans="1:32" ht="12.2" customHeight="1">
      <c r="A30" s="710"/>
      <c r="B30" s="711"/>
      <c r="C30" s="709" t="str">
        <f>Texte!A4079</f>
        <v>Nur Laufstallmist</v>
      </c>
      <c r="D30" s="2348">
        <v>10</v>
      </c>
      <c r="E30" s="2349">
        <v>5.5</v>
      </c>
      <c r="F30" s="2349">
        <v>0</v>
      </c>
      <c r="G30" s="2349">
        <f t="shared" si="0"/>
        <v>0.83333333333333337</v>
      </c>
      <c r="H30" s="2349">
        <f t="shared" si="1"/>
        <v>0.45833333333333331</v>
      </c>
      <c r="I30" s="2349">
        <f t="shared" si="2"/>
        <v>0</v>
      </c>
      <c r="J30" s="708">
        <v>5</v>
      </c>
      <c r="K30" s="708">
        <v>0</v>
      </c>
      <c r="L30" s="708">
        <v>1</v>
      </c>
      <c r="M30" s="708">
        <v>0.2</v>
      </c>
      <c r="N30" s="708"/>
      <c r="O30" s="708"/>
      <c r="P30" s="708"/>
      <c r="Q30" s="708"/>
      <c r="R30" s="708"/>
      <c r="S30" s="708"/>
      <c r="T30" s="708"/>
      <c r="U30" s="708"/>
      <c r="V30" s="708"/>
      <c r="X30" s="88">
        <f>Tierb!K_MKK</f>
        <v>1</v>
      </c>
    </row>
    <row r="31" spans="1:32" ht="12.2" customHeight="1">
      <c r="A31" s="710" t="e">
        <f>C31:F37</f>
        <v>#VALUE!</v>
      </c>
      <c r="B31" s="711">
        <f>B24+4</f>
        <v>116</v>
      </c>
      <c r="C31" s="709"/>
      <c r="D31" s="2348"/>
      <c r="E31" s="2349"/>
      <c r="F31" s="2349"/>
      <c r="G31" s="2349"/>
      <c r="H31" s="2349"/>
      <c r="I31" s="2349"/>
      <c r="J31" s="708"/>
      <c r="K31" s="708"/>
      <c r="L31" s="708"/>
      <c r="M31" s="708"/>
      <c r="N31" s="708"/>
      <c r="O31" s="708"/>
      <c r="P31" s="708"/>
      <c r="Q31" s="708"/>
      <c r="R31" s="708"/>
      <c r="S31" s="708"/>
      <c r="T31" s="708"/>
      <c r="U31" s="708"/>
      <c r="V31" s="708"/>
      <c r="X31" s="88">
        <f>D_Klick!G84</f>
        <v>3</v>
      </c>
      <c r="Y31" s="88" t="str">
        <f>D_Klick!F84</f>
        <v>über 250 kg SG</v>
      </c>
      <c r="AA31" s="88">
        <f>D_Klick!G83</f>
        <v>2</v>
      </c>
      <c r="AB31" s="88" t="str">
        <f>D_Klick!F83</f>
        <v>200-250 kg SG</v>
      </c>
      <c r="AC31" s="88"/>
      <c r="AD31" s="88">
        <f>D_Klick!G82</f>
        <v>1</v>
      </c>
      <c r="AE31" s="88" t="str">
        <f>D_Klick!F82</f>
        <v>bis 200 kg SG</v>
      </c>
      <c r="AF31" s="88"/>
    </row>
    <row r="32" spans="1:32" ht="12.2" customHeight="1">
      <c r="A32" s="710"/>
      <c r="B32" s="711"/>
      <c r="C32" s="709" t="str">
        <f>Texte!A4081</f>
        <v>Nur Gülle</v>
      </c>
      <c r="D32" s="2348">
        <v>0</v>
      </c>
      <c r="E32" s="2349">
        <v>0</v>
      </c>
      <c r="F32" s="2349">
        <v>8</v>
      </c>
      <c r="G32" s="2349">
        <f t="shared" si="0"/>
        <v>0</v>
      </c>
      <c r="H32" s="2349">
        <f t="shared" si="1"/>
        <v>0</v>
      </c>
      <c r="I32" s="2349">
        <f t="shared" si="2"/>
        <v>0.66666666666666663</v>
      </c>
      <c r="J32" s="708">
        <v>0</v>
      </c>
      <c r="K32" s="708">
        <v>2</v>
      </c>
      <c r="L32" s="708">
        <v>1</v>
      </c>
      <c r="M32" s="708">
        <v>0.2</v>
      </c>
      <c r="N32" s="708"/>
      <c r="O32" s="708"/>
      <c r="P32" s="708"/>
      <c r="Q32" s="708"/>
      <c r="R32" s="708"/>
      <c r="S32" s="708"/>
      <c r="T32" s="708"/>
      <c r="U32" s="708"/>
      <c r="V32" s="708"/>
      <c r="X32" s="2166">
        <v>33</v>
      </c>
      <c r="Y32" s="2166">
        <v>3.3</v>
      </c>
      <c r="Z32" s="2166">
        <v>0.33</v>
      </c>
      <c r="AA32" s="2166">
        <v>22</v>
      </c>
      <c r="AB32" s="2166">
        <v>2.2000000000000002</v>
      </c>
      <c r="AC32" s="2166">
        <v>0.22</v>
      </c>
      <c r="AD32" s="2166">
        <v>11</v>
      </c>
      <c r="AE32" s="2166">
        <v>1.1000000000000001</v>
      </c>
      <c r="AF32" s="2166">
        <v>0.11</v>
      </c>
    </row>
    <row r="33" spans="1:32" ht="12.2" customHeight="1">
      <c r="A33" s="710"/>
      <c r="B33" s="711"/>
      <c r="C33" s="709" t="str">
        <f>Texte!A4082</f>
        <v>Kotarme Gülle und Stapelmist</v>
      </c>
      <c r="D33" s="2348">
        <v>2.5</v>
      </c>
      <c r="E33" s="2349">
        <v>3</v>
      </c>
      <c r="F33" s="2349">
        <v>4</v>
      </c>
      <c r="G33" s="2349">
        <f t="shared" si="0"/>
        <v>0.20833333333333334</v>
      </c>
      <c r="H33" s="2349">
        <f t="shared" si="1"/>
        <v>0.25</v>
      </c>
      <c r="I33" s="2349">
        <f t="shared" si="2"/>
        <v>0.33333333333333331</v>
      </c>
      <c r="J33" s="708">
        <v>4</v>
      </c>
      <c r="K33" s="708">
        <v>3</v>
      </c>
      <c r="L33" s="708">
        <v>1</v>
      </c>
      <c r="M33" s="708">
        <v>0.2</v>
      </c>
      <c r="N33" s="708"/>
      <c r="O33" s="708"/>
      <c r="P33" s="708"/>
      <c r="Q33" s="708"/>
      <c r="R33" s="708"/>
      <c r="S33" s="708"/>
      <c r="T33" s="708"/>
      <c r="U33" s="708"/>
      <c r="V33" s="708"/>
      <c r="X33" s="2166">
        <v>44</v>
      </c>
      <c r="Y33" s="2166">
        <v>4.4000000000000004</v>
      </c>
      <c r="Z33" s="2166">
        <v>0.44</v>
      </c>
      <c r="AA33" s="2166">
        <v>22</v>
      </c>
      <c r="AB33" s="2166">
        <v>2.2000000000000002</v>
      </c>
      <c r="AC33" s="2166">
        <v>0.22</v>
      </c>
      <c r="AD33" s="2166">
        <v>11</v>
      </c>
      <c r="AE33" s="2166">
        <v>1.1000000000000001</v>
      </c>
      <c r="AF33" s="2166">
        <v>0.11</v>
      </c>
    </row>
    <row r="34" spans="1:32" ht="12.2" customHeight="1">
      <c r="A34" s="710"/>
      <c r="B34" s="711"/>
      <c r="C34" s="709" t="str">
        <f>Texte!A4083</f>
        <v>Laufstallmist und viel Gülle (10-40% eingestreut)</v>
      </c>
      <c r="D34" s="2348">
        <v>3</v>
      </c>
      <c r="E34" s="2349">
        <v>1.9</v>
      </c>
      <c r="F34" s="2349">
        <v>6</v>
      </c>
      <c r="G34" s="2349">
        <f t="shared" si="0"/>
        <v>0.25</v>
      </c>
      <c r="H34" s="2349">
        <f t="shared" si="1"/>
        <v>0.15833333333333333</v>
      </c>
      <c r="I34" s="2349">
        <f t="shared" si="2"/>
        <v>0.5</v>
      </c>
      <c r="J34" s="708">
        <v>5</v>
      </c>
      <c r="K34" s="708">
        <v>2</v>
      </c>
      <c r="L34" s="708">
        <v>1</v>
      </c>
      <c r="M34" s="708">
        <v>0.2</v>
      </c>
      <c r="N34" s="708"/>
      <c r="O34" s="708"/>
      <c r="P34" s="708"/>
      <c r="Q34" s="708"/>
      <c r="R34" s="708"/>
      <c r="S34" s="708"/>
      <c r="T34" s="708"/>
      <c r="U34" s="708"/>
      <c r="V34" s="708"/>
      <c r="X34" s="2166">
        <v>55</v>
      </c>
      <c r="Y34" s="2166">
        <v>5.5</v>
      </c>
      <c r="Z34" s="2166">
        <v>0.55000000000000004</v>
      </c>
      <c r="AA34" s="2166">
        <v>22</v>
      </c>
      <c r="AB34" s="2166">
        <v>2.2000000000000002</v>
      </c>
      <c r="AC34" s="2166">
        <v>0.22</v>
      </c>
      <c r="AD34" s="2166">
        <v>11</v>
      </c>
      <c r="AE34" s="2166">
        <v>1.1000000000000001</v>
      </c>
      <c r="AF34" s="2166">
        <v>0.11</v>
      </c>
    </row>
    <row r="35" spans="1:32" ht="12.2" customHeight="1">
      <c r="A35" s="710"/>
      <c r="B35" s="711"/>
      <c r="C35" s="709" t="str">
        <f>Texte!A4084</f>
        <v>Laufstallmist und Gülle (40-60% eingestreut)</v>
      </c>
      <c r="D35" s="2348">
        <v>6</v>
      </c>
      <c r="E35" s="2349">
        <v>3.8</v>
      </c>
      <c r="F35" s="2349">
        <v>4</v>
      </c>
      <c r="G35" s="2349">
        <f t="shared" si="0"/>
        <v>0.5</v>
      </c>
      <c r="H35" s="2349">
        <f t="shared" si="1"/>
        <v>0.31666666666666665</v>
      </c>
      <c r="I35" s="2349">
        <f t="shared" si="2"/>
        <v>0.33333333333333331</v>
      </c>
      <c r="J35" s="708">
        <v>5</v>
      </c>
      <c r="K35" s="708">
        <v>2</v>
      </c>
      <c r="L35" s="708">
        <v>1</v>
      </c>
      <c r="M35" s="708">
        <v>0.2</v>
      </c>
      <c r="N35" s="708"/>
      <c r="O35" s="708"/>
      <c r="P35" s="708"/>
      <c r="Q35" s="708"/>
      <c r="R35" s="708"/>
      <c r="S35" s="708"/>
      <c r="T35" s="708"/>
      <c r="U35" s="708"/>
      <c r="V35" s="708"/>
      <c r="X35" s="2166">
        <v>66</v>
      </c>
      <c r="Y35" s="2166">
        <v>6.6</v>
      </c>
      <c r="Z35" s="2166">
        <v>0.66</v>
      </c>
      <c r="AA35" s="2166">
        <v>22</v>
      </c>
      <c r="AB35" s="2166">
        <v>2.2000000000000002</v>
      </c>
      <c r="AC35" s="2166">
        <v>0.22</v>
      </c>
      <c r="AD35" s="2166">
        <v>11</v>
      </c>
      <c r="AE35" s="2166">
        <v>1.1000000000000001</v>
      </c>
      <c r="AF35" s="2166">
        <v>0.11</v>
      </c>
    </row>
    <row r="36" spans="1:32" ht="12.2" customHeight="1">
      <c r="A36" s="710"/>
      <c r="B36" s="711"/>
      <c r="C36" s="709" t="str">
        <f>Texte!A4085</f>
        <v>Laufstallmist und wenig Gülle (60-90% eingestreut)</v>
      </c>
      <c r="D36" s="2348">
        <v>9</v>
      </c>
      <c r="E36" s="2349">
        <v>5.7</v>
      </c>
      <c r="F36" s="2349">
        <v>2</v>
      </c>
      <c r="G36" s="2349">
        <f t="shared" si="0"/>
        <v>0.75</v>
      </c>
      <c r="H36" s="2349">
        <f t="shared" si="1"/>
        <v>0.47500000000000003</v>
      </c>
      <c r="I36" s="2349">
        <f t="shared" si="2"/>
        <v>0.16666666666666666</v>
      </c>
      <c r="J36" s="708">
        <v>5</v>
      </c>
      <c r="K36" s="708">
        <v>2</v>
      </c>
      <c r="L36" s="708">
        <v>1</v>
      </c>
      <c r="M36" s="708">
        <v>0.2</v>
      </c>
      <c r="N36" s="708"/>
      <c r="O36" s="708"/>
      <c r="P36" s="708"/>
      <c r="Q36" s="708"/>
      <c r="R36" s="708"/>
      <c r="S36" s="708"/>
      <c r="T36" s="708"/>
      <c r="U36" s="708"/>
      <c r="V36" s="708"/>
      <c r="X36" s="2166">
        <v>3</v>
      </c>
      <c r="Y36" s="2166">
        <v>1.5</v>
      </c>
      <c r="Z36" s="2166">
        <v>0</v>
      </c>
      <c r="AA36" s="2166">
        <v>2</v>
      </c>
      <c r="AB36" s="2166">
        <v>1</v>
      </c>
      <c r="AC36" s="2166">
        <v>0</v>
      </c>
      <c r="AD36" s="2166">
        <v>1</v>
      </c>
      <c r="AE36" s="2166">
        <v>0.5</v>
      </c>
      <c r="AF36" s="2166">
        <v>0</v>
      </c>
    </row>
    <row r="37" spans="1:32" ht="12.2" customHeight="1">
      <c r="A37" s="710"/>
      <c r="B37" s="711"/>
      <c r="C37" s="709" t="str">
        <f>Texte!A4086</f>
        <v>Nur Laufstallmist</v>
      </c>
      <c r="D37" s="2348">
        <v>12</v>
      </c>
      <c r="E37" s="2349">
        <v>7.6</v>
      </c>
      <c r="F37" s="2349">
        <v>0</v>
      </c>
      <c r="G37" s="2349">
        <f t="shared" si="0"/>
        <v>1</v>
      </c>
      <c r="H37" s="2349">
        <f t="shared" si="1"/>
        <v>0.6333333333333333</v>
      </c>
      <c r="I37" s="2349">
        <f t="shared" si="2"/>
        <v>0</v>
      </c>
      <c r="J37" s="708">
        <v>5</v>
      </c>
      <c r="K37" s="708">
        <v>0</v>
      </c>
      <c r="L37" s="708">
        <v>1</v>
      </c>
      <c r="M37" s="708">
        <v>0.2</v>
      </c>
      <c r="N37" s="708"/>
      <c r="O37" s="708"/>
      <c r="P37" s="708"/>
      <c r="Q37" s="708"/>
      <c r="R37" s="708"/>
      <c r="S37" s="708"/>
      <c r="T37" s="708"/>
      <c r="U37" s="708"/>
      <c r="V37" s="708"/>
      <c r="X37" s="88" t="str">
        <f>D2</f>
        <v>Stroh / Jahr</v>
      </c>
      <c r="Y37" s="88" t="str">
        <f>E2</f>
        <v>Mist / Jahr</v>
      </c>
      <c r="Z37" s="88" t="str">
        <f>F2</f>
        <v>Gülle / Jahr</v>
      </c>
      <c r="AA37" s="88" t="str">
        <f>D2</f>
        <v>Stroh / Jahr</v>
      </c>
      <c r="AB37" s="88" t="str">
        <f>E2</f>
        <v>Mist / Jahr</v>
      </c>
      <c r="AC37" s="88" t="str">
        <f>F2</f>
        <v>Gülle / Jahr</v>
      </c>
      <c r="AD37" s="88" t="str">
        <f>X37</f>
        <v>Stroh / Jahr</v>
      </c>
      <c r="AE37" s="88" t="str">
        <f>Y37</f>
        <v>Mist / Jahr</v>
      </c>
      <c r="AF37" s="88" t="str">
        <f>Z37</f>
        <v>Gülle / Jahr</v>
      </c>
    </row>
    <row r="38" spans="1:32" ht="12.2" customHeight="1">
      <c r="A38" s="710" t="e">
        <f>C38:F44</f>
        <v>#VALUE!</v>
      </c>
      <c r="B38" s="711">
        <f>B31+4</f>
        <v>120</v>
      </c>
      <c r="C38" s="709"/>
      <c r="D38" s="2348"/>
      <c r="E38" s="2349"/>
      <c r="F38" s="2349"/>
      <c r="G38" s="2349"/>
      <c r="H38" s="2349"/>
      <c r="I38" s="2349"/>
      <c r="J38" s="708"/>
      <c r="K38" s="708"/>
      <c r="L38" s="708"/>
      <c r="M38" s="708"/>
      <c r="N38" s="708"/>
      <c r="O38" s="708"/>
      <c r="P38" s="708"/>
      <c r="Q38" s="708"/>
      <c r="R38" s="708"/>
      <c r="S38" s="708"/>
      <c r="T38" s="708"/>
      <c r="U38" s="708"/>
      <c r="V38" s="708"/>
      <c r="X38" s="2242" t="s">
        <v>7787</v>
      </c>
    </row>
    <row r="39" spans="1:32" ht="12.2" customHeight="1">
      <c r="A39" s="710"/>
      <c r="B39" s="711"/>
      <c r="C39" s="709" t="str">
        <f>Texte!A4088</f>
        <v>Nur Gülle</v>
      </c>
      <c r="D39" s="2348">
        <v>0</v>
      </c>
      <c r="E39" s="2349">
        <v>0</v>
      </c>
      <c r="F39" s="2349">
        <v>12</v>
      </c>
      <c r="G39" s="2349">
        <f t="shared" si="0"/>
        <v>0</v>
      </c>
      <c r="H39" s="2349">
        <f t="shared" si="1"/>
        <v>0</v>
      </c>
      <c r="I39" s="2349">
        <f t="shared" si="2"/>
        <v>1</v>
      </c>
      <c r="J39" s="708">
        <v>0</v>
      </c>
      <c r="K39" s="708">
        <v>2</v>
      </c>
      <c r="L39" s="708">
        <v>1</v>
      </c>
      <c r="M39" s="708">
        <v>0.2</v>
      </c>
      <c r="N39" s="708"/>
      <c r="O39" s="708"/>
      <c r="P39" s="708"/>
      <c r="Q39" s="708"/>
      <c r="R39" s="708"/>
      <c r="S39" s="708"/>
      <c r="T39" s="708"/>
      <c r="U39" s="708"/>
      <c r="V39" s="708"/>
    </row>
    <row r="40" spans="1:32" ht="12.2" customHeight="1">
      <c r="A40" s="710"/>
      <c r="B40" s="711"/>
      <c r="C40" s="709" t="str">
        <f>Texte!A4089</f>
        <v>Kotarme Gülle und Stapelmist</v>
      </c>
      <c r="D40" s="2348">
        <v>3.5</v>
      </c>
      <c r="E40" s="2349">
        <v>4</v>
      </c>
      <c r="F40" s="2349">
        <v>5.4</v>
      </c>
      <c r="G40" s="2349">
        <f t="shared" si="0"/>
        <v>0.29166666666666669</v>
      </c>
      <c r="H40" s="2349">
        <f t="shared" si="1"/>
        <v>0.33333333333333331</v>
      </c>
      <c r="I40" s="2349">
        <f t="shared" si="2"/>
        <v>0.45</v>
      </c>
      <c r="J40" s="708">
        <v>4</v>
      </c>
      <c r="K40" s="708">
        <v>3</v>
      </c>
      <c r="L40" s="708">
        <v>1</v>
      </c>
      <c r="M40" s="708">
        <v>0.2</v>
      </c>
      <c r="N40" s="708"/>
      <c r="O40" s="708"/>
      <c r="P40" s="708"/>
      <c r="Q40" s="708"/>
      <c r="R40" s="708"/>
      <c r="S40" s="708"/>
      <c r="T40" s="708"/>
      <c r="U40" s="708"/>
      <c r="V40" s="708"/>
    </row>
    <row r="41" spans="1:32" ht="12.2" customHeight="1">
      <c r="A41" s="710"/>
      <c r="B41" s="711"/>
      <c r="C41" s="709" t="str">
        <f>Texte!A4090</f>
        <v>Laufstallmist und viel Gülle (10-40% eingestreut)</v>
      </c>
      <c r="D41" s="2348">
        <v>4</v>
      </c>
      <c r="E41" s="2349">
        <v>2.5</v>
      </c>
      <c r="F41" s="2349">
        <v>9</v>
      </c>
      <c r="G41" s="2349">
        <f t="shared" si="0"/>
        <v>0.33333333333333331</v>
      </c>
      <c r="H41" s="2349">
        <f t="shared" si="1"/>
        <v>0.20833333333333334</v>
      </c>
      <c r="I41" s="2349">
        <f t="shared" si="2"/>
        <v>0.75</v>
      </c>
      <c r="J41" s="708">
        <v>5</v>
      </c>
      <c r="K41" s="708">
        <v>2</v>
      </c>
      <c r="L41" s="708">
        <v>1</v>
      </c>
      <c r="M41" s="708">
        <v>0.2</v>
      </c>
      <c r="N41" s="708"/>
      <c r="O41" s="708"/>
      <c r="P41" s="708"/>
      <c r="Q41" s="708"/>
      <c r="R41" s="708"/>
      <c r="S41" s="708"/>
      <c r="T41" s="708"/>
      <c r="U41" s="708"/>
      <c r="V41" s="708"/>
    </row>
    <row r="42" spans="1:32" ht="12.2" customHeight="1">
      <c r="A42" s="710"/>
      <c r="B42" s="711"/>
      <c r="C42" s="709" t="str">
        <f>Texte!A4091</f>
        <v>Laufstallmist und Gülle (40-60% eingestreut)</v>
      </c>
      <c r="D42" s="2348">
        <v>8</v>
      </c>
      <c r="E42" s="2349">
        <v>5</v>
      </c>
      <c r="F42" s="2349">
        <v>6</v>
      </c>
      <c r="G42" s="2349">
        <f t="shared" si="0"/>
        <v>0.66666666666666663</v>
      </c>
      <c r="H42" s="2349">
        <f t="shared" si="1"/>
        <v>0.41666666666666669</v>
      </c>
      <c r="I42" s="2349">
        <f t="shared" si="2"/>
        <v>0.5</v>
      </c>
      <c r="J42" s="708">
        <v>5</v>
      </c>
      <c r="K42" s="708">
        <v>2</v>
      </c>
      <c r="L42" s="708">
        <v>1</v>
      </c>
      <c r="M42" s="708">
        <v>0.2</v>
      </c>
      <c r="N42" s="708"/>
      <c r="O42" s="708"/>
      <c r="P42" s="708"/>
      <c r="Q42" s="708"/>
      <c r="R42" s="708"/>
      <c r="S42" s="708"/>
      <c r="T42" s="708"/>
      <c r="U42" s="708"/>
      <c r="V42" s="708"/>
    </row>
    <row r="43" spans="1:32" ht="12.2" customHeight="1">
      <c r="A43" s="710"/>
      <c r="B43" s="711"/>
      <c r="C43" s="709" t="str">
        <f>Texte!A4092</f>
        <v>Laufstallmist und wenig Gülle (60-90% eingestreut)</v>
      </c>
      <c r="D43" s="2348">
        <v>12</v>
      </c>
      <c r="E43" s="2349">
        <v>7.5</v>
      </c>
      <c r="F43" s="2349">
        <v>3</v>
      </c>
      <c r="G43" s="2349">
        <f t="shared" si="0"/>
        <v>1</v>
      </c>
      <c r="H43" s="2349">
        <f t="shared" si="1"/>
        <v>0.625</v>
      </c>
      <c r="I43" s="2349">
        <f t="shared" si="2"/>
        <v>0.25</v>
      </c>
      <c r="J43" s="708">
        <v>5</v>
      </c>
      <c r="K43" s="708">
        <v>2</v>
      </c>
      <c r="L43" s="708">
        <v>1</v>
      </c>
      <c r="M43" s="708">
        <v>0.2</v>
      </c>
      <c r="N43" s="708"/>
      <c r="O43" s="708"/>
      <c r="P43" s="708"/>
      <c r="Q43" s="708"/>
      <c r="R43" s="708"/>
      <c r="S43" s="708"/>
      <c r="T43" s="708"/>
      <c r="U43" s="708"/>
      <c r="V43" s="708"/>
    </row>
    <row r="44" spans="1:32" ht="12.2" customHeight="1">
      <c r="A44" s="710"/>
      <c r="B44" s="711"/>
      <c r="C44" s="709" t="str">
        <f>Texte!A4093</f>
        <v>Nur Laufstallmist</v>
      </c>
      <c r="D44" s="2348">
        <v>16</v>
      </c>
      <c r="E44" s="2349">
        <v>10</v>
      </c>
      <c r="F44" s="2349">
        <v>0</v>
      </c>
      <c r="G44" s="2349">
        <f t="shared" si="0"/>
        <v>1.3333333333333333</v>
      </c>
      <c r="H44" s="2349">
        <f t="shared" si="1"/>
        <v>0.83333333333333337</v>
      </c>
      <c r="I44" s="2349">
        <f t="shared" si="2"/>
        <v>0</v>
      </c>
      <c r="J44" s="708">
        <v>5</v>
      </c>
      <c r="K44" s="708">
        <v>0</v>
      </c>
      <c r="L44" s="708">
        <v>1</v>
      </c>
      <c r="M44" s="708">
        <v>0.2</v>
      </c>
      <c r="N44" s="708"/>
      <c r="O44" s="708"/>
      <c r="P44" s="708"/>
      <c r="Q44" s="708"/>
      <c r="R44" s="708"/>
      <c r="S44" s="708"/>
      <c r="T44" s="708"/>
      <c r="U44" s="708"/>
      <c r="V44" s="708"/>
    </row>
    <row r="45" spans="1:32" ht="12.2" customHeight="1">
      <c r="A45" s="710" t="e">
        <f>C45:F51</f>
        <v>#VALUE!</v>
      </c>
      <c r="B45" s="711">
        <f>B38+4</f>
        <v>124</v>
      </c>
      <c r="C45" s="709"/>
      <c r="D45" s="2348"/>
      <c r="E45" s="2349"/>
      <c r="F45" s="2349"/>
      <c r="G45" s="2349"/>
      <c r="H45" s="2349"/>
      <c r="I45" s="2349"/>
      <c r="J45" s="708"/>
      <c r="K45" s="708"/>
      <c r="L45" s="708"/>
      <c r="M45" s="708"/>
      <c r="N45" s="708"/>
      <c r="O45" s="708"/>
      <c r="P45" s="708"/>
      <c r="Q45" s="708"/>
      <c r="R45" s="708"/>
      <c r="S45" s="708"/>
      <c r="T45" s="708"/>
      <c r="U45" s="708"/>
      <c r="V45" s="708"/>
    </row>
    <row r="46" spans="1:32" ht="12.2" customHeight="1">
      <c r="A46" s="710"/>
      <c r="B46" s="711"/>
      <c r="C46" s="709" t="str">
        <f>Texte!A4095</f>
        <v>Nur Gülle</v>
      </c>
      <c r="D46" s="2348">
        <v>0</v>
      </c>
      <c r="E46" s="2349">
        <v>0</v>
      </c>
      <c r="F46" s="2349">
        <v>8</v>
      </c>
      <c r="G46" s="2349">
        <f t="shared" si="0"/>
        <v>0</v>
      </c>
      <c r="H46" s="2349">
        <f t="shared" si="1"/>
        <v>0</v>
      </c>
      <c r="I46" s="2349">
        <f t="shared" si="2"/>
        <v>0.66666666666666663</v>
      </c>
      <c r="J46" s="708">
        <v>0</v>
      </c>
      <c r="K46" s="708">
        <v>2</v>
      </c>
      <c r="L46" s="708">
        <v>1</v>
      </c>
      <c r="M46" s="708">
        <v>0.2</v>
      </c>
      <c r="N46" s="708"/>
      <c r="O46" s="708"/>
      <c r="P46" s="708"/>
      <c r="Q46" s="708"/>
      <c r="R46" s="708"/>
      <c r="S46" s="708"/>
      <c r="T46" s="708"/>
      <c r="U46" s="708"/>
      <c r="V46" s="708"/>
    </row>
    <row r="47" spans="1:32" ht="12.2" customHeight="1">
      <c r="A47" s="710"/>
      <c r="B47" s="711"/>
      <c r="C47" s="709" t="str">
        <f>Texte!A4096</f>
        <v>Kotarme Gülle und Stapelmist</v>
      </c>
      <c r="D47" s="2348">
        <v>2.5</v>
      </c>
      <c r="E47" s="2349">
        <v>3</v>
      </c>
      <c r="F47" s="2349">
        <v>4</v>
      </c>
      <c r="G47" s="2349">
        <f t="shared" si="0"/>
        <v>0.20833333333333334</v>
      </c>
      <c r="H47" s="2349">
        <f t="shared" si="1"/>
        <v>0.25</v>
      </c>
      <c r="I47" s="2349">
        <f t="shared" si="2"/>
        <v>0.33333333333333331</v>
      </c>
      <c r="J47" s="708">
        <v>4</v>
      </c>
      <c r="K47" s="708">
        <v>3</v>
      </c>
      <c r="L47" s="708">
        <v>1</v>
      </c>
      <c r="M47" s="708">
        <v>0.2</v>
      </c>
      <c r="N47" s="708"/>
      <c r="O47" s="708"/>
      <c r="P47" s="708"/>
      <c r="Q47" s="708"/>
      <c r="R47" s="708"/>
      <c r="S47" s="708"/>
      <c r="T47" s="708"/>
      <c r="U47" s="708"/>
      <c r="V47" s="708"/>
    </row>
    <row r="48" spans="1:32" ht="12.2" customHeight="1">
      <c r="A48" s="710"/>
      <c r="B48" s="711"/>
      <c r="C48" s="709" t="str">
        <f>Texte!A4097</f>
        <v>Laufstallmist und viel Gülle (10-40% eingestreut)</v>
      </c>
      <c r="D48" s="2348">
        <v>3</v>
      </c>
      <c r="E48" s="2349">
        <v>1.9</v>
      </c>
      <c r="F48" s="2349">
        <v>6</v>
      </c>
      <c r="G48" s="2349">
        <f t="shared" si="0"/>
        <v>0.25</v>
      </c>
      <c r="H48" s="2349">
        <f t="shared" si="1"/>
        <v>0.15833333333333333</v>
      </c>
      <c r="I48" s="2349">
        <f t="shared" si="2"/>
        <v>0.5</v>
      </c>
      <c r="J48" s="708">
        <v>5</v>
      </c>
      <c r="K48" s="708">
        <v>2</v>
      </c>
      <c r="L48" s="708">
        <v>1</v>
      </c>
      <c r="M48" s="708">
        <v>0.2</v>
      </c>
      <c r="N48" s="708"/>
      <c r="O48" s="708"/>
      <c r="P48" s="708"/>
      <c r="Q48" s="708"/>
      <c r="R48" s="708"/>
      <c r="S48" s="708"/>
      <c r="T48" s="708"/>
      <c r="U48" s="708"/>
      <c r="V48" s="708"/>
    </row>
    <row r="49" spans="1:22" ht="12.2" customHeight="1">
      <c r="A49" s="710"/>
      <c r="B49" s="711"/>
      <c r="C49" s="709" t="str">
        <f>Texte!A4098</f>
        <v>Laufstallmist und Gülle (40-60% eingestreut)</v>
      </c>
      <c r="D49" s="2348">
        <v>6</v>
      </c>
      <c r="E49" s="2349">
        <v>3.8</v>
      </c>
      <c r="F49" s="2349">
        <v>4</v>
      </c>
      <c r="G49" s="2349">
        <f t="shared" si="0"/>
        <v>0.5</v>
      </c>
      <c r="H49" s="2349">
        <f t="shared" si="1"/>
        <v>0.31666666666666665</v>
      </c>
      <c r="I49" s="2349">
        <f t="shared" si="2"/>
        <v>0.33333333333333331</v>
      </c>
      <c r="J49" s="708">
        <v>5</v>
      </c>
      <c r="K49" s="708">
        <v>2</v>
      </c>
      <c r="L49" s="708">
        <v>1</v>
      </c>
      <c r="M49" s="708">
        <v>0.2</v>
      </c>
      <c r="N49" s="708"/>
      <c r="O49" s="708"/>
      <c r="P49" s="708"/>
      <c r="Q49" s="708"/>
      <c r="R49" s="708"/>
      <c r="S49" s="708"/>
      <c r="T49" s="708"/>
      <c r="U49" s="708"/>
      <c r="V49" s="708"/>
    </row>
    <row r="50" spans="1:22" ht="12.2" customHeight="1">
      <c r="A50" s="710"/>
      <c r="B50" s="711"/>
      <c r="C50" s="709" t="str">
        <f>Texte!A4099</f>
        <v>Laufstallmist und wenig Gülle (60-90% eingestreut)</v>
      </c>
      <c r="D50" s="2348">
        <v>9</v>
      </c>
      <c r="E50" s="2349">
        <v>5.7</v>
      </c>
      <c r="F50" s="2349">
        <v>2</v>
      </c>
      <c r="G50" s="2349">
        <f t="shared" si="0"/>
        <v>0.75</v>
      </c>
      <c r="H50" s="2349">
        <f t="shared" si="1"/>
        <v>0.47500000000000003</v>
      </c>
      <c r="I50" s="2349">
        <f t="shared" si="2"/>
        <v>0.16666666666666666</v>
      </c>
      <c r="J50" s="708">
        <v>5</v>
      </c>
      <c r="K50" s="708">
        <v>2</v>
      </c>
      <c r="L50" s="708">
        <v>1</v>
      </c>
      <c r="M50" s="708">
        <v>0.2</v>
      </c>
      <c r="N50" s="708"/>
      <c r="O50" s="708"/>
      <c r="P50" s="708"/>
      <c r="Q50" s="708"/>
      <c r="R50" s="708"/>
      <c r="S50" s="708"/>
      <c r="T50" s="708"/>
      <c r="U50" s="708"/>
      <c r="V50" s="708"/>
    </row>
    <row r="51" spans="1:22" ht="12.2" customHeight="1">
      <c r="A51" s="710"/>
      <c r="B51" s="711"/>
      <c r="C51" s="709" t="str">
        <f>Texte!A4100</f>
        <v>Nur Laufstallmist</v>
      </c>
      <c r="D51" s="2348">
        <v>12</v>
      </c>
      <c r="E51" s="2349">
        <v>7.6</v>
      </c>
      <c r="F51" s="2349">
        <v>0</v>
      </c>
      <c r="G51" s="2349">
        <f t="shared" si="0"/>
        <v>1</v>
      </c>
      <c r="H51" s="2349">
        <f t="shared" si="1"/>
        <v>0.6333333333333333</v>
      </c>
      <c r="I51" s="2349">
        <f t="shared" si="2"/>
        <v>0</v>
      </c>
      <c r="J51" s="708">
        <v>5</v>
      </c>
      <c r="K51" s="708">
        <v>0</v>
      </c>
      <c r="L51" s="708">
        <v>1</v>
      </c>
      <c r="M51" s="708">
        <v>0.2</v>
      </c>
      <c r="N51" s="708"/>
      <c r="O51" s="708"/>
      <c r="P51" s="708"/>
      <c r="Q51" s="708"/>
      <c r="R51" s="708"/>
      <c r="S51" s="708"/>
      <c r="T51" s="708"/>
      <c r="U51" s="708"/>
      <c r="V51" s="708"/>
    </row>
    <row r="52" spans="1:22" ht="12.2" customHeight="1">
      <c r="A52" s="710" t="e">
        <f>C52:F59</f>
        <v>#VALUE!</v>
      </c>
      <c r="B52" s="711">
        <f>B45+4</f>
        <v>128</v>
      </c>
      <c r="C52" s="709"/>
      <c r="D52" s="2348"/>
      <c r="E52" s="2349"/>
      <c r="F52" s="2349"/>
      <c r="G52" s="2349"/>
      <c r="H52" s="2349"/>
      <c r="I52" s="2349"/>
      <c r="J52" s="708"/>
      <c r="K52" s="708"/>
      <c r="L52" s="708"/>
      <c r="M52" s="708"/>
      <c r="N52" s="708"/>
      <c r="O52" s="708"/>
      <c r="P52" s="708"/>
      <c r="Q52" s="708"/>
      <c r="R52" s="708"/>
      <c r="S52" s="708"/>
      <c r="T52" s="708"/>
      <c r="U52" s="708"/>
      <c r="V52" s="708"/>
    </row>
    <row r="53" spans="1:22" ht="12.2" customHeight="1">
      <c r="A53" s="710"/>
      <c r="B53" s="711"/>
      <c r="C53" s="709" t="str">
        <f>Texte!A4102</f>
        <v>Freiland</v>
      </c>
      <c r="D53" s="2348">
        <v>0</v>
      </c>
      <c r="E53" s="2349">
        <v>0</v>
      </c>
      <c r="F53" s="2349">
        <v>0</v>
      </c>
      <c r="G53" s="2349">
        <f t="shared" si="0"/>
        <v>0</v>
      </c>
      <c r="H53" s="2349">
        <f t="shared" si="1"/>
        <v>0</v>
      </c>
      <c r="I53" s="2349">
        <f t="shared" si="2"/>
        <v>0</v>
      </c>
      <c r="J53" s="708"/>
      <c r="K53" s="708"/>
      <c r="L53" s="708"/>
      <c r="M53" s="708"/>
      <c r="N53" s="708"/>
      <c r="O53" s="708"/>
      <c r="P53" s="708"/>
      <c r="Q53" s="708"/>
      <c r="R53" s="708"/>
      <c r="S53" s="708"/>
      <c r="T53" s="708"/>
      <c r="U53" s="708"/>
      <c r="V53" s="708"/>
    </row>
    <row r="54" spans="1:22" ht="12.2" customHeight="1">
      <c r="A54" s="710"/>
      <c r="B54" s="711"/>
      <c r="C54" s="709" t="str">
        <f>Texte!A4103</f>
        <v>Nur Gülle</v>
      </c>
      <c r="D54" s="2348">
        <v>0</v>
      </c>
      <c r="E54" s="2349">
        <v>0</v>
      </c>
      <c r="F54" s="2349">
        <v>18.399999999999999</v>
      </c>
      <c r="G54" s="2349">
        <f t="shared" si="0"/>
        <v>0</v>
      </c>
      <c r="H54" s="2349">
        <f t="shared" si="1"/>
        <v>0</v>
      </c>
      <c r="I54" s="2349">
        <f t="shared" si="2"/>
        <v>1.5333333333333332</v>
      </c>
      <c r="J54" s="708">
        <v>0</v>
      </c>
      <c r="K54" s="708">
        <v>2</v>
      </c>
      <c r="L54" s="708">
        <v>1</v>
      </c>
      <c r="M54" s="708">
        <v>0.2</v>
      </c>
      <c r="N54" s="708"/>
      <c r="O54" s="708"/>
      <c r="P54" s="708"/>
      <c r="Q54" s="708"/>
      <c r="R54" s="708"/>
      <c r="S54" s="708"/>
      <c r="T54" s="708"/>
      <c r="U54" s="708"/>
      <c r="V54" s="708"/>
    </row>
    <row r="55" spans="1:22" ht="12.2" customHeight="1">
      <c r="A55" s="710"/>
      <c r="B55" s="711"/>
      <c r="C55" s="709" t="str">
        <f>Texte!A4104</f>
        <v>Kotarme Gülle und Stapelmist</v>
      </c>
      <c r="D55" s="2348">
        <v>5.2</v>
      </c>
      <c r="E55" s="2349">
        <v>7.1</v>
      </c>
      <c r="F55" s="2349">
        <v>8.8000000000000007</v>
      </c>
      <c r="G55" s="2349">
        <f t="shared" si="0"/>
        <v>0.43333333333333335</v>
      </c>
      <c r="H55" s="2349">
        <f t="shared" si="1"/>
        <v>0.59166666666666667</v>
      </c>
      <c r="I55" s="2349">
        <f t="shared" si="2"/>
        <v>0.73333333333333339</v>
      </c>
      <c r="J55" s="708">
        <v>4</v>
      </c>
      <c r="K55" s="708">
        <v>3</v>
      </c>
      <c r="L55" s="708">
        <v>1</v>
      </c>
      <c r="M55" s="708">
        <v>0.2</v>
      </c>
      <c r="N55" s="708"/>
      <c r="O55" s="708"/>
      <c r="P55" s="708"/>
      <c r="Q55" s="708"/>
      <c r="R55" s="708"/>
      <c r="S55" s="708"/>
      <c r="T55" s="708"/>
      <c r="U55" s="708"/>
      <c r="V55" s="708"/>
    </row>
    <row r="56" spans="1:22" ht="12.2" customHeight="1">
      <c r="A56" s="710"/>
      <c r="B56" s="711"/>
      <c r="C56" s="709" t="str">
        <f>Texte!A4105</f>
        <v>Laufstallmist und viel Gülle (10-40% eingestreut)</v>
      </c>
      <c r="D56" s="2348">
        <v>5.75</v>
      </c>
      <c r="E56" s="2349">
        <v>4.2</v>
      </c>
      <c r="F56" s="2349">
        <v>13.8</v>
      </c>
      <c r="G56" s="2349">
        <f t="shared" si="0"/>
        <v>0.47916666666666669</v>
      </c>
      <c r="H56" s="2349">
        <f t="shared" si="1"/>
        <v>0.35000000000000003</v>
      </c>
      <c r="I56" s="2349">
        <f t="shared" si="2"/>
        <v>1.1500000000000001</v>
      </c>
      <c r="J56" s="708">
        <v>5</v>
      </c>
      <c r="K56" s="708">
        <v>2</v>
      </c>
      <c r="L56" s="708">
        <v>1</v>
      </c>
      <c r="M56" s="708">
        <v>0.2</v>
      </c>
      <c r="N56" s="708"/>
      <c r="O56" s="708"/>
      <c r="P56" s="708"/>
      <c r="Q56" s="708"/>
      <c r="R56" s="708"/>
      <c r="S56" s="708"/>
      <c r="T56" s="708"/>
      <c r="U56" s="708"/>
      <c r="V56" s="708"/>
    </row>
    <row r="57" spans="1:22" ht="12.2" customHeight="1">
      <c r="A57" s="710"/>
      <c r="B57" s="711"/>
      <c r="C57" s="709" t="str">
        <f>Texte!A4106</f>
        <v>Laufstallmist und Gülle (40-60% eingestreut)</v>
      </c>
      <c r="D57" s="2348">
        <v>11.5</v>
      </c>
      <c r="E57" s="2349">
        <v>8.4</v>
      </c>
      <c r="F57" s="2349">
        <v>9.1999999999999993</v>
      </c>
      <c r="G57" s="2349">
        <f t="shared" si="0"/>
        <v>0.95833333333333337</v>
      </c>
      <c r="H57" s="2349">
        <f t="shared" si="1"/>
        <v>0.70000000000000007</v>
      </c>
      <c r="I57" s="2349">
        <f t="shared" si="2"/>
        <v>0.76666666666666661</v>
      </c>
      <c r="J57" s="708">
        <v>5</v>
      </c>
      <c r="K57" s="708">
        <v>2</v>
      </c>
      <c r="L57" s="708">
        <v>1</v>
      </c>
      <c r="M57" s="708">
        <v>0.2</v>
      </c>
      <c r="N57" s="708"/>
      <c r="O57" s="708"/>
      <c r="P57" s="708"/>
      <c r="Q57" s="708"/>
      <c r="R57" s="708"/>
      <c r="S57" s="708"/>
      <c r="T57" s="708"/>
      <c r="U57" s="708"/>
      <c r="V57" s="708"/>
    </row>
    <row r="58" spans="1:22" ht="12.2" customHeight="1">
      <c r="A58" s="710"/>
      <c r="B58" s="711"/>
      <c r="C58" s="709" t="str">
        <f>Texte!A4107</f>
        <v>Laufstallmist und wenig Gülle (60-90% eingestreut)</v>
      </c>
      <c r="D58" s="2348">
        <v>17.25</v>
      </c>
      <c r="E58" s="2349">
        <v>12.6</v>
      </c>
      <c r="F58" s="2349">
        <v>4.5999999999999996</v>
      </c>
      <c r="G58" s="2349">
        <f t="shared" si="0"/>
        <v>1.4375</v>
      </c>
      <c r="H58" s="2349">
        <f t="shared" si="1"/>
        <v>1.05</v>
      </c>
      <c r="I58" s="2349">
        <f t="shared" si="2"/>
        <v>0.3833333333333333</v>
      </c>
      <c r="J58" s="708">
        <v>5</v>
      </c>
      <c r="K58" s="708">
        <v>2</v>
      </c>
      <c r="L58" s="708">
        <v>1</v>
      </c>
      <c r="M58" s="708">
        <v>0.2</v>
      </c>
      <c r="N58" s="708"/>
      <c r="O58" s="708"/>
      <c r="P58" s="708"/>
      <c r="Q58" s="708"/>
      <c r="R58" s="708"/>
      <c r="S58" s="708"/>
      <c r="T58" s="708"/>
      <c r="U58" s="708"/>
      <c r="V58" s="708"/>
    </row>
    <row r="59" spans="1:22" ht="12.2" customHeight="1">
      <c r="A59" s="710"/>
      <c r="B59" s="711"/>
      <c r="C59" s="709" t="str">
        <f>Texte!A4108</f>
        <v>Nur Laufstallmist</v>
      </c>
      <c r="D59" s="2348">
        <v>23</v>
      </c>
      <c r="E59" s="2349">
        <v>16.8</v>
      </c>
      <c r="F59" s="2349">
        <v>0</v>
      </c>
      <c r="G59" s="2349">
        <f t="shared" si="0"/>
        <v>1.9166666666666667</v>
      </c>
      <c r="H59" s="2349">
        <f t="shared" si="1"/>
        <v>1.4000000000000001</v>
      </c>
      <c r="I59" s="2349">
        <f t="shared" si="2"/>
        <v>0</v>
      </c>
      <c r="J59" s="708">
        <v>5</v>
      </c>
      <c r="K59" s="708">
        <v>0</v>
      </c>
      <c r="L59" s="708">
        <v>1</v>
      </c>
      <c r="M59" s="708">
        <v>0.2</v>
      </c>
      <c r="N59" s="708"/>
      <c r="O59" s="708"/>
      <c r="P59" s="708"/>
      <c r="Q59" s="708"/>
      <c r="R59" s="708"/>
      <c r="S59" s="708"/>
      <c r="T59" s="708"/>
      <c r="U59" s="708"/>
      <c r="V59" s="708"/>
    </row>
    <row r="60" spans="1:22" ht="12.2" customHeight="1">
      <c r="A60" s="710" t="e">
        <f>C60:F66</f>
        <v>#VALUE!</v>
      </c>
      <c r="B60" s="711">
        <f>B52+4</f>
        <v>132</v>
      </c>
      <c r="C60" s="709"/>
      <c r="D60" s="2348"/>
      <c r="E60" s="2349"/>
      <c r="F60" s="2349"/>
      <c r="G60" s="2349"/>
      <c r="H60" s="2349"/>
      <c r="I60" s="2349"/>
      <c r="J60" s="708"/>
      <c r="K60" s="708"/>
      <c r="L60" s="708"/>
      <c r="M60" s="708"/>
      <c r="N60" s="708"/>
      <c r="O60" s="708"/>
      <c r="P60" s="708"/>
      <c r="Q60" s="708"/>
      <c r="R60" s="708"/>
      <c r="S60" s="708"/>
      <c r="T60" s="708"/>
      <c r="U60" s="708"/>
      <c r="V60" s="708"/>
    </row>
    <row r="61" spans="1:22" ht="12.2" customHeight="1">
      <c r="A61" s="710"/>
      <c r="B61" s="711"/>
      <c r="C61" s="709" t="str">
        <f>Texte!A4102</f>
        <v>Freiland</v>
      </c>
      <c r="D61" s="2348">
        <v>0</v>
      </c>
      <c r="E61" s="2349">
        <v>0</v>
      </c>
      <c r="F61" s="2349">
        <v>0</v>
      </c>
      <c r="G61" s="2349">
        <f t="shared" si="0"/>
        <v>0</v>
      </c>
      <c r="H61" s="2349">
        <f t="shared" si="1"/>
        <v>0</v>
      </c>
      <c r="I61" s="2349">
        <f t="shared" si="2"/>
        <v>0</v>
      </c>
      <c r="J61" s="708"/>
      <c r="K61" s="708"/>
      <c r="L61" s="708"/>
      <c r="M61" s="708"/>
      <c r="N61" s="708"/>
      <c r="O61" s="708"/>
      <c r="P61" s="708"/>
      <c r="Q61" s="708"/>
      <c r="R61" s="708"/>
      <c r="S61" s="708"/>
      <c r="T61" s="708"/>
      <c r="U61" s="708"/>
      <c r="V61" s="708"/>
    </row>
    <row r="62" spans="1:22" ht="12.2" customHeight="1">
      <c r="A62" s="710"/>
      <c r="B62" s="711"/>
      <c r="C62" s="709" t="str">
        <f>Texte!A4103</f>
        <v>Nur Gülle</v>
      </c>
      <c r="D62" s="2348">
        <v>0</v>
      </c>
      <c r="E62" s="2349">
        <f>IF($X$19=$X$21,X24,IF($X$19=$Z$21,Z24,AB24))</f>
        <v>0</v>
      </c>
      <c r="F62" s="2349">
        <f>IF($X$19=$X$21,Y24,IF($X$19=$Z$21,AA24,AC24))</f>
        <v>19</v>
      </c>
      <c r="G62" s="2349">
        <f t="shared" si="0"/>
        <v>0</v>
      </c>
      <c r="H62" s="2349">
        <f t="shared" si="1"/>
        <v>0</v>
      </c>
      <c r="I62" s="2349">
        <f t="shared" si="2"/>
        <v>1.5833333333333333</v>
      </c>
      <c r="J62" s="708">
        <v>0</v>
      </c>
      <c r="K62" s="708">
        <v>7</v>
      </c>
      <c r="L62" s="708">
        <v>1</v>
      </c>
      <c r="M62" s="708">
        <v>0.2</v>
      </c>
      <c r="N62" s="708"/>
      <c r="O62" s="708"/>
      <c r="P62" s="708"/>
      <c r="Q62" s="708"/>
      <c r="R62" s="708"/>
      <c r="S62" s="708"/>
      <c r="T62" s="708"/>
      <c r="U62" s="708"/>
      <c r="V62" s="708"/>
    </row>
    <row r="63" spans="1:22" ht="12.2" customHeight="1">
      <c r="A63" s="710"/>
      <c r="B63" s="711"/>
      <c r="C63" s="709" t="str">
        <f>Texte!A4105</f>
        <v>Laufstallmist und viel Gülle (10-40% eingestreut)</v>
      </c>
      <c r="D63" s="2348">
        <v>6.25</v>
      </c>
      <c r="E63" s="2349">
        <f t="shared" ref="E63:F66" si="4">IF($X$19=$X$21,X26,IF($X$19=$Z$21,Z26,AB26))</f>
        <v>4.5</v>
      </c>
      <c r="F63" s="2349">
        <f t="shared" si="4"/>
        <v>14.3</v>
      </c>
      <c r="G63" s="2349">
        <f t="shared" si="0"/>
        <v>0.52083333333333337</v>
      </c>
      <c r="H63" s="2349">
        <f t="shared" si="1"/>
        <v>0.375</v>
      </c>
      <c r="I63" s="2349">
        <f t="shared" si="2"/>
        <v>1.1916666666666667</v>
      </c>
      <c r="J63" s="708">
        <v>8</v>
      </c>
      <c r="K63" s="708">
        <v>7</v>
      </c>
      <c r="L63" s="708">
        <v>1</v>
      </c>
      <c r="M63" s="708">
        <v>0.2</v>
      </c>
      <c r="N63" s="708"/>
      <c r="O63" s="708"/>
      <c r="P63" s="708"/>
      <c r="Q63" s="708"/>
      <c r="R63" s="708"/>
      <c r="S63" s="708"/>
      <c r="T63" s="708"/>
      <c r="U63" s="708"/>
      <c r="V63" s="708"/>
    </row>
    <row r="64" spans="1:22" ht="12.2" customHeight="1">
      <c r="A64" s="710"/>
      <c r="B64" s="711"/>
      <c r="C64" s="709" t="str">
        <f>Texte!A4106</f>
        <v>Laufstallmist und Gülle (40-60% eingestreut)</v>
      </c>
      <c r="D64" s="2348">
        <v>12.5</v>
      </c>
      <c r="E64" s="2349">
        <f t="shared" si="4"/>
        <v>9</v>
      </c>
      <c r="F64" s="2349">
        <f t="shared" si="4"/>
        <v>9.5</v>
      </c>
      <c r="G64" s="2349">
        <f t="shared" si="0"/>
        <v>1.0416666666666667</v>
      </c>
      <c r="H64" s="2349">
        <f t="shared" si="1"/>
        <v>0.75</v>
      </c>
      <c r="I64" s="2349">
        <f t="shared" si="2"/>
        <v>0.79166666666666663</v>
      </c>
      <c r="J64" s="708">
        <v>8</v>
      </c>
      <c r="K64" s="708">
        <v>7</v>
      </c>
      <c r="L64" s="708">
        <v>1</v>
      </c>
      <c r="M64" s="708">
        <v>0.2</v>
      </c>
      <c r="N64" s="708"/>
      <c r="O64" s="708"/>
      <c r="P64" s="708"/>
      <c r="Q64" s="708"/>
      <c r="R64" s="708"/>
      <c r="S64" s="708"/>
      <c r="T64" s="708"/>
      <c r="U64" s="708"/>
      <c r="V64" s="708"/>
    </row>
    <row r="65" spans="1:22" ht="12.2" customHeight="1">
      <c r="A65" s="710"/>
      <c r="B65" s="711"/>
      <c r="C65" s="709" t="str">
        <f>Texte!A4107</f>
        <v>Laufstallmist und wenig Gülle (60-90% eingestreut)</v>
      </c>
      <c r="D65" s="2348">
        <v>18.75</v>
      </c>
      <c r="E65" s="2349">
        <f t="shared" si="4"/>
        <v>13.5</v>
      </c>
      <c r="F65" s="2349">
        <f t="shared" si="4"/>
        <v>4.8</v>
      </c>
      <c r="G65" s="2349">
        <f t="shared" si="0"/>
        <v>1.5625</v>
      </c>
      <c r="H65" s="2349">
        <f t="shared" si="1"/>
        <v>1.125</v>
      </c>
      <c r="I65" s="2349">
        <f t="shared" si="2"/>
        <v>0.39999999999999997</v>
      </c>
      <c r="J65" s="708">
        <v>8</v>
      </c>
      <c r="K65" s="708">
        <v>7</v>
      </c>
      <c r="L65" s="708">
        <v>1</v>
      </c>
      <c r="M65" s="708">
        <v>0.2</v>
      </c>
      <c r="N65" s="708"/>
      <c r="O65" s="708"/>
      <c r="P65" s="708"/>
      <c r="Q65" s="708"/>
      <c r="R65" s="708"/>
      <c r="S65" s="708"/>
      <c r="T65" s="708"/>
      <c r="U65" s="708"/>
      <c r="V65" s="708"/>
    </row>
    <row r="66" spans="1:22" ht="12.2" customHeight="1">
      <c r="A66" s="710"/>
      <c r="B66" s="711"/>
      <c r="C66" s="709" t="str">
        <f>Texte!A4108</f>
        <v>Nur Laufstallmist</v>
      </c>
      <c r="D66" s="2348">
        <v>25</v>
      </c>
      <c r="E66" s="2349">
        <f t="shared" si="4"/>
        <v>18</v>
      </c>
      <c r="F66" s="2349">
        <f t="shared" si="4"/>
        <v>0</v>
      </c>
      <c r="G66" s="2349">
        <f t="shared" si="0"/>
        <v>2.0833333333333335</v>
      </c>
      <c r="H66" s="2349">
        <f t="shared" si="1"/>
        <v>1.5</v>
      </c>
      <c r="I66" s="2349">
        <f t="shared" si="2"/>
        <v>0</v>
      </c>
      <c r="J66" s="708">
        <v>8</v>
      </c>
      <c r="K66" s="708">
        <v>0</v>
      </c>
      <c r="L66" s="708">
        <v>1</v>
      </c>
      <c r="M66" s="708">
        <v>0.2</v>
      </c>
      <c r="N66" s="708"/>
      <c r="O66" s="708"/>
      <c r="P66" s="708"/>
      <c r="Q66" s="708"/>
      <c r="R66" s="708"/>
      <c r="S66" s="708"/>
      <c r="T66" s="708"/>
      <c r="U66" s="708"/>
      <c r="V66" s="708"/>
    </row>
    <row r="67" spans="1:22" ht="12.2" customHeight="1">
      <c r="A67" s="710" t="e">
        <f>C67:F73</f>
        <v>#VALUE!</v>
      </c>
      <c r="B67" s="711">
        <f>B60+2</f>
        <v>134</v>
      </c>
      <c r="C67" s="709"/>
      <c r="D67" s="2348"/>
      <c r="E67" s="2349"/>
      <c r="F67" s="2349"/>
      <c r="G67" s="2349"/>
      <c r="H67" s="2349"/>
      <c r="I67" s="2349"/>
      <c r="J67" s="708"/>
      <c r="K67" s="708"/>
      <c r="L67" s="708"/>
      <c r="M67" s="708"/>
      <c r="N67" s="708"/>
      <c r="O67" s="708"/>
      <c r="P67" s="708"/>
      <c r="Q67" s="708"/>
      <c r="R67" s="708"/>
      <c r="S67" s="708"/>
      <c r="T67" s="708"/>
      <c r="U67" s="708"/>
      <c r="V67" s="708"/>
    </row>
    <row r="68" spans="1:22" ht="12.2" customHeight="1">
      <c r="A68" s="710"/>
      <c r="B68" s="711"/>
      <c r="C68" s="709" t="str">
        <f>C75</f>
        <v>Freiland</v>
      </c>
      <c r="D68" s="2348">
        <v>0</v>
      </c>
      <c r="E68" s="2349">
        <v>0</v>
      </c>
      <c r="F68" s="2349">
        <v>0</v>
      </c>
      <c r="G68" s="2349">
        <f t="shared" ref="G68:G73" si="5">D68/12</f>
        <v>0</v>
      </c>
      <c r="H68" s="2349">
        <f t="shared" ref="H68:H73" si="6">E68/12</f>
        <v>0</v>
      </c>
      <c r="I68" s="2349">
        <f t="shared" ref="I68:I73" si="7">F68/12</f>
        <v>0</v>
      </c>
      <c r="J68" s="708"/>
      <c r="K68" s="708"/>
      <c r="L68" s="708"/>
      <c r="M68" s="708"/>
      <c r="N68" s="708"/>
      <c r="O68" s="708"/>
      <c r="P68" s="708"/>
      <c r="Q68" s="708"/>
      <c r="R68" s="708"/>
      <c r="S68" s="708"/>
      <c r="T68" s="708"/>
      <c r="U68" s="708"/>
      <c r="V68" s="708"/>
    </row>
    <row r="69" spans="1:22" ht="12.2" customHeight="1">
      <c r="A69" s="710"/>
      <c r="B69" s="711"/>
      <c r="C69" s="709" t="str">
        <f>Texte!A4103</f>
        <v>Nur Gülle</v>
      </c>
      <c r="D69" s="2348">
        <v>0</v>
      </c>
      <c r="E69" s="2349">
        <v>0</v>
      </c>
      <c r="F69" s="2349">
        <v>3.8</v>
      </c>
      <c r="G69" s="2349">
        <v>0</v>
      </c>
      <c r="H69" s="2349">
        <v>0</v>
      </c>
      <c r="I69" s="2349">
        <v>0.31666666666666665</v>
      </c>
      <c r="J69" s="708">
        <v>0</v>
      </c>
      <c r="K69" s="708">
        <v>31</v>
      </c>
      <c r="L69" s="2347">
        <v>1</v>
      </c>
      <c r="M69" s="2347">
        <v>0.2</v>
      </c>
      <c r="N69" s="708"/>
      <c r="O69" s="708"/>
      <c r="P69" s="708"/>
      <c r="Q69" s="708"/>
      <c r="R69" s="708"/>
      <c r="S69" s="708"/>
      <c r="T69" s="708"/>
      <c r="U69" s="708"/>
      <c r="V69" s="708"/>
    </row>
    <row r="70" spans="1:22" ht="12.2" customHeight="1">
      <c r="A70" s="710"/>
      <c r="B70" s="711"/>
      <c r="C70" s="709" t="str">
        <f>C77</f>
        <v>Laufstallmist und viel Gülle (10-40% eingestreut)</v>
      </c>
      <c r="D70" s="2348">
        <v>1.45</v>
      </c>
      <c r="E70" s="2349">
        <v>0.9</v>
      </c>
      <c r="F70" s="2349">
        <v>2.85</v>
      </c>
      <c r="G70" s="2349">
        <f t="shared" si="5"/>
        <v>0.12083333333333333</v>
      </c>
      <c r="H70" s="2349">
        <f t="shared" si="6"/>
        <v>7.4999999999999997E-2</v>
      </c>
      <c r="I70" s="2349">
        <f t="shared" si="7"/>
        <v>0.23750000000000002</v>
      </c>
      <c r="J70" s="708">
        <v>32</v>
      </c>
      <c r="K70" s="708">
        <v>31</v>
      </c>
      <c r="L70" s="708">
        <v>1</v>
      </c>
      <c r="M70" s="708">
        <v>0.2</v>
      </c>
      <c r="N70" s="708"/>
      <c r="O70" s="708"/>
      <c r="P70" s="708"/>
      <c r="Q70" s="708"/>
      <c r="R70" s="708"/>
      <c r="S70" s="708"/>
      <c r="T70" s="708"/>
      <c r="U70" s="708"/>
      <c r="V70" s="708"/>
    </row>
    <row r="71" spans="1:22" ht="12.2" customHeight="1">
      <c r="A71" s="710"/>
      <c r="B71" s="711"/>
      <c r="C71" s="709" t="str">
        <f>C78</f>
        <v>Laufstallmist und Gülle (40-60% eingestreut)</v>
      </c>
      <c r="D71" s="2348">
        <v>2.9</v>
      </c>
      <c r="E71" s="2349">
        <v>1.8</v>
      </c>
      <c r="F71" s="2349">
        <v>1.9</v>
      </c>
      <c r="G71" s="2349">
        <f t="shared" si="5"/>
        <v>0.24166666666666667</v>
      </c>
      <c r="H71" s="2349">
        <f t="shared" si="6"/>
        <v>0.15</v>
      </c>
      <c r="I71" s="2349">
        <f t="shared" si="7"/>
        <v>0.15833333333333333</v>
      </c>
      <c r="J71" s="708">
        <v>32</v>
      </c>
      <c r="K71" s="708">
        <v>31</v>
      </c>
      <c r="L71" s="708">
        <v>1</v>
      </c>
      <c r="M71" s="708">
        <v>0.2</v>
      </c>
      <c r="N71" s="708"/>
      <c r="O71" s="708"/>
      <c r="P71" s="708"/>
      <c r="Q71" s="708"/>
      <c r="R71" s="708"/>
      <c r="S71" s="708"/>
      <c r="T71" s="708"/>
      <c r="U71" s="708"/>
      <c r="V71" s="708"/>
    </row>
    <row r="72" spans="1:22" ht="12.2" customHeight="1">
      <c r="A72" s="710"/>
      <c r="B72" s="711"/>
      <c r="C72" s="709" t="str">
        <f>C79</f>
        <v>Laufstallmist und wenig Gülle (60-90% eingestreut)</v>
      </c>
      <c r="D72" s="2348">
        <v>4.3499999999999996</v>
      </c>
      <c r="E72" s="2349">
        <v>2.7</v>
      </c>
      <c r="F72" s="2349">
        <v>0.95</v>
      </c>
      <c r="G72" s="2349">
        <f t="shared" si="5"/>
        <v>0.36249999999999999</v>
      </c>
      <c r="H72" s="2349">
        <f t="shared" si="6"/>
        <v>0.22500000000000001</v>
      </c>
      <c r="I72" s="2349">
        <f t="shared" si="7"/>
        <v>7.9166666666666663E-2</v>
      </c>
      <c r="J72" s="708">
        <v>32</v>
      </c>
      <c r="K72" s="708">
        <v>31</v>
      </c>
      <c r="L72" s="708">
        <v>1</v>
      </c>
      <c r="M72" s="708">
        <v>0.2</v>
      </c>
      <c r="N72" s="708"/>
      <c r="O72" s="708"/>
      <c r="P72" s="708"/>
      <c r="Q72" s="708"/>
      <c r="R72" s="708"/>
      <c r="S72" s="708"/>
      <c r="T72" s="708"/>
      <c r="U72" s="708"/>
      <c r="V72" s="708"/>
    </row>
    <row r="73" spans="1:22" ht="12.2" customHeight="1">
      <c r="A73" s="710"/>
      <c r="B73" s="711"/>
      <c r="C73" s="709" t="str">
        <f>C80</f>
        <v>Nur Laufstallmist</v>
      </c>
      <c r="D73" s="2348">
        <v>5.8</v>
      </c>
      <c r="E73" s="2349">
        <v>3.6</v>
      </c>
      <c r="F73" s="2349">
        <v>0</v>
      </c>
      <c r="G73" s="2349">
        <f t="shared" si="5"/>
        <v>0.48333333333333334</v>
      </c>
      <c r="H73" s="2349">
        <f t="shared" si="6"/>
        <v>0.3</v>
      </c>
      <c r="I73" s="2349">
        <f t="shared" si="7"/>
        <v>0</v>
      </c>
      <c r="J73" s="708">
        <v>32</v>
      </c>
      <c r="K73" s="708">
        <v>0</v>
      </c>
      <c r="L73" s="708">
        <v>1</v>
      </c>
      <c r="M73" s="708">
        <v>0.2</v>
      </c>
      <c r="N73" s="708"/>
      <c r="O73" s="708"/>
      <c r="P73" s="708"/>
      <c r="Q73" s="708"/>
      <c r="R73" s="708"/>
      <c r="S73" s="708"/>
      <c r="T73" s="708"/>
      <c r="U73" s="708"/>
      <c r="V73" s="708"/>
    </row>
    <row r="74" spans="1:22" ht="12.2" customHeight="1">
      <c r="A74" s="710" t="e">
        <f>C74:F80</f>
        <v>#VALUE!</v>
      </c>
      <c r="B74" s="711">
        <f>B60+4</f>
        <v>136</v>
      </c>
      <c r="C74" s="709"/>
      <c r="D74" s="2348"/>
      <c r="E74" s="2349"/>
      <c r="F74" s="2349"/>
      <c r="G74" s="2349"/>
      <c r="H74" s="2349"/>
      <c r="I74" s="2349"/>
      <c r="J74" s="708"/>
      <c r="K74" s="708"/>
      <c r="L74" s="708"/>
      <c r="M74" s="708"/>
      <c r="N74" s="708"/>
      <c r="O74" s="708"/>
      <c r="P74" s="708"/>
      <c r="Q74" s="708"/>
      <c r="R74" s="708"/>
      <c r="S74" s="708"/>
      <c r="T74" s="708"/>
      <c r="U74" s="708"/>
      <c r="V74" s="708"/>
    </row>
    <row r="75" spans="1:22" ht="12.2" customHeight="1">
      <c r="A75" s="710"/>
      <c r="B75" s="711"/>
      <c r="C75" s="709" t="str">
        <f>Texte!$A$4110</f>
        <v>Freiland</v>
      </c>
      <c r="D75" s="2348">
        <v>0</v>
      </c>
      <c r="E75" s="2349">
        <v>0</v>
      </c>
      <c r="F75" s="2349">
        <v>0</v>
      </c>
      <c r="G75" s="2349">
        <f t="shared" ref="G75:G142" si="8">D75/12</f>
        <v>0</v>
      </c>
      <c r="H75" s="2349">
        <f t="shared" ref="H75:H142" si="9">E75/12</f>
        <v>0</v>
      </c>
      <c r="I75" s="2349">
        <f t="shared" ref="I75:I142" si="10">F75/12</f>
        <v>0</v>
      </c>
      <c r="J75" s="708"/>
      <c r="K75" s="708"/>
      <c r="L75" s="708"/>
      <c r="M75" s="708"/>
      <c r="N75" s="708"/>
      <c r="O75" s="708"/>
      <c r="P75" s="708"/>
      <c r="Q75" s="708"/>
      <c r="R75" s="708"/>
      <c r="S75" s="708"/>
      <c r="T75" s="708"/>
      <c r="U75" s="708"/>
      <c r="V75" s="708"/>
    </row>
    <row r="76" spans="1:22" ht="12.2" customHeight="1">
      <c r="A76" s="710"/>
      <c r="B76" s="711"/>
      <c r="C76" s="709" t="str">
        <f>Texte!A4103</f>
        <v>Nur Gülle</v>
      </c>
      <c r="D76" s="2348">
        <v>0</v>
      </c>
      <c r="E76" s="2349">
        <v>0</v>
      </c>
      <c r="F76" s="2349">
        <v>6</v>
      </c>
      <c r="G76" s="2349">
        <v>0</v>
      </c>
      <c r="H76" s="2349">
        <v>0</v>
      </c>
      <c r="I76" s="2349">
        <v>0.5</v>
      </c>
      <c r="J76" s="708">
        <v>0</v>
      </c>
      <c r="K76" s="708">
        <v>31</v>
      </c>
      <c r="L76" s="708">
        <v>1</v>
      </c>
      <c r="M76" s="708">
        <v>0.2</v>
      </c>
      <c r="N76" s="708"/>
      <c r="O76" s="708"/>
      <c r="P76" s="708"/>
      <c r="Q76" s="708"/>
      <c r="R76" s="708"/>
      <c r="S76" s="708"/>
      <c r="T76" s="708"/>
      <c r="U76" s="708"/>
      <c r="V76" s="708"/>
    </row>
    <row r="77" spans="1:22" ht="12.2" customHeight="1">
      <c r="A77" s="710"/>
      <c r="B77" s="711"/>
      <c r="C77" s="709" t="str">
        <f>Texte!$A$4112</f>
        <v>Laufstallmist und viel Gülle (10-40% eingestreut)</v>
      </c>
      <c r="D77" s="2348">
        <v>1.08</v>
      </c>
      <c r="E77" s="2349">
        <v>1.38</v>
      </c>
      <c r="F77" s="2349">
        <v>4.5</v>
      </c>
      <c r="G77" s="2349">
        <v>9.0000000000000011E-2</v>
      </c>
      <c r="H77" s="2349">
        <v>0.11499999999999999</v>
      </c>
      <c r="I77" s="2349">
        <v>0.375</v>
      </c>
      <c r="J77" s="708">
        <v>32</v>
      </c>
      <c r="K77" s="708">
        <v>31</v>
      </c>
      <c r="L77" s="708">
        <v>1</v>
      </c>
      <c r="M77" s="708">
        <v>0.2</v>
      </c>
      <c r="N77" s="708"/>
      <c r="O77" s="708"/>
      <c r="P77" s="708"/>
      <c r="Q77" s="708"/>
      <c r="R77" s="708"/>
      <c r="S77" s="708"/>
      <c r="T77" s="708"/>
      <c r="U77" s="708"/>
      <c r="V77" s="708"/>
    </row>
    <row r="78" spans="1:22" ht="12.2" customHeight="1">
      <c r="A78" s="710"/>
      <c r="B78" s="711"/>
      <c r="C78" s="709" t="str">
        <f>Texte!$A$4113</f>
        <v>Laufstallmist und Gülle (40-60% eingestreut)</v>
      </c>
      <c r="D78" s="2348">
        <v>2.15</v>
      </c>
      <c r="E78" s="2349">
        <v>2.75</v>
      </c>
      <c r="F78" s="2349">
        <v>3</v>
      </c>
      <c r="G78" s="2349">
        <v>0.17916666666666667</v>
      </c>
      <c r="H78" s="2349">
        <v>0.22916666666666666</v>
      </c>
      <c r="I78" s="2349">
        <v>0.25</v>
      </c>
      <c r="J78" s="708">
        <v>32</v>
      </c>
      <c r="K78" s="708">
        <v>31</v>
      </c>
      <c r="L78" s="708">
        <v>1</v>
      </c>
      <c r="M78" s="708">
        <v>0.2</v>
      </c>
      <c r="N78" s="708"/>
      <c r="O78" s="708"/>
      <c r="P78" s="708"/>
      <c r="Q78" s="708"/>
      <c r="R78" s="708"/>
      <c r="S78" s="708"/>
      <c r="T78" s="708"/>
      <c r="U78" s="708"/>
      <c r="V78" s="708"/>
    </row>
    <row r="79" spans="1:22" ht="12.2" customHeight="1">
      <c r="A79" s="710"/>
      <c r="B79" s="711"/>
      <c r="C79" s="709" t="str">
        <f>Texte!$A$4114</f>
        <v>Laufstallmist und wenig Gülle (60-90% eingestreut)</v>
      </c>
      <c r="D79" s="2348">
        <v>3.23</v>
      </c>
      <c r="E79" s="2349">
        <v>4.13</v>
      </c>
      <c r="F79" s="2349">
        <v>1.5</v>
      </c>
      <c r="G79" s="2349">
        <v>0.26916666666666667</v>
      </c>
      <c r="H79" s="2349">
        <v>0.34416666666666668</v>
      </c>
      <c r="I79" s="2349">
        <v>0.125</v>
      </c>
      <c r="J79" s="708">
        <v>32</v>
      </c>
      <c r="K79" s="708">
        <v>31</v>
      </c>
      <c r="L79" s="708">
        <v>1</v>
      </c>
      <c r="M79" s="708">
        <v>0.2</v>
      </c>
      <c r="N79" s="708"/>
      <c r="O79" s="708"/>
      <c r="P79" s="708"/>
      <c r="Q79" s="708"/>
      <c r="R79" s="708"/>
      <c r="S79" s="708"/>
      <c r="T79" s="708"/>
      <c r="U79" s="708"/>
      <c r="V79" s="708"/>
    </row>
    <row r="80" spans="1:22" ht="12.2" customHeight="1">
      <c r="A80" s="710"/>
      <c r="B80" s="711"/>
      <c r="C80" s="709" t="str">
        <f>Texte!$A$4115</f>
        <v>Nur Laufstallmist</v>
      </c>
      <c r="D80" s="2348">
        <v>4.3</v>
      </c>
      <c r="E80" s="2349">
        <v>5.5</v>
      </c>
      <c r="F80" s="2349">
        <v>0</v>
      </c>
      <c r="G80" s="2349">
        <v>0.35833333333333334</v>
      </c>
      <c r="H80" s="2349">
        <v>0.45833333333333331</v>
      </c>
      <c r="I80" s="2349">
        <v>0</v>
      </c>
      <c r="J80" s="708">
        <v>32</v>
      </c>
      <c r="K80" s="708">
        <v>0</v>
      </c>
      <c r="L80" s="708">
        <v>1</v>
      </c>
      <c r="M80" s="708">
        <v>0.2</v>
      </c>
      <c r="N80" s="708"/>
      <c r="O80" s="708"/>
      <c r="P80" s="708"/>
      <c r="Q80" s="708"/>
      <c r="R80" s="708"/>
      <c r="S80" s="708"/>
      <c r="T80" s="708"/>
      <c r="U80" s="708"/>
      <c r="V80" s="708"/>
    </row>
    <row r="81" spans="1:22" ht="12.2" customHeight="1">
      <c r="A81" s="710" t="e">
        <f>C81:F87</f>
        <v>#VALUE!</v>
      </c>
      <c r="B81" s="711">
        <f>D_Tierb!A20</f>
        <v>137</v>
      </c>
      <c r="C81" s="709"/>
      <c r="D81" s="2348"/>
      <c r="E81" s="2349"/>
      <c r="F81" s="2349"/>
      <c r="G81" s="2349"/>
      <c r="H81" s="2349"/>
      <c r="I81" s="2349"/>
      <c r="J81" s="708"/>
      <c r="K81" s="708"/>
      <c r="L81" s="708"/>
      <c r="M81" s="708"/>
      <c r="N81" s="708"/>
      <c r="O81" s="708"/>
      <c r="P81" s="708"/>
      <c r="Q81" s="708"/>
      <c r="R81" s="708"/>
      <c r="S81" s="708"/>
      <c r="T81" s="708"/>
      <c r="U81" s="708"/>
      <c r="V81" s="708"/>
    </row>
    <row r="82" spans="1:22" ht="12.2" customHeight="1">
      <c r="A82" s="710"/>
      <c r="B82" s="711"/>
      <c r="C82" s="709" t="str">
        <f>Texte!$A$4110</f>
        <v>Freiland</v>
      </c>
      <c r="D82" s="2348">
        <v>0</v>
      </c>
      <c r="E82" s="2349">
        <v>0</v>
      </c>
      <c r="F82" s="2349">
        <v>0</v>
      </c>
      <c r="G82" s="2349">
        <f>D82/12</f>
        <v>0</v>
      </c>
      <c r="H82" s="2349">
        <f>E82/12</f>
        <v>0</v>
      </c>
      <c r="I82" s="2349">
        <f>F82/12</f>
        <v>0</v>
      </c>
      <c r="J82" s="708"/>
      <c r="K82" s="708"/>
      <c r="L82" s="708"/>
      <c r="M82" s="708"/>
      <c r="N82" s="708"/>
      <c r="O82" s="708"/>
      <c r="P82" s="708"/>
      <c r="Q82" s="708"/>
      <c r="R82" s="708"/>
      <c r="S82" s="708"/>
      <c r="T82" s="708"/>
      <c r="U82" s="708"/>
      <c r="V82" s="708"/>
    </row>
    <row r="83" spans="1:22" ht="12.2" customHeight="1">
      <c r="A83" s="710"/>
      <c r="B83" s="711"/>
      <c r="C83" s="709" t="str">
        <f>Texte!A4103</f>
        <v>Nur Gülle</v>
      </c>
      <c r="D83" s="2348">
        <v>0</v>
      </c>
      <c r="E83" s="2349">
        <v>0</v>
      </c>
      <c r="F83" s="2349">
        <v>6</v>
      </c>
      <c r="G83" s="2349">
        <v>0</v>
      </c>
      <c r="H83" s="2349">
        <v>0</v>
      </c>
      <c r="I83" s="2349">
        <v>0.5</v>
      </c>
      <c r="J83" s="708">
        <v>0</v>
      </c>
      <c r="K83" s="708">
        <v>31</v>
      </c>
      <c r="L83" s="708">
        <v>1</v>
      </c>
      <c r="M83" s="708">
        <v>0.2</v>
      </c>
      <c r="N83" s="708"/>
      <c r="O83" s="708"/>
      <c r="P83" s="708"/>
      <c r="Q83" s="708"/>
      <c r="R83" s="708"/>
      <c r="S83" s="708"/>
      <c r="T83" s="708"/>
      <c r="U83" s="708"/>
      <c r="V83" s="708"/>
    </row>
    <row r="84" spans="1:22" ht="12.2" customHeight="1">
      <c r="A84" s="710"/>
      <c r="B84" s="711"/>
      <c r="C84" s="709" t="str">
        <f>Texte!$A$4112</f>
        <v>Laufstallmist und viel Gülle (10-40% eingestreut)</v>
      </c>
      <c r="D84" s="2348">
        <v>1.08</v>
      </c>
      <c r="E84" s="2349">
        <v>1.38</v>
      </c>
      <c r="F84" s="2349">
        <v>4.5</v>
      </c>
      <c r="G84" s="2349">
        <v>9.0000000000000011E-2</v>
      </c>
      <c r="H84" s="2349">
        <v>0.11499999999999999</v>
      </c>
      <c r="I84" s="2349">
        <v>0.375</v>
      </c>
      <c r="J84" s="708">
        <v>32</v>
      </c>
      <c r="K84" s="708">
        <v>31</v>
      </c>
      <c r="L84" s="708">
        <v>1</v>
      </c>
      <c r="M84" s="708">
        <v>0.2</v>
      </c>
      <c r="N84" s="708"/>
      <c r="O84" s="708"/>
      <c r="P84" s="708"/>
      <c r="Q84" s="708"/>
      <c r="R84" s="708"/>
      <c r="S84" s="708"/>
      <c r="T84" s="708"/>
      <c r="U84" s="708"/>
      <c r="V84" s="708"/>
    </row>
    <row r="85" spans="1:22" ht="12.2" customHeight="1">
      <c r="A85" s="710"/>
      <c r="B85" s="711"/>
      <c r="C85" s="709" t="str">
        <f>Texte!$A$4113</f>
        <v>Laufstallmist und Gülle (40-60% eingestreut)</v>
      </c>
      <c r="D85" s="2348">
        <v>2.15</v>
      </c>
      <c r="E85" s="2349">
        <v>2.75</v>
      </c>
      <c r="F85" s="2349">
        <v>3</v>
      </c>
      <c r="G85" s="2349">
        <v>0.17916666666666667</v>
      </c>
      <c r="H85" s="2349">
        <v>0.22916666666666666</v>
      </c>
      <c r="I85" s="2349">
        <v>0.25</v>
      </c>
      <c r="J85" s="708">
        <v>32</v>
      </c>
      <c r="K85" s="708">
        <v>31</v>
      </c>
      <c r="L85" s="708">
        <v>1</v>
      </c>
      <c r="M85" s="708">
        <v>0.2</v>
      </c>
      <c r="N85" s="708"/>
      <c r="O85" s="708"/>
      <c r="P85" s="708"/>
      <c r="Q85" s="708"/>
      <c r="R85" s="708"/>
      <c r="S85" s="708"/>
      <c r="T85" s="708"/>
      <c r="U85" s="708"/>
      <c r="V85" s="708"/>
    </row>
    <row r="86" spans="1:22" ht="12.2" customHeight="1">
      <c r="A86" s="710"/>
      <c r="B86" s="711"/>
      <c r="C86" s="709" t="str">
        <f>Texte!$A$4114</f>
        <v>Laufstallmist und wenig Gülle (60-90% eingestreut)</v>
      </c>
      <c r="D86" s="2348">
        <v>3.23</v>
      </c>
      <c r="E86" s="2349">
        <v>4.13</v>
      </c>
      <c r="F86" s="2349">
        <v>1.5</v>
      </c>
      <c r="G86" s="2349">
        <v>0.26916666666666667</v>
      </c>
      <c r="H86" s="2349">
        <v>0.34416666666666668</v>
      </c>
      <c r="I86" s="2349">
        <v>0.125</v>
      </c>
      <c r="J86" s="708">
        <v>32</v>
      </c>
      <c r="K86" s="708">
        <v>31</v>
      </c>
      <c r="L86" s="708">
        <v>1</v>
      </c>
      <c r="M86" s="708">
        <v>0.2</v>
      </c>
      <c r="N86" s="708"/>
      <c r="O86" s="708"/>
      <c r="P86" s="708"/>
      <c r="Q86" s="708"/>
      <c r="R86" s="708"/>
      <c r="S86" s="708"/>
      <c r="T86" s="708"/>
      <c r="U86" s="708"/>
      <c r="V86" s="708"/>
    </row>
    <row r="87" spans="1:22" ht="12.2" customHeight="1">
      <c r="A87" s="710"/>
      <c r="B87" s="711"/>
      <c r="C87" s="709" t="str">
        <f>Texte!$A$4115</f>
        <v>Nur Laufstallmist</v>
      </c>
      <c r="D87" s="2348">
        <v>4.3</v>
      </c>
      <c r="E87" s="2349">
        <v>5.5</v>
      </c>
      <c r="F87" s="2349">
        <v>0</v>
      </c>
      <c r="G87" s="2349">
        <v>0.35833333333333334</v>
      </c>
      <c r="H87" s="2349">
        <v>0.45833333333333331</v>
      </c>
      <c r="I87" s="2349">
        <v>0</v>
      </c>
      <c r="J87" s="708">
        <v>32</v>
      </c>
      <c r="K87" s="708">
        <v>0</v>
      </c>
      <c r="L87" s="708">
        <v>1</v>
      </c>
      <c r="M87" s="708">
        <v>0.2</v>
      </c>
      <c r="N87" s="708"/>
      <c r="O87" s="708"/>
      <c r="P87" s="708"/>
      <c r="Q87" s="708"/>
      <c r="R87" s="708"/>
      <c r="S87" s="708"/>
      <c r="T87" s="708"/>
      <c r="U87" s="708"/>
      <c r="V87" s="708"/>
    </row>
    <row r="88" spans="1:22" ht="12.2" customHeight="1">
      <c r="A88" s="710" t="e">
        <f>C88:F94</f>
        <v>#VALUE!</v>
      </c>
      <c r="B88" s="711">
        <f>D_Tierb!A21</f>
        <v>138</v>
      </c>
      <c r="C88" s="709"/>
      <c r="D88" s="2348"/>
      <c r="E88" s="2349"/>
      <c r="F88" s="2349"/>
      <c r="G88" s="2349"/>
      <c r="H88" s="2349"/>
      <c r="I88" s="2349"/>
      <c r="J88" s="708"/>
      <c r="K88" s="708"/>
      <c r="L88" s="708"/>
      <c r="M88" s="708"/>
      <c r="N88" s="708"/>
      <c r="O88" s="708"/>
      <c r="P88" s="708"/>
      <c r="Q88" s="708"/>
      <c r="R88" s="708"/>
      <c r="S88" s="708"/>
      <c r="T88" s="708"/>
      <c r="U88" s="708"/>
      <c r="V88" s="708"/>
    </row>
    <row r="89" spans="1:22" ht="12.2" customHeight="1">
      <c r="A89" s="710"/>
      <c r="B89" s="711"/>
      <c r="C89" s="709" t="str">
        <f>Texte!$A$4110</f>
        <v>Freiland</v>
      </c>
      <c r="D89" s="2348">
        <v>0</v>
      </c>
      <c r="E89" s="2349">
        <v>0</v>
      </c>
      <c r="F89" s="2349">
        <v>0</v>
      </c>
      <c r="G89" s="2349">
        <f>D89/12</f>
        <v>0</v>
      </c>
      <c r="H89" s="2349">
        <f>E89/12</f>
        <v>0</v>
      </c>
      <c r="I89" s="2349">
        <f>F89/12</f>
        <v>0</v>
      </c>
      <c r="J89" s="708"/>
      <c r="K89" s="708"/>
      <c r="L89" s="708"/>
      <c r="M89" s="708"/>
      <c r="N89" s="708"/>
      <c r="O89" s="708"/>
      <c r="P89" s="708"/>
      <c r="Q89" s="708"/>
      <c r="R89" s="708"/>
      <c r="S89" s="708"/>
      <c r="T89" s="708"/>
      <c r="U89" s="708"/>
      <c r="V89" s="708"/>
    </row>
    <row r="90" spans="1:22" ht="12.2" customHeight="1">
      <c r="A90" s="710"/>
      <c r="B90" s="711"/>
      <c r="C90" s="709" t="str">
        <f>Texte!A4103</f>
        <v>Nur Gülle</v>
      </c>
      <c r="D90" s="2348">
        <v>0</v>
      </c>
      <c r="E90" s="2349">
        <v>0</v>
      </c>
      <c r="F90" s="2349">
        <v>6</v>
      </c>
      <c r="G90" s="2349">
        <v>0</v>
      </c>
      <c r="H90" s="2349">
        <v>0</v>
      </c>
      <c r="I90" s="2349">
        <v>0.5</v>
      </c>
      <c r="J90" s="708">
        <v>0</v>
      </c>
      <c r="K90" s="708">
        <v>31</v>
      </c>
      <c r="L90" s="708">
        <v>1</v>
      </c>
      <c r="M90" s="708">
        <v>0.2</v>
      </c>
      <c r="N90" s="708"/>
      <c r="O90" s="708"/>
      <c r="P90" s="708"/>
      <c r="Q90" s="708"/>
      <c r="R90" s="708"/>
      <c r="S90" s="708"/>
      <c r="T90" s="708"/>
      <c r="U90" s="708"/>
      <c r="V90" s="708"/>
    </row>
    <row r="91" spans="1:22" ht="12.2" customHeight="1">
      <c r="A91" s="710"/>
      <c r="B91" s="711"/>
      <c r="C91" s="709" t="str">
        <f>Texte!$A$4112</f>
        <v>Laufstallmist und viel Gülle (10-40% eingestreut)</v>
      </c>
      <c r="D91" s="2348">
        <v>1.08</v>
      </c>
      <c r="E91" s="2349">
        <v>1.38</v>
      </c>
      <c r="F91" s="2349">
        <v>4.5</v>
      </c>
      <c r="G91" s="2349">
        <v>9.0000000000000011E-2</v>
      </c>
      <c r="H91" s="2349">
        <v>0.11499999999999999</v>
      </c>
      <c r="I91" s="2349">
        <v>0.375</v>
      </c>
      <c r="J91" s="708">
        <v>32</v>
      </c>
      <c r="K91" s="708">
        <v>31</v>
      </c>
      <c r="L91" s="708">
        <v>1</v>
      </c>
      <c r="M91" s="708">
        <v>0.2</v>
      </c>
      <c r="N91" s="708"/>
      <c r="O91" s="708"/>
      <c r="P91" s="708"/>
      <c r="Q91" s="708"/>
      <c r="R91" s="708"/>
      <c r="S91" s="708"/>
      <c r="T91" s="708"/>
      <c r="U91" s="708"/>
      <c r="V91" s="708"/>
    </row>
    <row r="92" spans="1:22" ht="12.2" customHeight="1">
      <c r="A92" s="710"/>
      <c r="B92" s="711"/>
      <c r="C92" s="709" t="str">
        <f>Texte!$A$4113</f>
        <v>Laufstallmist und Gülle (40-60% eingestreut)</v>
      </c>
      <c r="D92" s="2348">
        <v>2.15</v>
      </c>
      <c r="E92" s="2349">
        <v>2.75</v>
      </c>
      <c r="F92" s="2349">
        <v>3</v>
      </c>
      <c r="G92" s="2349">
        <v>0.17916666666666667</v>
      </c>
      <c r="H92" s="2349">
        <v>0.22916666666666666</v>
      </c>
      <c r="I92" s="2349">
        <v>0.25</v>
      </c>
      <c r="J92" s="708">
        <v>32</v>
      </c>
      <c r="K92" s="708">
        <v>31</v>
      </c>
      <c r="L92" s="708">
        <v>1</v>
      </c>
      <c r="M92" s="708">
        <v>0.2</v>
      </c>
      <c r="N92" s="708"/>
      <c r="O92" s="708"/>
      <c r="P92" s="708"/>
      <c r="Q92" s="708"/>
      <c r="R92" s="708"/>
      <c r="S92" s="708"/>
      <c r="T92" s="708"/>
      <c r="U92" s="708"/>
      <c r="V92" s="708"/>
    </row>
    <row r="93" spans="1:22" ht="12.2" customHeight="1">
      <c r="A93" s="710"/>
      <c r="B93" s="711"/>
      <c r="C93" s="709" t="str">
        <f>Texte!$A$4114</f>
        <v>Laufstallmist und wenig Gülle (60-90% eingestreut)</v>
      </c>
      <c r="D93" s="2348">
        <v>3.23</v>
      </c>
      <c r="E93" s="2349">
        <v>4.13</v>
      </c>
      <c r="F93" s="2349">
        <v>1.5</v>
      </c>
      <c r="G93" s="2349">
        <v>0.26916666666666667</v>
      </c>
      <c r="H93" s="2349">
        <v>0.34416666666666668</v>
      </c>
      <c r="I93" s="2349">
        <v>0.125</v>
      </c>
      <c r="J93" s="708">
        <v>32</v>
      </c>
      <c r="K93" s="708">
        <v>31</v>
      </c>
      <c r="L93" s="708">
        <v>1</v>
      </c>
      <c r="M93" s="708">
        <v>0.2</v>
      </c>
      <c r="N93" s="708"/>
      <c r="O93" s="708"/>
      <c r="P93" s="708"/>
      <c r="Q93" s="708"/>
      <c r="R93" s="708"/>
      <c r="S93" s="708"/>
      <c r="T93" s="708"/>
      <c r="U93" s="708"/>
      <c r="V93" s="708"/>
    </row>
    <row r="94" spans="1:22" ht="12.2" customHeight="1">
      <c r="A94" s="710"/>
      <c r="B94" s="711"/>
      <c r="C94" s="709" t="str">
        <f>Texte!$A$4115</f>
        <v>Nur Laufstallmist</v>
      </c>
      <c r="D94" s="2348">
        <v>4.3</v>
      </c>
      <c r="E94" s="2349">
        <v>5.5</v>
      </c>
      <c r="F94" s="2349">
        <v>0</v>
      </c>
      <c r="G94" s="2349">
        <v>0.35833333333333334</v>
      </c>
      <c r="H94" s="2349">
        <v>0.45833333333333331</v>
      </c>
      <c r="I94" s="2349">
        <v>0</v>
      </c>
      <c r="J94" s="708">
        <v>32</v>
      </c>
      <c r="K94" s="708">
        <v>0</v>
      </c>
      <c r="L94" s="708">
        <v>1</v>
      </c>
      <c r="M94" s="708">
        <v>0.2</v>
      </c>
      <c r="N94" s="708"/>
      <c r="O94" s="708"/>
      <c r="P94" s="708"/>
      <c r="Q94" s="708"/>
      <c r="R94" s="708"/>
      <c r="S94" s="708"/>
      <c r="T94" s="708"/>
      <c r="U94" s="708"/>
      <c r="V94" s="708"/>
    </row>
    <row r="95" spans="1:22" ht="12.2" customHeight="1">
      <c r="A95" s="710" t="e">
        <f>C95:F102</f>
        <v>#VALUE!</v>
      </c>
      <c r="B95" s="711">
        <f>B74+4</f>
        <v>140</v>
      </c>
      <c r="C95" s="709"/>
      <c r="D95" s="2348"/>
      <c r="E95" s="2349"/>
      <c r="F95" s="2349"/>
      <c r="G95" s="2349"/>
      <c r="H95" s="2349"/>
      <c r="I95" s="2349"/>
      <c r="J95" s="708"/>
      <c r="K95" s="708"/>
      <c r="L95" s="708"/>
      <c r="M95" s="708"/>
      <c r="N95" s="708"/>
      <c r="O95" s="708"/>
      <c r="P95" s="708"/>
      <c r="Q95" s="708"/>
      <c r="R95" s="708"/>
      <c r="S95" s="708"/>
      <c r="T95" s="708"/>
      <c r="U95" s="708"/>
      <c r="V95" s="708"/>
    </row>
    <row r="96" spans="1:22" ht="12.2" customHeight="1">
      <c r="A96" s="710"/>
      <c r="B96" s="711"/>
      <c r="C96" s="709" t="str">
        <f>Texte!A4110</f>
        <v>Freiland</v>
      </c>
      <c r="D96" s="2348">
        <v>0</v>
      </c>
      <c r="E96" s="2349">
        <v>0</v>
      </c>
      <c r="F96" s="2349">
        <v>0</v>
      </c>
      <c r="G96" s="2349">
        <f t="shared" si="8"/>
        <v>0</v>
      </c>
      <c r="H96" s="2349">
        <f t="shared" si="9"/>
        <v>0</v>
      </c>
      <c r="I96" s="2349">
        <f t="shared" si="10"/>
        <v>0</v>
      </c>
      <c r="J96" s="708"/>
      <c r="K96" s="708"/>
      <c r="L96" s="708"/>
      <c r="M96" s="708"/>
      <c r="N96" s="708"/>
      <c r="O96" s="708"/>
      <c r="P96" s="708"/>
      <c r="Q96" s="708"/>
      <c r="R96" s="708"/>
      <c r="S96" s="708"/>
      <c r="T96" s="708"/>
      <c r="U96" s="708"/>
      <c r="V96" s="708"/>
    </row>
    <row r="97" spans="1:22" ht="12.2" customHeight="1">
      <c r="A97" s="710"/>
      <c r="B97" s="711"/>
      <c r="C97" s="709" t="str">
        <f>Texte!A4074</f>
        <v>Nur Gülle</v>
      </c>
      <c r="D97" s="2348">
        <v>0</v>
      </c>
      <c r="E97" s="2349">
        <v>0</v>
      </c>
      <c r="F97" s="2349">
        <v>8</v>
      </c>
      <c r="G97" s="2349">
        <f t="shared" si="8"/>
        <v>0</v>
      </c>
      <c r="H97" s="2349">
        <f t="shared" si="9"/>
        <v>0</v>
      </c>
      <c r="I97" s="2349">
        <f t="shared" si="10"/>
        <v>0.66666666666666663</v>
      </c>
      <c r="J97" s="708">
        <v>0</v>
      </c>
      <c r="K97" s="708">
        <v>2</v>
      </c>
      <c r="L97" s="708">
        <v>1</v>
      </c>
      <c r="M97" s="708">
        <v>0.2</v>
      </c>
      <c r="N97" s="708"/>
      <c r="O97" s="708"/>
      <c r="P97" s="708"/>
      <c r="Q97" s="708"/>
      <c r="R97" s="708"/>
      <c r="S97" s="708"/>
      <c r="T97" s="708"/>
      <c r="U97" s="708"/>
      <c r="V97" s="708"/>
    </row>
    <row r="98" spans="1:22" ht="12.2" customHeight="1">
      <c r="A98" s="710"/>
      <c r="B98" s="711"/>
      <c r="C98" s="709" t="str">
        <f>Texte!A4075</f>
        <v>Kotarme Gülle und Stapelmist</v>
      </c>
      <c r="D98" s="2348">
        <v>2.5</v>
      </c>
      <c r="E98" s="2349">
        <v>3</v>
      </c>
      <c r="F98" s="2349">
        <v>4</v>
      </c>
      <c r="G98" s="2349">
        <f t="shared" si="8"/>
        <v>0.20833333333333334</v>
      </c>
      <c r="H98" s="2349">
        <f t="shared" si="9"/>
        <v>0.25</v>
      </c>
      <c r="I98" s="2349">
        <f t="shared" si="10"/>
        <v>0.33333333333333331</v>
      </c>
      <c r="J98" s="708">
        <v>4</v>
      </c>
      <c r="K98" s="708">
        <v>3</v>
      </c>
      <c r="L98" s="708">
        <v>1</v>
      </c>
      <c r="M98" s="708">
        <v>0.2</v>
      </c>
      <c r="N98" s="708"/>
      <c r="O98" s="708"/>
      <c r="P98" s="708"/>
      <c r="Q98" s="708"/>
      <c r="R98" s="708"/>
      <c r="S98" s="708"/>
      <c r="T98" s="708"/>
      <c r="U98" s="708"/>
      <c r="V98" s="708"/>
    </row>
    <row r="99" spans="1:22" ht="12.2" customHeight="1">
      <c r="A99" s="710"/>
      <c r="B99" s="711"/>
      <c r="C99" s="709" t="str">
        <f>Texte!A4076</f>
        <v>Laufstallmist und viel Gülle (10-40% eingestreut)</v>
      </c>
      <c r="D99" s="2348">
        <v>3</v>
      </c>
      <c r="E99" s="2349">
        <v>1.9</v>
      </c>
      <c r="F99" s="2349">
        <v>6</v>
      </c>
      <c r="G99" s="2349">
        <f t="shared" si="8"/>
        <v>0.25</v>
      </c>
      <c r="H99" s="2349">
        <f t="shared" si="9"/>
        <v>0.15833333333333333</v>
      </c>
      <c r="I99" s="2349">
        <f t="shared" si="10"/>
        <v>0.5</v>
      </c>
      <c r="J99" s="708">
        <v>5</v>
      </c>
      <c r="K99" s="708">
        <v>2</v>
      </c>
      <c r="L99" s="708">
        <v>1</v>
      </c>
      <c r="M99" s="708">
        <v>0.2</v>
      </c>
      <c r="N99" s="708"/>
      <c r="O99" s="708"/>
      <c r="P99" s="708"/>
      <c r="Q99" s="708"/>
      <c r="R99" s="708"/>
      <c r="S99" s="708"/>
      <c r="T99" s="708"/>
      <c r="U99" s="708"/>
      <c r="V99" s="708"/>
    </row>
    <row r="100" spans="1:22" ht="12.2" customHeight="1">
      <c r="A100" s="710"/>
      <c r="B100" s="711"/>
      <c r="C100" s="709" t="str">
        <f>Texte!A4077</f>
        <v>Laufstallmist und Gülle (40-60% eingestreut)</v>
      </c>
      <c r="D100" s="2348">
        <v>6</v>
      </c>
      <c r="E100" s="2349">
        <v>3.8</v>
      </c>
      <c r="F100" s="2349">
        <v>4</v>
      </c>
      <c r="G100" s="2349">
        <f t="shared" si="8"/>
        <v>0.5</v>
      </c>
      <c r="H100" s="2349">
        <f t="shared" si="9"/>
        <v>0.31666666666666665</v>
      </c>
      <c r="I100" s="2349">
        <f t="shared" si="10"/>
        <v>0.33333333333333331</v>
      </c>
      <c r="J100" s="708">
        <v>5</v>
      </c>
      <c r="K100" s="708">
        <v>2</v>
      </c>
      <c r="L100" s="708">
        <v>1</v>
      </c>
      <c r="M100" s="708">
        <v>0.2</v>
      </c>
      <c r="N100" s="708"/>
      <c r="O100" s="708"/>
      <c r="P100" s="708"/>
      <c r="Q100" s="708"/>
      <c r="R100" s="708"/>
      <c r="S100" s="708"/>
      <c r="T100" s="708"/>
      <c r="U100" s="708"/>
      <c r="V100" s="708"/>
    </row>
    <row r="101" spans="1:22" ht="12.2" customHeight="1">
      <c r="A101" s="710"/>
      <c r="B101" s="711"/>
      <c r="C101" s="709" t="str">
        <f>Texte!A4078</f>
        <v>Laufstallmist und wenig Gülle (60-90% eingestreut)</v>
      </c>
      <c r="D101" s="2348">
        <v>9</v>
      </c>
      <c r="E101" s="2349">
        <v>5.7</v>
      </c>
      <c r="F101" s="2349">
        <v>2</v>
      </c>
      <c r="G101" s="2349">
        <f t="shared" si="8"/>
        <v>0.75</v>
      </c>
      <c r="H101" s="2349">
        <f t="shared" si="9"/>
        <v>0.47500000000000003</v>
      </c>
      <c r="I101" s="2349">
        <f t="shared" si="10"/>
        <v>0.16666666666666666</v>
      </c>
      <c r="J101" s="708">
        <v>5</v>
      </c>
      <c r="K101" s="708">
        <v>2</v>
      </c>
      <c r="L101" s="708">
        <v>1</v>
      </c>
      <c r="M101" s="708">
        <v>0.2</v>
      </c>
      <c r="N101" s="708"/>
      <c r="O101" s="708"/>
      <c r="P101" s="708"/>
      <c r="Q101" s="708"/>
      <c r="R101" s="708"/>
      <c r="S101" s="708"/>
      <c r="T101" s="708"/>
      <c r="U101" s="708"/>
      <c r="V101" s="708"/>
    </row>
    <row r="102" spans="1:22" ht="12.2" customHeight="1">
      <c r="A102" s="710"/>
      <c r="B102" s="711"/>
      <c r="C102" s="709" t="str">
        <f>Texte!A4079</f>
        <v>Nur Laufstallmist</v>
      </c>
      <c r="D102" s="2348">
        <v>12</v>
      </c>
      <c r="E102" s="2349">
        <v>7.6</v>
      </c>
      <c r="F102" s="2349">
        <v>0</v>
      </c>
      <c r="G102" s="2349">
        <f t="shared" si="8"/>
        <v>1</v>
      </c>
      <c r="H102" s="2349">
        <f t="shared" si="9"/>
        <v>0.6333333333333333</v>
      </c>
      <c r="I102" s="2349">
        <f t="shared" si="10"/>
        <v>0</v>
      </c>
      <c r="J102" s="708">
        <v>5</v>
      </c>
      <c r="K102" s="708">
        <v>0</v>
      </c>
      <c r="L102" s="708">
        <v>1</v>
      </c>
      <c r="M102" s="708">
        <v>0.2</v>
      </c>
      <c r="N102" s="708"/>
      <c r="O102" s="708"/>
      <c r="P102" s="708"/>
      <c r="Q102" s="708"/>
      <c r="R102" s="708"/>
      <c r="S102" s="708"/>
      <c r="T102" s="708"/>
      <c r="U102" s="708"/>
      <c r="V102" s="708"/>
    </row>
    <row r="103" spans="1:22" ht="12.2" customHeight="1">
      <c r="A103" s="710" t="e">
        <f>C103:F110</f>
        <v>#VALUE!</v>
      </c>
      <c r="B103" s="711">
        <f>B95+4</f>
        <v>144</v>
      </c>
      <c r="C103" s="709"/>
      <c r="D103" s="2348"/>
      <c r="E103" s="2349"/>
      <c r="F103" s="2349"/>
      <c r="G103" s="2349"/>
      <c r="H103" s="2349"/>
      <c r="I103" s="2349"/>
      <c r="J103" s="708"/>
      <c r="K103" s="708"/>
      <c r="L103" s="708"/>
      <c r="M103" s="708"/>
      <c r="N103" s="708"/>
      <c r="O103" s="708"/>
      <c r="P103" s="708"/>
      <c r="Q103" s="708"/>
      <c r="R103" s="708"/>
      <c r="S103" s="708"/>
      <c r="T103" s="708"/>
      <c r="U103" s="708"/>
      <c r="V103" s="708"/>
    </row>
    <row r="104" spans="1:22" ht="12.2" customHeight="1">
      <c r="A104" s="710"/>
      <c r="B104" s="711"/>
      <c r="C104" s="709" t="str">
        <f>Texte!A4110</f>
        <v>Freiland</v>
      </c>
      <c r="D104" s="2348">
        <v>0</v>
      </c>
      <c r="E104" s="2349">
        <v>0</v>
      </c>
      <c r="F104" s="2349">
        <v>0</v>
      </c>
      <c r="G104" s="2349">
        <f t="shared" si="8"/>
        <v>0</v>
      </c>
      <c r="H104" s="2349">
        <f t="shared" si="9"/>
        <v>0</v>
      </c>
      <c r="I104" s="2349">
        <f t="shared" si="10"/>
        <v>0</v>
      </c>
      <c r="J104" s="708"/>
      <c r="K104" s="708"/>
      <c r="L104" s="708"/>
      <c r="M104" s="708"/>
      <c r="N104" s="708"/>
      <c r="O104" s="708"/>
      <c r="P104" s="708"/>
      <c r="Q104" s="708"/>
      <c r="R104" s="708"/>
      <c r="S104" s="708"/>
      <c r="T104" s="708"/>
      <c r="U104" s="708"/>
      <c r="V104" s="708"/>
    </row>
    <row r="105" spans="1:22" ht="12.2" customHeight="1">
      <c r="A105" s="710"/>
      <c r="B105" s="711"/>
      <c r="C105" s="709" t="str">
        <f>Texte!A4074</f>
        <v>Nur Gülle</v>
      </c>
      <c r="D105" s="2348">
        <v>0</v>
      </c>
      <c r="E105" s="2349">
        <v>0</v>
      </c>
      <c r="F105" s="2349">
        <v>12</v>
      </c>
      <c r="G105" s="2349">
        <f t="shared" si="8"/>
        <v>0</v>
      </c>
      <c r="H105" s="2349">
        <f t="shared" si="9"/>
        <v>0</v>
      </c>
      <c r="I105" s="2349">
        <f t="shared" si="10"/>
        <v>1</v>
      </c>
      <c r="J105" s="708">
        <v>0</v>
      </c>
      <c r="K105" s="708">
        <v>2</v>
      </c>
      <c r="L105" s="708">
        <v>1</v>
      </c>
      <c r="M105" s="708">
        <v>0.2</v>
      </c>
      <c r="N105" s="708"/>
      <c r="O105" s="708"/>
      <c r="P105" s="708"/>
      <c r="Q105" s="708"/>
      <c r="R105" s="708"/>
      <c r="S105" s="708"/>
      <c r="T105" s="708"/>
      <c r="U105" s="708"/>
      <c r="V105" s="708"/>
    </row>
    <row r="106" spans="1:22" ht="12.2" customHeight="1">
      <c r="A106" s="710"/>
      <c r="B106" s="711"/>
      <c r="C106" s="709" t="str">
        <f>Texte!A4075</f>
        <v>Kotarme Gülle und Stapelmist</v>
      </c>
      <c r="D106" s="2348">
        <v>3.5</v>
      </c>
      <c r="E106" s="2349">
        <v>4</v>
      </c>
      <c r="F106" s="2349">
        <v>5.4</v>
      </c>
      <c r="G106" s="2349">
        <f t="shared" si="8"/>
        <v>0.29166666666666669</v>
      </c>
      <c r="H106" s="2349">
        <f t="shared" si="9"/>
        <v>0.33333333333333331</v>
      </c>
      <c r="I106" s="2349">
        <f t="shared" si="10"/>
        <v>0.45</v>
      </c>
      <c r="J106" s="708">
        <v>4</v>
      </c>
      <c r="K106" s="708">
        <v>3</v>
      </c>
      <c r="L106" s="708">
        <v>1</v>
      </c>
      <c r="M106" s="708">
        <v>0.2</v>
      </c>
      <c r="N106" s="708"/>
      <c r="O106" s="708"/>
      <c r="P106" s="708"/>
      <c r="Q106" s="708"/>
      <c r="R106" s="708"/>
      <c r="S106" s="708"/>
      <c r="T106" s="708"/>
      <c r="U106" s="708"/>
      <c r="V106" s="708"/>
    </row>
    <row r="107" spans="1:22" ht="12.2" customHeight="1">
      <c r="A107" s="710"/>
      <c r="B107" s="711"/>
      <c r="C107" s="709" t="str">
        <f>Texte!A4076</f>
        <v>Laufstallmist und viel Gülle (10-40% eingestreut)</v>
      </c>
      <c r="D107" s="2348">
        <v>4</v>
      </c>
      <c r="E107" s="2349">
        <v>2.5</v>
      </c>
      <c r="F107" s="2349">
        <v>9</v>
      </c>
      <c r="G107" s="2349">
        <f t="shared" si="8"/>
        <v>0.33333333333333331</v>
      </c>
      <c r="H107" s="2349">
        <f t="shared" si="9"/>
        <v>0.20833333333333334</v>
      </c>
      <c r="I107" s="2349">
        <f t="shared" si="10"/>
        <v>0.75</v>
      </c>
      <c r="J107" s="708">
        <v>5</v>
      </c>
      <c r="K107" s="708">
        <v>2</v>
      </c>
      <c r="L107" s="708">
        <v>1</v>
      </c>
      <c r="M107" s="708">
        <v>0.2</v>
      </c>
      <c r="N107" s="708"/>
      <c r="O107" s="708"/>
      <c r="P107" s="708"/>
      <c r="Q107" s="708"/>
      <c r="R107" s="708"/>
      <c r="S107" s="708"/>
      <c r="T107" s="708"/>
      <c r="U107" s="708"/>
      <c r="V107" s="708"/>
    </row>
    <row r="108" spans="1:22" ht="12.2" customHeight="1">
      <c r="A108" s="710"/>
      <c r="B108" s="711"/>
      <c r="C108" s="709" t="str">
        <f>Texte!A4077</f>
        <v>Laufstallmist und Gülle (40-60% eingestreut)</v>
      </c>
      <c r="D108" s="2348">
        <v>8</v>
      </c>
      <c r="E108" s="2349">
        <v>5</v>
      </c>
      <c r="F108" s="2349">
        <v>6</v>
      </c>
      <c r="G108" s="2349">
        <f t="shared" si="8"/>
        <v>0.66666666666666663</v>
      </c>
      <c r="H108" s="2349">
        <f t="shared" si="9"/>
        <v>0.41666666666666669</v>
      </c>
      <c r="I108" s="2349">
        <f t="shared" si="10"/>
        <v>0.5</v>
      </c>
      <c r="J108" s="708">
        <v>5</v>
      </c>
      <c r="K108" s="708">
        <v>2</v>
      </c>
      <c r="L108" s="708">
        <v>1</v>
      </c>
      <c r="M108" s="708">
        <v>0.2</v>
      </c>
      <c r="N108" s="708"/>
      <c r="O108" s="708"/>
      <c r="P108" s="708"/>
      <c r="Q108" s="708"/>
      <c r="R108" s="708"/>
      <c r="S108" s="708"/>
      <c r="T108" s="708"/>
      <c r="U108" s="708"/>
      <c r="V108" s="708"/>
    </row>
    <row r="109" spans="1:22" ht="12.2" customHeight="1">
      <c r="A109" s="710"/>
      <c r="B109" s="711"/>
      <c r="C109" s="709" t="str">
        <f>Texte!A4078</f>
        <v>Laufstallmist und wenig Gülle (60-90% eingestreut)</v>
      </c>
      <c r="D109" s="2348">
        <v>12</v>
      </c>
      <c r="E109" s="2349">
        <v>7.5</v>
      </c>
      <c r="F109" s="2349">
        <v>3</v>
      </c>
      <c r="G109" s="2349">
        <f t="shared" si="8"/>
        <v>1</v>
      </c>
      <c r="H109" s="2349">
        <f t="shared" si="9"/>
        <v>0.625</v>
      </c>
      <c r="I109" s="2349">
        <f t="shared" si="10"/>
        <v>0.25</v>
      </c>
      <c r="J109" s="708">
        <v>5</v>
      </c>
      <c r="K109" s="708">
        <v>2</v>
      </c>
      <c r="L109" s="708">
        <v>1</v>
      </c>
      <c r="M109" s="708">
        <v>0.2</v>
      </c>
      <c r="N109" s="708"/>
      <c r="O109" s="708"/>
      <c r="P109" s="708"/>
      <c r="Q109" s="708"/>
      <c r="R109" s="708"/>
      <c r="S109" s="708"/>
      <c r="T109" s="708"/>
      <c r="U109" s="708"/>
      <c r="V109" s="708"/>
    </row>
    <row r="110" spans="1:22" ht="12.2" customHeight="1">
      <c r="A110" s="710"/>
      <c r="B110" s="711"/>
      <c r="C110" s="709" t="str">
        <f>Texte!A4079</f>
        <v>Nur Laufstallmist</v>
      </c>
      <c r="D110" s="2348">
        <v>16</v>
      </c>
      <c r="E110" s="2349">
        <v>10</v>
      </c>
      <c r="F110" s="2349">
        <v>0</v>
      </c>
      <c r="G110" s="2349">
        <f t="shared" si="8"/>
        <v>1.3333333333333333</v>
      </c>
      <c r="H110" s="2349">
        <f t="shared" si="9"/>
        <v>0.83333333333333337</v>
      </c>
      <c r="I110" s="2349">
        <f t="shared" si="10"/>
        <v>0</v>
      </c>
      <c r="J110" s="708">
        <v>5</v>
      </c>
      <c r="K110" s="708">
        <v>0</v>
      </c>
      <c r="L110" s="708">
        <v>1</v>
      </c>
      <c r="M110" s="708">
        <v>0.2</v>
      </c>
      <c r="N110" s="708"/>
      <c r="O110" s="708"/>
      <c r="P110" s="708"/>
      <c r="Q110" s="708"/>
      <c r="R110" s="708"/>
      <c r="S110" s="708"/>
      <c r="T110" s="708"/>
      <c r="U110" s="708"/>
      <c r="V110" s="708"/>
    </row>
    <row r="111" spans="1:22" ht="12.2" customHeight="1">
      <c r="A111" s="710" t="e">
        <f>C111:F117</f>
        <v>#VALUE!</v>
      </c>
      <c r="B111" s="711">
        <f>B103+4</f>
        <v>148</v>
      </c>
      <c r="C111" s="709"/>
      <c r="D111" s="2348"/>
      <c r="E111" s="2349"/>
      <c r="F111" s="2349"/>
      <c r="G111" s="2349"/>
      <c r="H111" s="2349"/>
      <c r="I111" s="2349"/>
      <c r="J111" s="708"/>
      <c r="K111" s="708"/>
      <c r="L111" s="708"/>
      <c r="M111" s="708"/>
      <c r="N111" s="708"/>
      <c r="O111" s="708"/>
      <c r="P111" s="708"/>
      <c r="Q111" s="708"/>
      <c r="R111" s="708"/>
      <c r="S111" s="708"/>
      <c r="T111" s="708"/>
      <c r="U111" s="708"/>
      <c r="V111" s="708"/>
    </row>
    <row r="112" spans="1:22" ht="12.2" customHeight="1">
      <c r="A112" s="710"/>
      <c r="B112" s="711"/>
      <c r="C112" s="709" t="str">
        <f>Texte!A4110</f>
        <v>Freiland</v>
      </c>
      <c r="D112" s="2348">
        <v>0</v>
      </c>
      <c r="E112" s="2349">
        <v>0</v>
      </c>
      <c r="F112" s="2349">
        <v>0</v>
      </c>
      <c r="G112" s="2349">
        <f t="shared" si="8"/>
        <v>0</v>
      </c>
      <c r="H112" s="2349">
        <f t="shared" si="9"/>
        <v>0</v>
      </c>
      <c r="I112" s="2349">
        <f t="shared" si="10"/>
        <v>0</v>
      </c>
      <c r="J112" s="708"/>
      <c r="K112" s="708"/>
      <c r="L112" s="708"/>
      <c r="M112" s="708"/>
      <c r="N112" s="708"/>
      <c r="O112" s="708"/>
      <c r="P112" s="708"/>
      <c r="Q112" s="708"/>
      <c r="R112" s="708"/>
      <c r="S112" s="708"/>
      <c r="T112" s="708"/>
      <c r="U112" s="708"/>
      <c r="V112" s="708"/>
    </row>
    <row r="113" spans="1:22" ht="12.2" customHeight="1">
      <c r="A113" s="710"/>
      <c r="B113" s="711"/>
      <c r="C113" s="709" t="str">
        <f>Texte!A4074</f>
        <v>Nur Gülle</v>
      </c>
      <c r="D113" s="2348">
        <v>0</v>
      </c>
      <c r="E113" s="2349">
        <v>0</v>
      </c>
      <c r="F113" s="2349">
        <v>19</v>
      </c>
      <c r="G113" s="2349">
        <f t="shared" si="8"/>
        <v>0</v>
      </c>
      <c r="H113" s="2349">
        <f t="shared" si="9"/>
        <v>0</v>
      </c>
      <c r="I113" s="2349">
        <f t="shared" si="10"/>
        <v>1.5833333333333333</v>
      </c>
      <c r="J113" s="708">
        <v>0</v>
      </c>
      <c r="K113" s="708">
        <v>7</v>
      </c>
      <c r="L113" s="708">
        <v>1</v>
      </c>
      <c r="M113" s="708">
        <v>0.2</v>
      </c>
      <c r="N113" s="708"/>
      <c r="O113" s="708"/>
      <c r="P113" s="708"/>
      <c r="Q113" s="708"/>
      <c r="R113" s="708"/>
      <c r="S113" s="708"/>
      <c r="T113" s="708"/>
      <c r="U113" s="708"/>
      <c r="V113" s="708"/>
    </row>
    <row r="114" spans="1:22" ht="12.2" customHeight="1">
      <c r="A114" s="710"/>
      <c r="B114" s="711"/>
      <c r="C114" s="709" t="str">
        <f>Texte!A4076</f>
        <v>Laufstallmist und viel Gülle (10-40% eingestreut)</v>
      </c>
      <c r="D114" s="2348">
        <v>6.25</v>
      </c>
      <c r="E114" s="2349">
        <v>4.5</v>
      </c>
      <c r="F114" s="2349">
        <v>14.3</v>
      </c>
      <c r="G114" s="2349">
        <f t="shared" si="8"/>
        <v>0.52083333333333337</v>
      </c>
      <c r="H114" s="2349">
        <f t="shared" si="9"/>
        <v>0.375</v>
      </c>
      <c r="I114" s="2349">
        <f t="shared" si="10"/>
        <v>1.1916666666666667</v>
      </c>
      <c r="J114" s="708">
        <v>8</v>
      </c>
      <c r="K114" s="708">
        <v>7</v>
      </c>
      <c r="L114" s="708">
        <v>1</v>
      </c>
      <c r="M114" s="708">
        <v>0.2</v>
      </c>
      <c r="N114" s="708"/>
      <c r="O114" s="708"/>
      <c r="P114" s="708"/>
      <c r="Q114" s="708"/>
      <c r="R114" s="708"/>
      <c r="S114" s="708"/>
      <c r="T114" s="708"/>
      <c r="U114" s="708"/>
      <c r="V114" s="708"/>
    </row>
    <row r="115" spans="1:22" ht="12.2" customHeight="1">
      <c r="A115" s="710"/>
      <c r="B115" s="711"/>
      <c r="C115" s="709" t="str">
        <f>Texte!A4077</f>
        <v>Laufstallmist und Gülle (40-60% eingestreut)</v>
      </c>
      <c r="D115" s="2348">
        <v>12.5</v>
      </c>
      <c r="E115" s="2349">
        <v>9</v>
      </c>
      <c r="F115" s="2349">
        <v>9.5</v>
      </c>
      <c r="G115" s="2349">
        <f t="shared" si="8"/>
        <v>1.0416666666666667</v>
      </c>
      <c r="H115" s="2349">
        <f t="shared" si="9"/>
        <v>0.75</v>
      </c>
      <c r="I115" s="2349">
        <f t="shared" si="10"/>
        <v>0.79166666666666663</v>
      </c>
      <c r="J115" s="708">
        <v>8</v>
      </c>
      <c r="K115" s="708">
        <v>7</v>
      </c>
      <c r="L115" s="708">
        <v>1</v>
      </c>
      <c r="M115" s="708">
        <v>0.2</v>
      </c>
      <c r="N115" s="708"/>
      <c r="O115" s="708"/>
      <c r="P115" s="708"/>
      <c r="Q115" s="708"/>
      <c r="R115" s="708"/>
      <c r="S115" s="708"/>
      <c r="T115" s="708"/>
      <c r="U115" s="708"/>
      <c r="V115" s="708"/>
    </row>
    <row r="116" spans="1:22" ht="12.2" customHeight="1">
      <c r="A116" s="710"/>
      <c r="B116" s="711"/>
      <c r="C116" s="709" t="str">
        <f>Texte!A4078</f>
        <v>Laufstallmist und wenig Gülle (60-90% eingestreut)</v>
      </c>
      <c r="D116" s="2348">
        <v>18.75</v>
      </c>
      <c r="E116" s="2349">
        <v>13.5</v>
      </c>
      <c r="F116" s="2349">
        <v>4.8</v>
      </c>
      <c r="G116" s="2349">
        <f t="shared" si="8"/>
        <v>1.5625</v>
      </c>
      <c r="H116" s="2349">
        <f t="shared" si="9"/>
        <v>1.125</v>
      </c>
      <c r="I116" s="2349">
        <f t="shared" si="10"/>
        <v>0.39999999999999997</v>
      </c>
      <c r="J116" s="708">
        <v>8</v>
      </c>
      <c r="K116" s="708">
        <v>7</v>
      </c>
      <c r="L116" s="708">
        <v>1</v>
      </c>
      <c r="M116" s="708">
        <v>0.2</v>
      </c>
      <c r="N116" s="708"/>
      <c r="O116" s="708"/>
      <c r="P116" s="708"/>
      <c r="Q116" s="708"/>
      <c r="R116" s="708"/>
      <c r="S116" s="708"/>
      <c r="T116" s="708"/>
      <c r="U116" s="708"/>
      <c r="V116" s="708"/>
    </row>
    <row r="117" spans="1:22" ht="12.2" customHeight="1">
      <c r="A117" s="710"/>
      <c r="B117" s="711"/>
      <c r="C117" s="709" t="str">
        <f>Texte!A4079</f>
        <v>Nur Laufstallmist</v>
      </c>
      <c r="D117" s="2348">
        <v>25</v>
      </c>
      <c r="E117" s="2349">
        <v>18</v>
      </c>
      <c r="F117" s="2349">
        <v>0</v>
      </c>
      <c r="G117" s="2349">
        <f t="shared" si="8"/>
        <v>2.0833333333333335</v>
      </c>
      <c r="H117" s="2349">
        <f t="shared" si="9"/>
        <v>1.5</v>
      </c>
      <c r="I117" s="2349">
        <f t="shared" si="10"/>
        <v>0</v>
      </c>
      <c r="J117" s="708">
        <v>8</v>
      </c>
      <c r="K117" s="708">
        <v>0</v>
      </c>
      <c r="L117" s="708">
        <v>1</v>
      </c>
      <c r="M117" s="708">
        <v>0.2</v>
      </c>
      <c r="N117" s="708"/>
      <c r="O117" s="708"/>
      <c r="P117" s="708"/>
      <c r="Q117" s="708"/>
      <c r="R117" s="708"/>
      <c r="S117" s="708"/>
      <c r="T117" s="708"/>
      <c r="U117" s="708"/>
      <c r="V117" s="708"/>
    </row>
    <row r="118" spans="1:22" ht="12.2" customHeight="1">
      <c r="A118" s="710" t="e">
        <f>C118:F119</f>
        <v>#VALUE!</v>
      </c>
      <c r="B118" s="711">
        <f>B111+4</f>
        <v>152</v>
      </c>
      <c r="C118" s="709"/>
      <c r="D118" s="2348"/>
      <c r="E118" s="2349"/>
      <c r="F118" s="2349"/>
      <c r="G118" s="2349"/>
      <c r="H118" s="2349"/>
      <c r="I118" s="2349"/>
      <c r="J118" s="708"/>
      <c r="K118" s="708"/>
      <c r="L118" s="708"/>
      <c r="M118" s="708"/>
      <c r="N118" s="708"/>
      <c r="O118" s="708"/>
      <c r="P118" s="708"/>
      <c r="Q118" s="708"/>
      <c r="R118" s="708"/>
      <c r="S118" s="708"/>
      <c r="T118" s="708"/>
      <c r="U118" s="708"/>
      <c r="V118" s="708"/>
    </row>
    <row r="119" spans="1:22" ht="12.2" customHeight="1">
      <c r="A119" s="710"/>
      <c r="B119" s="711"/>
      <c r="C119" s="709" t="str">
        <f>Texte!A4117</f>
        <v>Nur Laufstallmist</v>
      </c>
      <c r="D119" s="2348">
        <v>4.2</v>
      </c>
      <c r="E119" s="2349">
        <v>3.2</v>
      </c>
      <c r="F119" s="2349">
        <v>0</v>
      </c>
      <c r="G119" s="2349">
        <f t="shared" si="8"/>
        <v>0.35000000000000003</v>
      </c>
      <c r="H119" s="2349">
        <f t="shared" si="9"/>
        <v>0.26666666666666666</v>
      </c>
      <c r="I119" s="2349">
        <f t="shared" si="10"/>
        <v>0</v>
      </c>
      <c r="J119" s="708">
        <v>10</v>
      </c>
      <c r="K119" s="708">
        <v>0</v>
      </c>
      <c r="L119" s="708">
        <v>1</v>
      </c>
      <c r="M119" s="708">
        <v>0.2</v>
      </c>
      <c r="N119" s="708"/>
      <c r="O119" s="708"/>
      <c r="P119" s="708"/>
      <c r="Q119" s="708"/>
      <c r="R119" s="708"/>
      <c r="S119" s="708"/>
      <c r="T119" s="708"/>
      <c r="U119" s="708"/>
      <c r="V119" s="708"/>
    </row>
    <row r="120" spans="1:22" ht="12.2" customHeight="1">
      <c r="A120" s="710" t="e">
        <f>C120:F121</f>
        <v>#VALUE!</v>
      </c>
      <c r="B120" s="711">
        <v>156</v>
      </c>
      <c r="C120" s="709"/>
      <c r="D120" s="2348"/>
      <c r="E120" s="2349"/>
      <c r="F120" s="2349"/>
      <c r="G120" s="2349"/>
      <c r="H120" s="2349"/>
      <c r="I120" s="2349"/>
      <c r="J120" s="708"/>
      <c r="K120" s="708"/>
      <c r="L120" s="708"/>
      <c r="M120" s="708"/>
      <c r="N120" s="708"/>
      <c r="O120" s="708"/>
      <c r="P120" s="708"/>
      <c r="Q120" s="708"/>
      <c r="R120" s="708"/>
      <c r="S120" s="708"/>
      <c r="T120" s="708"/>
      <c r="U120" s="708"/>
      <c r="V120" s="708"/>
    </row>
    <row r="121" spans="1:22" ht="12.2" customHeight="1">
      <c r="A121" s="710"/>
      <c r="B121" s="711"/>
      <c r="C121" s="709" t="str">
        <f>Texte!A4119</f>
        <v>Nur Laufstallmist</v>
      </c>
      <c r="D121" s="2356">
        <f>D119/2.85</f>
        <v>1.4736842105263157</v>
      </c>
      <c r="E121" s="2356">
        <f>E119/2.85</f>
        <v>1.1228070175438596</v>
      </c>
      <c r="F121" s="2356">
        <f>F119/2.85</f>
        <v>0</v>
      </c>
      <c r="G121" s="2349">
        <f>D121/12</f>
        <v>0.12280701754385964</v>
      </c>
      <c r="H121" s="2349">
        <f>E121/12</f>
        <v>9.3567251461988299E-2</v>
      </c>
      <c r="I121" s="2349">
        <f>F121/12</f>
        <v>0</v>
      </c>
      <c r="J121" s="708">
        <v>10</v>
      </c>
      <c r="K121" s="708">
        <v>0</v>
      </c>
      <c r="L121" s="708">
        <v>1</v>
      </c>
      <c r="M121" s="708">
        <v>0.2</v>
      </c>
      <c r="N121" s="708"/>
      <c r="O121" s="708"/>
      <c r="P121" s="708"/>
      <c r="Q121" s="708"/>
      <c r="R121" s="708"/>
      <c r="S121" s="708"/>
      <c r="T121" s="708"/>
      <c r="U121" s="708"/>
      <c r="V121" s="708"/>
    </row>
    <row r="122" spans="1:22" ht="12.2" customHeight="1">
      <c r="A122" s="710" t="e">
        <f>C122:F128</f>
        <v>#VALUE!</v>
      </c>
      <c r="B122" s="711">
        <f>Tierb!A27</f>
        <v>164</v>
      </c>
      <c r="C122" s="709"/>
      <c r="D122" s="2348"/>
      <c r="E122" s="2349"/>
      <c r="F122" s="2349"/>
      <c r="G122" s="2349"/>
      <c r="H122" s="2349"/>
      <c r="I122" s="2349"/>
      <c r="J122" s="708"/>
      <c r="K122" s="708"/>
      <c r="L122" s="708"/>
      <c r="M122" s="708"/>
      <c r="N122" s="708"/>
      <c r="O122" s="708"/>
      <c r="P122" s="708"/>
      <c r="Q122" s="708"/>
      <c r="R122" s="708"/>
      <c r="S122" s="708"/>
      <c r="T122" s="708"/>
      <c r="U122" s="708"/>
      <c r="V122" s="708"/>
    </row>
    <row r="123" spans="1:22" ht="12.2" customHeight="1">
      <c r="A123" s="710"/>
      <c r="B123" s="711"/>
      <c r="C123" s="709" t="str">
        <f>Texte!A4142</f>
        <v>Freiland</v>
      </c>
      <c r="D123" s="2348">
        <v>0</v>
      </c>
      <c r="E123" s="2349">
        <v>0</v>
      </c>
      <c r="F123" s="2349">
        <v>0</v>
      </c>
      <c r="G123" s="2349">
        <f t="shared" si="8"/>
        <v>0</v>
      </c>
      <c r="H123" s="2349">
        <f t="shared" si="9"/>
        <v>0</v>
      </c>
      <c r="I123" s="2349">
        <f t="shared" si="10"/>
        <v>0</v>
      </c>
      <c r="J123" s="708"/>
      <c r="K123" s="708"/>
      <c r="L123" s="708"/>
      <c r="M123" s="708"/>
      <c r="N123" s="708"/>
      <c r="O123" s="708"/>
      <c r="P123" s="708"/>
      <c r="Q123" s="708"/>
      <c r="R123" s="708"/>
      <c r="S123" s="708"/>
      <c r="T123" s="708"/>
      <c r="U123" s="708"/>
      <c r="V123" s="708"/>
    </row>
    <row r="124" spans="1:22" ht="12.2" customHeight="1">
      <c r="A124" s="710"/>
      <c r="B124" s="711"/>
      <c r="C124" s="709" t="str">
        <f>Texte!A4143</f>
        <v>Nur Gülle</v>
      </c>
      <c r="D124" s="2348">
        <v>0</v>
      </c>
      <c r="E124" s="2349">
        <v>0</v>
      </c>
      <c r="F124" s="2349">
        <v>4.3</v>
      </c>
      <c r="G124" s="2349">
        <f t="shared" si="8"/>
        <v>0</v>
      </c>
      <c r="H124" s="2349">
        <f t="shared" si="9"/>
        <v>0</v>
      </c>
      <c r="I124" s="2349">
        <f t="shared" si="10"/>
        <v>0.35833333333333334</v>
      </c>
      <c r="J124" s="708">
        <v>0</v>
      </c>
      <c r="K124" s="708">
        <v>37</v>
      </c>
      <c r="L124" s="708">
        <v>1</v>
      </c>
      <c r="M124" s="708">
        <v>0.2</v>
      </c>
      <c r="N124" s="708"/>
      <c r="O124" s="708"/>
      <c r="P124" s="708"/>
      <c r="Q124" s="708"/>
      <c r="R124" s="708"/>
      <c r="S124" s="708"/>
      <c r="T124" s="708"/>
      <c r="U124" s="708"/>
      <c r="V124" s="708"/>
    </row>
    <row r="125" spans="1:22" ht="12.2" customHeight="1">
      <c r="A125" s="710"/>
      <c r="B125" s="711"/>
      <c r="C125" s="709" t="str">
        <f>Texte!A4144</f>
        <v>Laufstallmist und viel Gülle (10-40% eingestreut)</v>
      </c>
      <c r="D125" s="2348">
        <v>2.5</v>
      </c>
      <c r="E125" s="2349">
        <v>1</v>
      </c>
      <c r="F125" s="2349">
        <v>3.2</v>
      </c>
      <c r="G125" s="2349">
        <f t="shared" si="8"/>
        <v>0.20833333333333334</v>
      </c>
      <c r="H125" s="2349">
        <f t="shared" si="9"/>
        <v>8.3333333333333329E-2</v>
      </c>
      <c r="I125" s="2349">
        <f t="shared" si="10"/>
        <v>0.26666666666666666</v>
      </c>
      <c r="J125" s="708">
        <v>38</v>
      </c>
      <c r="K125" s="708">
        <v>37</v>
      </c>
      <c r="L125" s="708">
        <v>1</v>
      </c>
      <c r="M125" s="708">
        <v>0.2</v>
      </c>
      <c r="N125" s="708"/>
      <c r="O125" s="708"/>
      <c r="P125" s="708"/>
      <c r="Q125" s="708"/>
      <c r="R125" s="708"/>
      <c r="S125" s="708"/>
      <c r="T125" s="708"/>
      <c r="U125" s="708"/>
      <c r="V125" s="708"/>
    </row>
    <row r="126" spans="1:22" ht="12.2" customHeight="1">
      <c r="A126" s="710"/>
      <c r="B126" s="711"/>
      <c r="C126" s="709" t="str">
        <f>Texte!A4145</f>
        <v>Laufstallmist und Gülle (40-60% eingestreut)</v>
      </c>
      <c r="D126" s="2348">
        <v>5</v>
      </c>
      <c r="E126" s="2349">
        <v>2</v>
      </c>
      <c r="F126" s="2349">
        <v>2.2000000000000002</v>
      </c>
      <c r="G126" s="2349">
        <f t="shared" si="8"/>
        <v>0.41666666666666669</v>
      </c>
      <c r="H126" s="2349">
        <f t="shared" si="9"/>
        <v>0.16666666666666666</v>
      </c>
      <c r="I126" s="2349">
        <f t="shared" si="10"/>
        <v>0.18333333333333335</v>
      </c>
      <c r="J126" s="708">
        <v>38</v>
      </c>
      <c r="K126" s="708">
        <v>37</v>
      </c>
      <c r="L126" s="708">
        <v>1</v>
      </c>
      <c r="M126" s="708">
        <v>0.2</v>
      </c>
      <c r="N126" s="708"/>
      <c r="O126" s="708"/>
      <c r="P126" s="708"/>
      <c r="Q126" s="708"/>
      <c r="R126" s="708"/>
      <c r="S126" s="708"/>
      <c r="T126" s="708"/>
      <c r="U126" s="708"/>
      <c r="V126" s="708"/>
    </row>
    <row r="127" spans="1:22" ht="12.2" customHeight="1">
      <c r="A127" s="710"/>
      <c r="B127" s="711"/>
      <c r="C127" s="709" t="str">
        <f>Texte!A4146</f>
        <v>Laufstallmist und wenig Gülle (60-90% eingestreut)</v>
      </c>
      <c r="D127" s="2348">
        <v>7.5</v>
      </c>
      <c r="E127" s="2349">
        <v>3</v>
      </c>
      <c r="F127" s="2349">
        <v>1.1000000000000001</v>
      </c>
      <c r="G127" s="2349">
        <f t="shared" si="8"/>
        <v>0.625</v>
      </c>
      <c r="H127" s="2349">
        <f t="shared" si="9"/>
        <v>0.25</v>
      </c>
      <c r="I127" s="2349">
        <f t="shared" si="10"/>
        <v>9.1666666666666674E-2</v>
      </c>
      <c r="J127" s="708">
        <v>38</v>
      </c>
      <c r="K127" s="708">
        <v>37</v>
      </c>
      <c r="L127" s="708">
        <v>1</v>
      </c>
      <c r="M127" s="708">
        <v>0.2</v>
      </c>
      <c r="N127" s="708"/>
      <c r="O127" s="708"/>
      <c r="P127" s="708"/>
      <c r="Q127" s="708"/>
      <c r="R127" s="708"/>
      <c r="S127" s="708"/>
      <c r="T127" s="708"/>
      <c r="U127" s="708"/>
      <c r="V127" s="708"/>
    </row>
    <row r="128" spans="1:22" ht="12.2" customHeight="1">
      <c r="A128" s="710"/>
      <c r="B128" s="711"/>
      <c r="C128" s="709" t="str">
        <f>Texte!A4147</f>
        <v>Nur Laufstallmist</v>
      </c>
      <c r="D128" s="2348">
        <v>10</v>
      </c>
      <c r="E128" s="2349">
        <v>4</v>
      </c>
      <c r="F128" s="2349">
        <v>0</v>
      </c>
      <c r="G128" s="2349">
        <f t="shared" si="8"/>
        <v>0.83333333333333337</v>
      </c>
      <c r="H128" s="2349">
        <f t="shared" si="9"/>
        <v>0.33333333333333331</v>
      </c>
      <c r="I128" s="2349">
        <f t="shared" si="10"/>
        <v>0</v>
      </c>
      <c r="J128" s="708">
        <v>38</v>
      </c>
      <c r="K128" s="708">
        <v>0</v>
      </c>
      <c r="L128" s="708">
        <v>1</v>
      </c>
      <c r="M128" s="708">
        <v>0.2</v>
      </c>
      <c r="N128" s="708"/>
      <c r="O128" s="708"/>
      <c r="P128" s="708"/>
      <c r="Q128" s="708"/>
      <c r="R128" s="708"/>
      <c r="S128" s="708"/>
      <c r="T128" s="708"/>
      <c r="U128" s="708"/>
      <c r="V128" s="708"/>
    </row>
    <row r="129" spans="1:22" ht="12.2" customHeight="1">
      <c r="A129" s="710" t="e">
        <f>C129:F135</f>
        <v>#VALUE!</v>
      </c>
      <c r="B129" s="711">
        <f>B122+4</f>
        <v>168</v>
      </c>
      <c r="C129" s="709"/>
      <c r="D129" s="2348"/>
      <c r="E129" s="2349"/>
      <c r="F129" s="2349"/>
      <c r="G129" s="2349"/>
      <c r="H129" s="2349"/>
      <c r="I129" s="2349"/>
      <c r="J129" s="708"/>
      <c r="K129" s="708"/>
      <c r="L129" s="708"/>
      <c r="M129" s="708"/>
      <c r="N129" s="708"/>
      <c r="O129" s="708"/>
      <c r="P129" s="708"/>
      <c r="Q129" s="708"/>
      <c r="R129" s="708"/>
      <c r="S129" s="708"/>
      <c r="T129" s="708"/>
      <c r="U129" s="708"/>
      <c r="V129" s="708"/>
    </row>
    <row r="130" spans="1:22" ht="12.2" customHeight="1">
      <c r="A130" s="710"/>
      <c r="B130" s="711"/>
      <c r="C130" s="709" t="str">
        <f>Texte!A4121</f>
        <v>Freiland</v>
      </c>
      <c r="D130" s="2348">
        <v>0</v>
      </c>
      <c r="E130" s="2349">
        <v>0</v>
      </c>
      <c r="F130" s="2349">
        <v>0</v>
      </c>
      <c r="G130" s="2349">
        <f t="shared" si="8"/>
        <v>0</v>
      </c>
      <c r="H130" s="2349">
        <f t="shared" si="9"/>
        <v>0</v>
      </c>
      <c r="I130" s="2349">
        <f t="shared" si="10"/>
        <v>0</v>
      </c>
      <c r="J130" s="708"/>
      <c r="K130" s="708"/>
      <c r="L130" s="708"/>
      <c r="M130" s="708"/>
      <c r="N130" s="708"/>
      <c r="O130" s="708"/>
      <c r="P130" s="708"/>
      <c r="Q130" s="708"/>
      <c r="R130" s="708"/>
      <c r="S130" s="708"/>
      <c r="T130" s="708"/>
      <c r="U130" s="708"/>
      <c r="V130" s="708"/>
    </row>
    <row r="131" spans="1:22" ht="12.2" customHeight="1">
      <c r="A131" s="710"/>
      <c r="B131" s="711"/>
      <c r="C131" s="709" t="str">
        <f>Texte!A4122</f>
        <v>Nur Gülle</v>
      </c>
      <c r="D131" s="2348">
        <v>0</v>
      </c>
      <c r="E131" s="2349">
        <v>0</v>
      </c>
      <c r="F131" s="2349">
        <v>10.5</v>
      </c>
      <c r="G131" s="2349">
        <f t="shared" si="8"/>
        <v>0</v>
      </c>
      <c r="H131" s="2349">
        <f t="shared" si="9"/>
        <v>0</v>
      </c>
      <c r="I131" s="2349">
        <f t="shared" si="10"/>
        <v>0.875</v>
      </c>
      <c r="J131" s="708">
        <v>0</v>
      </c>
      <c r="K131" s="708">
        <v>7</v>
      </c>
      <c r="L131" s="708">
        <v>1</v>
      </c>
      <c r="M131" s="708">
        <v>0.2</v>
      </c>
      <c r="N131" s="708"/>
      <c r="O131" s="708"/>
      <c r="P131" s="708"/>
      <c r="Q131" s="708"/>
      <c r="R131" s="708"/>
      <c r="S131" s="708"/>
      <c r="T131" s="708"/>
      <c r="U131" s="708"/>
      <c r="V131" s="708"/>
    </row>
    <row r="132" spans="1:22" ht="12.2" customHeight="1">
      <c r="A132" s="710"/>
      <c r="B132" s="711"/>
      <c r="C132" s="709" t="str">
        <f>Texte!A4123</f>
        <v>Laufstallmist und viel Gülle (10-40% eingestreut)</v>
      </c>
      <c r="D132" s="2348">
        <v>4.4000000000000004</v>
      </c>
      <c r="E132" s="2349">
        <v>2.4</v>
      </c>
      <c r="F132" s="2349">
        <v>7.9</v>
      </c>
      <c r="G132" s="2349">
        <f t="shared" si="8"/>
        <v>0.3666666666666667</v>
      </c>
      <c r="H132" s="2349">
        <f t="shared" si="9"/>
        <v>0.19999999999999998</v>
      </c>
      <c r="I132" s="2349">
        <f t="shared" si="10"/>
        <v>0.65833333333333333</v>
      </c>
      <c r="J132" s="708">
        <v>8</v>
      </c>
      <c r="K132" s="708">
        <v>7</v>
      </c>
      <c r="L132" s="708">
        <v>1</v>
      </c>
      <c r="M132" s="708">
        <v>0.2</v>
      </c>
      <c r="N132" s="708"/>
      <c r="O132" s="708"/>
      <c r="P132" s="708"/>
      <c r="Q132" s="708"/>
      <c r="R132" s="708"/>
      <c r="S132" s="708"/>
      <c r="T132" s="708"/>
      <c r="U132" s="708"/>
      <c r="V132" s="708"/>
    </row>
    <row r="133" spans="1:22" ht="12.2" customHeight="1">
      <c r="A133" s="710"/>
      <c r="B133" s="711"/>
      <c r="C133" s="709" t="str">
        <f>Texte!A4124</f>
        <v>Laufstallmist und Gülle (40-60% eingestreut)</v>
      </c>
      <c r="D133" s="2348">
        <v>8.8000000000000007</v>
      </c>
      <c r="E133" s="2349">
        <v>4.8</v>
      </c>
      <c r="F133" s="2349">
        <v>5.3</v>
      </c>
      <c r="G133" s="2349">
        <f t="shared" si="8"/>
        <v>0.73333333333333339</v>
      </c>
      <c r="H133" s="2349">
        <f t="shared" si="9"/>
        <v>0.39999999999999997</v>
      </c>
      <c r="I133" s="2349">
        <f t="shared" si="10"/>
        <v>0.44166666666666665</v>
      </c>
      <c r="J133" s="708">
        <v>8</v>
      </c>
      <c r="K133" s="708">
        <v>7</v>
      </c>
      <c r="L133" s="708">
        <v>1</v>
      </c>
      <c r="M133" s="708">
        <v>0.2</v>
      </c>
      <c r="N133" s="708"/>
      <c r="O133" s="708"/>
      <c r="P133" s="708"/>
      <c r="Q133" s="708"/>
      <c r="R133" s="708"/>
      <c r="S133" s="708"/>
      <c r="T133" s="708"/>
      <c r="U133" s="708"/>
      <c r="V133" s="708"/>
    </row>
    <row r="134" spans="1:22" ht="12.2" customHeight="1">
      <c r="A134" s="710"/>
      <c r="B134" s="711"/>
      <c r="C134" s="709" t="str">
        <f>Texte!A4125</f>
        <v>Laufstallmist und wenig Gülle (60-90% eingestreut)</v>
      </c>
      <c r="D134" s="2348">
        <v>13.1</v>
      </c>
      <c r="E134" s="2349">
        <v>7.1</v>
      </c>
      <c r="F134" s="2349">
        <v>2.6</v>
      </c>
      <c r="G134" s="2349">
        <f t="shared" si="8"/>
        <v>1.0916666666666666</v>
      </c>
      <c r="H134" s="2349">
        <f t="shared" si="9"/>
        <v>0.59166666666666667</v>
      </c>
      <c r="I134" s="2349">
        <f t="shared" si="10"/>
        <v>0.21666666666666667</v>
      </c>
      <c r="J134" s="708">
        <v>8</v>
      </c>
      <c r="K134" s="708">
        <v>7</v>
      </c>
      <c r="L134" s="708">
        <v>1</v>
      </c>
      <c r="M134" s="708">
        <v>0.2</v>
      </c>
      <c r="N134" s="708"/>
      <c r="O134" s="708"/>
      <c r="P134" s="708"/>
      <c r="Q134" s="708"/>
      <c r="R134" s="708"/>
      <c r="S134" s="708"/>
      <c r="T134" s="708"/>
      <c r="U134" s="708"/>
      <c r="V134" s="708"/>
    </row>
    <row r="135" spans="1:22" ht="12.2" customHeight="1">
      <c r="A135" s="710"/>
      <c r="B135" s="711"/>
      <c r="C135" s="709" t="str">
        <f>Texte!A4126</f>
        <v>Nur Laufstallmist</v>
      </c>
      <c r="D135" s="2348">
        <v>17.5</v>
      </c>
      <c r="E135" s="2349">
        <v>9.5</v>
      </c>
      <c r="F135" s="2349">
        <v>0</v>
      </c>
      <c r="G135" s="2349">
        <f t="shared" si="8"/>
        <v>1.4583333333333333</v>
      </c>
      <c r="H135" s="2349">
        <f t="shared" si="9"/>
        <v>0.79166666666666663</v>
      </c>
      <c r="I135" s="2349">
        <f t="shared" si="10"/>
        <v>0</v>
      </c>
      <c r="J135" s="708">
        <v>8</v>
      </c>
      <c r="K135" s="708">
        <v>0</v>
      </c>
      <c r="L135" s="708">
        <v>1</v>
      </c>
      <c r="M135" s="708">
        <v>0.2</v>
      </c>
      <c r="N135" s="708"/>
      <c r="O135" s="708"/>
      <c r="P135" s="708"/>
      <c r="Q135" s="708"/>
      <c r="R135" s="708"/>
      <c r="S135" s="708"/>
      <c r="T135" s="708"/>
      <c r="U135" s="708"/>
      <c r="V135" s="708"/>
    </row>
    <row r="136" spans="1:22" ht="12.2" customHeight="1">
      <c r="A136" s="710" t="e">
        <f>C136:F142</f>
        <v>#VALUE!</v>
      </c>
      <c r="B136" s="711">
        <f>Tierb!A29</f>
        <v>172</v>
      </c>
      <c r="C136" s="709"/>
      <c r="D136" s="2348"/>
      <c r="E136" s="2349"/>
      <c r="F136" s="2349"/>
      <c r="G136" s="2349"/>
      <c r="H136" s="2349"/>
      <c r="I136" s="2349"/>
      <c r="J136" s="708"/>
      <c r="K136" s="708"/>
      <c r="L136" s="708"/>
      <c r="M136" s="708"/>
      <c r="N136" s="708"/>
      <c r="O136" s="708"/>
      <c r="P136" s="708"/>
      <c r="Q136" s="708"/>
      <c r="R136" s="708"/>
      <c r="S136" s="708"/>
      <c r="T136" s="708"/>
      <c r="U136" s="708"/>
      <c r="V136" s="708"/>
    </row>
    <row r="137" spans="1:22" ht="12.2" customHeight="1">
      <c r="A137" s="710"/>
      <c r="B137" s="711"/>
      <c r="C137" s="709" t="str">
        <f>Texte!A4128</f>
        <v>Freiland</v>
      </c>
      <c r="D137" s="2348">
        <v>0</v>
      </c>
      <c r="E137" s="2349">
        <v>0</v>
      </c>
      <c r="F137" s="2349">
        <v>0</v>
      </c>
      <c r="G137" s="2349">
        <f t="shared" si="8"/>
        <v>0</v>
      </c>
      <c r="H137" s="2349">
        <f t="shared" si="9"/>
        <v>0</v>
      </c>
      <c r="I137" s="2349">
        <f t="shared" si="10"/>
        <v>0</v>
      </c>
      <c r="J137" s="708"/>
      <c r="K137" s="708"/>
      <c r="L137" s="708"/>
      <c r="M137" s="708"/>
      <c r="N137" s="708"/>
      <c r="O137" s="708"/>
      <c r="P137" s="708"/>
      <c r="Q137" s="708"/>
      <c r="R137" s="708"/>
      <c r="S137" s="708"/>
      <c r="T137" s="708"/>
      <c r="U137" s="708"/>
      <c r="V137" s="708"/>
    </row>
    <row r="138" spans="1:22" ht="12.2" customHeight="1">
      <c r="A138" s="710"/>
      <c r="B138" s="711"/>
      <c r="C138" s="709" t="str">
        <f>Texte!A4129</f>
        <v>Nur Gülle</v>
      </c>
      <c r="D138" s="2348">
        <v>0</v>
      </c>
      <c r="E138" s="2349">
        <v>0</v>
      </c>
      <c r="F138" s="2349">
        <v>7.5</v>
      </c>
      <c r="G138" s="2349">
        <f t="shared" si="8"/>
        <v>0</v>
      </c>
      <c r="H138" s="2349">
        <f t="shared" si="9"/>
        <v>0</v>
      </c>
      <c r="I138" s="2349">
        <f t="shared" si="10"/>
        <v>0.625</v>
      </c>
      <c r="J138" s="708">
        <v>0</v>
      </c>
      <c r="K138" s="708">
        <v>7</v>
      </c>
      <c r="L138" s="708">
        <v>1</v>
      </c>
      <c r="M138" s="708">
        <v>0.2</v>
      </c>
      <c r="N138" s="708"/>
      <c r="O138" s="708"/>
      <c r="P138" s="708"/>
      <c r="Q138" s="708"/>
      <c r="R138" s="708"/>
      <c r="S138" s="708"/>
      <c r="T138" s="708"/>
      <c r="U138" s="708"/>
      <c r="V138" s="708"/>
    </row>
    <row r="139" spans="1:22" ht="12.2" customHeight="1">
      <c r="A139" s="710"/>
      <c r="B139" s="711"/>
      <c r="C139" s="709" t="str">
        <f>Texte!A4130</f>
        <v>Laufstallmist und viel Gülle (10-40% eingestreut)</v>
      </c>
      <c r="D139" s="2348">
        <v>3.75</v>
      </c>
      <c r="E139" s="2349">
        <v>1.7</v>
      </c>
      <c r="F139" s="2349">
        <v>5.6</v>
      </c>
      <c r="G139" s="2349">
        <f t="shared" si="8"/>
        <v>0.3125</v>
      </c>
      <c r="H139" s="2349">
        <f t="shared" si="9"/>
        <v>0.14166666666666666</v>
      </c>
      <c r="I139" s="2349">
        <f t="shared" si="10"/>
        <v>0.46666666666666662</v>
      </c>
      <c r="J139" s="708">
        <v>8</v>
      </c>
      <c r="K139" s="708">
        <v>7</v>
      </c>
      <c r="L139" s="708">
        <v>1</v>
      </c>
      <c r="M139" s="708">
        <v>0.2</v>
      </c>
      <c r="N139" s="708"/>
      <c r="O139" s="708"/>
      <c r="P139" s="708"/>
      <c r="Q139" s="708"/>
      <c r="R139" s="708"/>
      <c r="S139" s="708"/>
      <c r="T139" s="708"/>
      <c r="U139" s="708"/>
      <c r="V139" s="708"/>
    </row>
    <row r="140" spans="1:22" ht="12.2" customHeight="1">
      <c r="A140" s="710"/>
      <c r="B140" s="711"/>
      <c r="C140" s="709" t="str">
        <f>Texte!A4131</f>
        <v>Laufstallmist und Gülle (40-60% eingestreut)</v>
      </c>
      <c r="D140" s="2348">
        <v>7.5</v>
      </c>
      <c r="E140" s="2349">
        <v>3.4</v>
      </c>
      <c r="F140" s="2349">
        <v>3.8</v>
      </c>
      <c r="G140" s="2349">
        <f t="shared" si="8"/>
        <v>0.625</v>
      </c>
      <c r="H140" s="2349">
        <f t="shared" si="9"/>
        <v>0.28333333333333333</v>
      </c>
      <c r="I140" s="2349">
        <f t="shared" si="10"/>
        <v>0.31666666666666665</v>
      </c>
      <c r="J140" s="708">
        <v>8</v>
      </c>
      <c r="K140" s="708">
        <v>7</v>
      </c>
      <c r="L140" s="708">
        <v>1</v>
      </c>
      <c r="M140" s="708">
        <v>0.2</v>
      </c>
      <c r="N140" s="708"/>
      <c r="O140" s="708"/>
      <c r="P140" s="708"/>
      <c r="Q140" s="708"/>
      <c r="R140" s="708"/>
      <c r="S140" s="708"/>
      <c r="T140" s="708"/>
      <c r="U140" s="708"/>
      <c r="V140" s="708"/>
    </row>
    <row r="141" spans="1:22" ht="12.2" customHeight="1">
      <c r="A141" s="710"/>
      <c r="B141" s="711"/>
      <c r="C141" s="709" t="str">
        <f>Texte!A4132</f>
        <v>Laufstallmist und wenig Gülle (60-90% eingestreut)</v>
      </c>
      <c r="D141" s="2348">
        <v>11.25</v>
      </c>
      <c r="E141" s="2349">
        <v>5.0999999999999996</v>
      </c>
      <c r="F141" s="2349">
        <v>1.9</v>
      </c>
      <c r="G141" s="2349">
        <f t="shared" si="8"/>
        <v>0.9375</v>
      </c>
      <c r="H141" s="2349">
        <f t="shared" si="9"/>
        <v>0.42499999999999999</v>
      </c>
      <c r="I141" s="2349">
        <f t="shared" si="10"/>
        <v>0.15833333333333333</v>
      </c>
      <c r="J141" s="708">
        <v>8</v>
      </c>
      <c r="K141" s="708">
        <v>7</v>
      </c>
      <c r="L141" s="708">
        <v>1</v>
      </c>
      <c r="M141" s="708">
        <v>0.2</v>
      </c>
      <c r="N141" s="708"/>
      <c r="O141" s="708"/>
      <c r="P141" s="708"/>
      <c r="Q141" s="708"/>
      <c r="R141" s="708"/>
      <c r="S141" s="708"/>
      <c r="T141" s="708"/>
      <c r="U141" s="708"/>
      <c r="V141" s="708"/>
    </row>
    <row r="142" spans="1:22" ht="12.2" customHeight="1">
      <c r="A142" s="710"/>
      <c r="B142" s="711"/>
      <c r="C142" s="709" t="str">
        <f>Texte!A4133</f>
        <v>Nur Laufstallmist</v>
      </c>
      <c r="D142" s="2348">
        <v>15</v>
      </c>
      <c r="E142" s="2349">
        <v>6.8</v>
      </c>
      <c r="F142" s="2349">
        <v>0</v>
      </c>
      <c r="G142" s="2349">
        <f t="shared" si="8"/>
        <v>1.25</v>
      </c>
      <c r="H142" s="2349">
        <f t="shared" si="9"/>
        <v>0.56666666666666665</v>
      </c>
      <c r="I142" s="2349">
        <f t="shared" si="10"/>
        <v>0</v>
      </c>
      <c r="J142" s="708">
        <v>8</v>
      </c>
      <c r="K142" s="708">
        <v>0</v>
      </c>
      <c r="L142" s="708">
        <v>1</v>
      </c>
      <c r="M142" s="708">
        <v>0.2</v>
      </c>
      <c r="N142" s="708"/>
      <c r="O142" s="708"/>
      <c r="P142" s="708"/>
      <c r="Q142" s="708"/>
      <c r="R142" s="708"/>
      <c r="S142" s="708"/>
      <c r="T142" s="708"/>
      <c r="U142" s="708"/>
      <c r="V142" s="708"/>
    </row>
    <row r="143" spans="1:22" ht="12.2" customHeight="1">
      <c r="A143" s="710" t="e">
        <f>C143:F150</f>
        <v>#VALUE!</v>
      </c>
      <c r="B143" s="711">
        <f>D_Tierb!A30</f>
        <v>180</v>
      </c>
      <c r="C143" s="709"/>
      <c r="D143" s="2348"/>
      <c r="E143" s="2349"/>
      <c r="F143" s="2349"/>
      <c r="G143" s="2349"/>
      <c r="H143" s="2349"/>
      <c r="I143" s="2349"/>
      <c r="J143" s="708"/>
      <c r="K143" s="708"/>
      <c r="L143" s="708"/>
      <c r="M143" s="708"/>
      <c r="N143" s="708"/>
      <c r="O143" s="708"/>
      <c r="P143" s="708"/>
      <c r="Q143" s="708"/>
      <c r="R143" s="708"/>
      <c r="S143" s="708"/>
      <c r="T143" s="708"/>
      <c r="U143" s="708"/>
      <c r="V143" s="708"/>
    </row>
    <row r="144" spans="1:22" ht="12.2" customHeight="1">
      <c r="A144" s="710"/>
      <c r="B144" s="711"/>
      <c r="C144" s="709" t="str">
        <f>Texte!A4155</f>
        <v>Freiland</v>
      </c>
      <c r="D144" s="3369"/>
      <c r="E144" s="3370"/>
      <c r="F144" s="3370"/>
      <c r="G144" s="2349">
        <f t="shared" ref="G144:G216" si="11">D144/12</f>
        <v>0</v>
      </c>
      <c r="H144" s="2349">
        <f t="shared" ref="H144:H216" si="12">E144/12</f>
        <v>0</v>
      </c>
      <c r="I144" s="2349">
        <f t="shared" ref="I144:I216" si="13">F144/12</f>
        <v>0</v>
      </c>
      <c r="J144" s="708"/>
      <c r="K144" s="708"/>
      <c r="L144" s="708"/>
      <c r="M144" s="708"/>
      <c r="N144" s="708"/>
      <c r="O144" s="708"/>
      <c r="P144" s="708"/>
      <c r="Q144" s="708"/>
      <c r="R144" s="708"/>
      <c r="S144" s="708"/>
      <c r="T144" s="708"/>
      <c r="U144" s="708"/>
      <c r="V144" s="708"/>
    </row>
    <row r="145" spans="1:22" ht="12.2" customHeight="1">
      <c r="A145" s="710"/>
      <c r="B145" s="711"/>
      <c r="C145" s="709" t="str">
        <f>Texte!A4156</f>
        <v>Nur Gülle</v>
      </c>
      <c r="D145" s="3369"/>
      <c r="E145" s="3370"/>
      <c r="F145" s="3370"/>
      <c r="G145" s="2349">
        <f t="shared" si="11"/>
        <v>0</v>
      </c>
      <c r="H145" s="2349">
        <f t="shared" si="12"/>
        <v>0</v>
      </c>
      <c r="I145" s="2349">
        <f t="shared" si="13"/>
        <v>0</v>
      </c>
      <c r="J145" s="708">
        <v>0</v>
      </c>
      <c r="K145" s="708">
        <v>2</v>
      </c>
      <c r="L145" s="708">
        <v>1</v>
      </c>
      <c r="M145" s="708">
        <v>0.2</v>
      </c>
      <c r="N145" s="708"/>
      <c r="O145" s="708"/>
      <c r="P145" s="708"/>
      <c r="Q145" s="708"/>
      <c r="R145" s="708"/>
      <c r="S145" s="708"/>
      <c r="T145" s="708"/>
      <c r="U145" s="708"/>
      <c r="V145" s="708"/>
    </row>
    <row r="146" spans="1:22" ht="12.2" customHeight="1">
      <c r="A146" s="710"/>
      <c r="B146" s="711"/>
      <c r="C146" s="709" t="str">
        <f>Texte!A4157</f>
        <v>Kotarme Gülle und Stapelmist</v>
      </c>
      <c r="D146" s="3369"/>
      <c r="E146" s="3370"/>
      <c r="F146" s="3370"/>
      <c r="G146" s="2349">
        <f t="shared" si="11"/>
        <v>0</v>
      </c>
      <c r="H146" s="2349">
        <f t="shared" si="12"/>
        <v>0</v>
      </c>
      <c r="I146" s="2349">
        <f t="shared" si="13"/>
        <v>0</v>
      </c>
      <c r="J146" s="708">
        <v>4</v>
      </c>
      <c r="K146" s="708">
        <v>3</v>
      </c>
      <c r="L146" s="708">
        <v>1</v>
      </c>
      <c r="M146" s="708">
        <v>0.2</v>
      </c>
      <c r="N146" s="708"/>
      <c r="O146" s="708"/>
      <c r="P146" s="708"/>
      <c r="Q146" s="708"/>
      <c r="R146" s="708"/>
      <c r="S146" s="708"/>
      <c r="T146" s="708"/>
      <c r="U146" s="708"/>
      <c r="V146" s="708"/>
    </row>
    <row r="147" spans="1:22" ht="12.2" customHeight="1">
      <c r="A147" s="710"/>
      <c r="B147" s="711"/>
      <c r="C147" s="709" t="str">
        <f>Texte!A4158</f>
        <v>Laufstallmist und viel Gülle (10-40% eingestreut)</v>
      </c>
      <c r="D147" s="3369"/>
      <c r="E147" s="3370"/>
      <c r="F147" s="3370"/>
      <c r="G147" s="2349">
        <f t="shared" si="11"/>
        <v>0</v>
      </c>
      <c r="H147" s="2349">
        <f t="shared" si="12"/>
        <v>0</v>
      </c>
      <c r="I147" s="2349">
        <f t="shared" si="13"/>
        <v>0</v>
      </c>
      <c r="J147" s="708">
        <v>5</v>
      </c>
      <c r="K147" s="708">
        <v>2</v>
      </c>
      <c r="L147" s="708">
        <v>1</v>
      </c>
      <c r="M147" s="708">
        <v>0.2</v>
      </c>
      <c r="N147" s="708"/>
      <c r="O147" s="708"/>
      <c r="P147" s="708"/>
      <c r="Q147" s="708"/>
      <c r="R147" s="708"/>
      <c r="S147" s="708"/>
      <c r="T147" s="708"/>
      <c r="U147" s="708"/>
      <c r="V147" s="708"/>
    </row>
    <row r="148" spans="1:22" ht="12.2" customHeight="1">
      <c r="A148" s="710"/>
      <c r="B148" s="711"/>
      <c r="C148" s="709" t="str">
        <f>Texte!A4159</f>
        <v>Laufstallmist und Gülle (40-60% eingestreut)</v>
      </c>
      <c r="D148" s="3369"/>
      <c r="E148" s="3370"/>
      <c r="F148" s="3370"/>
      <c r="G148" s="2349">
        <f t="shared" si="11"/>
        <v>0</v>
      </c>
      <c r="H148" s="2349">
        <f t="shared" si="12"/>
        <v>0</v>
      </c>
      <c r="I148" s="2349">
        <f t="shared" si="13"/>
        <v>0</v>
      </c>
      <c r="J148" s="708">
        <v>5</v>
      </c>
      <c r="K148" s="708">
        <v>2</v>
      </c>
      <c r="L148" s="708">
        <v>1</v>
      </c>
      <c r="M148" s="708">
        <v>0.2</v>
      </c>
      <c r="N148" s="708"/>
      <c r="O148" s="708"/>
      <c r="P148" s="708"/>
      <c r="Q148" s="708"/>
      <c r="R148" s="708"/>
      <c r="S148" s="708"/>
      <c r="T148" s="708"/>
      <c r="U148" s="708"/>
      <c r="V148" s="708"/>
    </row>
    <row r="149" spans="1:22" ht="12.2" customHeight="1">
      <c r="A149" s="710"/>
      <c r="B149" s="711"/>
      <c r="C149" s="709" t="str">
        <f>Texte!A4160</f>
        <v>Laufstallmist und wenig Gülle (60-90% eingestreut)</v>
      </c>
      <c r="D149" s="3369"/>
      <c r="E149" s="3370"/>
      <c r="F149" s="3370"/>
      <c r="G149" s="2349">
        <f t="shared" si="11"/>
        <v>0</v>
      </c>
      <c r="H149" s="2349">
        <f t="shared" si="12"/>
        <v>0</v>
      </c>
      <c r="I149" s="2349">
        <f t="shared" si="13"/>
        <v>0</v>
      </c>
      <c r="J149" s="708">
        <v>5</v>
      </c>
      <c r="K149" s="708">
        <v>2</v>
      </c>
      <c r="L149" s="708">
        <v>1</v>
      </c>
      <c r="M149" s="708">
        <v>0.2</v>
      </c>
      <c r="N149" s="708"/>
      <c r="O149" s="708"/>
      <c r="P149" s="708"/>
      <c r="Q149" s="708"/>
      <c r="R149" s="708"/>
      <c r="S149" s="708"/>
      <c r="T149" s="708"/>
      <c r="U149" s="708"/>
      <c r="V149" s="708"/>
    </row>
    <row r="150" spans="1:22" ht="12.2" customHeight="1">
      <c r="A150" s="710"/>
      <c r="B150" s="711"/>
      <c r="C150" s="709" t="str">
        <f>Texte!A4161</f>
        <v>Nur Laufstallmist</v>
      </c>
      <c r="D150" s="3369"/>
      <c r="E150" s="3370"/>
      <c r="F150" s="3370"/>
      <c r="G150" s="2349">
        <f t="shared" si="11"/>
        <v>0</v>
      </c>
      <c r="H150" s="2349">
        <f t="shared" si="12"/>
        <v>0</v>
      </c>
      <c r="I150" s="2349">
        <f t="shared" si="13"/>
        <v>0</v>
      </c>
      <c r="J150" s="708">
        <v>5</v>
      </c>
      <c r="K150" s="708">
        <v>0</v>
      </c>
      <c r="L150" s="708">
        <v>1</v>
      </c>
      <c r="M150" s="708">
        <v>0.2</v>
      </c>
      <c r="N150" s="708"/>
      <c r="O150" s="708"/>
      <c r="P150" s="708"/>
      <c r="Q150" s="708"/>
      <c r="R150" s="708"/>
      <c r="S150" s="708"/>
      <c r="T150" s="708"/>
      <c r="U150" s="708"/>
      <c r="V150" s="708"/>
    </row>
    <row r="151" spans="1:22" ht="12.2" customHeight="1">
      <c r="A151" s="710" t="e">
        <f>C151:F158</f>
        <v>#VALUE!</v>
      </c>
      <c r="B151" s="711">
        <f>D_Tierb!A31</f>
        <v>184</v>
      </c>
      <c r="C151" s="709"/>
      <c r="D151" s="2348"/>
      <c r="E151" s="2349"/>
      <c r="F151" s="2349"/>
      <c r="G151" s="2349">
        <f t="shared" si="11"/>
        <v>0</v>
      </c>
      <c r="H151" s="2349">
        <f t="shared" si="12"/>
        <v>0</v>
      </c>
      <c r="I151" s="2349">
        <f t="shared" si="13"/>
        <v>0</v>
      </c>
      <c r="J151" s="708"/>
      <c r="K151" s="708"/>
      <c r="L151" s="708"/>
      <c r="M151" s="708"/>
      <c r="N151" s="708"/>
      <c r="O151" s="708"/>
      <c r="P151" s="708"/>
      <c r="Q151" s="708"/>
      <c r="R151" s="708"/>
      <c r="S151" s="708"/>
      <c r="T151" s="708"/>
      <c r="U151" s="708"/>
      <c r="V151" s="708"/>
    </row>
    <row r="152" spans="1:22" ht="12.2" customHeight="1">
      <c r="A152" s="710"/>
      <c r="B152" s="711"/>
      <c r="C152" s="709" t="str">
        <f>Texte!A4163</f>
        <v>Freiland</v>
      </c>
      <c r="D152" s="3369"/>
      <c r="E152" s="3370"/>
      <c r="F152" s="3370"/>
      <c r="G152" s="2349">
        <f t="shared" si="11"/>
        <v>0</v>
      </c>
      <c r="H152" s="2349">
        <f t="shared" si="12"/>
        <v>0</v>
      </c>
      <c r="I152" s="2349">
        <f t="shared" si="13"/>
        <v>0</v>
      </c>
      <c r="J152" s="708"/>
      <c r="K152" s="708"/>
      <c r="L152" s="708"/>
      <c r="M152" s="708"/>
      <c r="N152" s="708"/>
      <c r="O152" s="708"/>
      <c r="P152" s="708"/>
      <c r="Q152" s="708"/>
      <c r="R152" s="708"/>
      <c r="S152" s="708"/>
      <c r="T152" s="708"/>
      <c r="U152" s="708"/>
      <c r="V152" s="708"/>
    </row>
    <row r="153" spans="1:22" ht="12.2" customHeight="1">
      <c r="A153" s="710"/>
      <c r="B153" s="711"/>
      <c r="C153" s="709" t="str">
        <f>Texte!A4164</f>
        <v>Nur Gülle</v>
      </c>
      <c r="D153" s="3369"/>
      <c r="E153" s="3370"/>
      <c r="F153" s="3370"/>
      <c r="G153" s="2349">
        <f t="shared" si="11"/>
        <v>0</v>
      </c>
      <c r="H153" s="2349">
        <f t="shared" si="12"/>
        <v>0</v>
      </c>
      <c r="I153" s="2349">
        <f t="shared" si="13"/>
        <v>0</v>
      </c>
      <c r="J153" s="708">
        <v>0</v>
      </c>
      <c r="K153" s="708">
        <v>2</v>
      </c>
      <c r="L153" s="708">
        <v>1</v>
      </c>
      <c r="M153" s="708">
        <v>0.2</v>
      </c>
      <c r="N153" s="708"/>
      <c r="O153" s="708"/>
      <c r="P153" s="708"/>
      <c r="Q153" s="708"/>
      <c r="R153" s="708"/>
      <c r="S153" s="708"/>
      <c r="T153" s="708"/>
      <c r="U153" s="708"/>
      <c r="V153" s="708"/>
    </row>
    <row r="154" spans="1:22" ht="12.2" customHeight="1">
      <c r="A154" s="710"/>
      <c r="B154" s="711"/>
      <c r="C154" s="709" t="str">
        <f>Texte!A4165</f>
        <v>Kotarme Gülle und Stapelmist</v>
      </c>
      <c r="D154" s="3369"/>
      <c r="E154" s="3370"/>
      <c r="F154" s="3370"/>
      <c r="G154" s="2349">
        <f t="shared" si="11"/>
        <v>0</v>
      </c>
      <c r="H154" s="2349">
        <f t="shared" si="12"/>
        <v>0</v>
      </c>
      <c r="I154" s="2349">
        <f t="shared" si="13"/>
        <v>0</v>
      </c>
      <c r="J154" s="708">
        <v>4</v>
      </c>
      <c r="K154" s="708">
        <v>3</v>
      </c>
      <c r="L154" s="708">
        <v>1</v>
      </c>
      <c r="M154" s="708">
        <v>0.2</v>
      </c>
      <c r="N154" s="708"/>
      <c r="O154" s="708"/>
      <c r="P154" s="708"/>
      <c r="Q154" s="708"/>
      <c r="R154" s="708"/>
      <c r="S154" s="708"/>
      <c r="T154" s="708"/>
      <c r="U154" s="708"/>
      <c r="V154" s="708"/>
    </row>
    <row r="155" spans="1:22" ht="12.2" customHeight="1">
      <c r="A155" s="710"/>
      <c r="B155" s="711"/>
      <c r="C155" s="709" t="str">
        <f>Texte!A4166</f>
        <v>Laufstallmist und viel Gülle (10-40% eingestreut)</v>
      </c>
      <c r="D155" s="3369"/>
      <c r="E155" s="3370"/>
      <c r="F155" s="3370"/>
      <c r="G155" s="2349">
        <f t="shared" si="11"/>
        <v>0</v>
      </c>
      <c r="H155" s="2349">
        <f t="shared" si="12"/>
        <v>0</v>
      </c>
      <c r="I155" s="2349">
        <f t="shared" si="13"/>
        <v>0</v>
      </c>
      <c r="J155" s="708">
        <v>5</v>
      </c>
      <c r="K155" s="708">
        <v>2</v>
      </c>
      <c r="L155" s="708">
        <v>1</v>
      </c>
      <c r="M155" s="708">
        <v>0.2</v>
      </c>
      <c r="N155" s="708"/>
      <c r="O155" s="708"/>
      <c r="P155" s="708"/>
      <c r="Q155" s="708"/>
      <c r="R155" s="708"/>
      <c r="S155" s="708"/>
      <c r="T155" s="708"/>
      <c r="U155" s="708"/>
      <c r="V155" s="708"/>
    </row>
    <row r="156" spans="1:22" ht="12.2" customHeight="1">
      <c r="A156" s="710"/>
      <c r="B156" s="711"/>
      <c r="C156" s="709" t="str">
        <f>Texte!A4167</f>
        <v>Laufstallmist und Gülle (40-60% eingestreut)</v>
      </c>
      <c r="D156" s="3369"/>
      <c r="E156" s="3370"/>
      <c r="F156" s="3370"/>
      <c r="G156" s="2349">
        <f t="shared" si="11"/>
        <v>0</v>
      </c>
      <c r="H156" s="2349">
        <f t="shared" si="12"/>
        <v>0</v>
      </c>
      <c r="I156" s="2349">
        <f t="shared" si="13"/>
        <v>0</v>
      </c>
      <c r="J156" s="708">
        <v>5</v>
      </c>
      <c r="K156" s="708">
        <v>2</v>
      </c>
      <c r="L156" s="708">
        <v>1</v>
      </c>
      <c r="M156" s="708">
        <v>0.2</v>
      </c>
      <c r="N156" s="708"/>
      <c r="O156" s="708"/>
      <c r="P156" s="708"/>
      <c r="Q156" s="708"/>
      <c r="R156" s="708"/>
      <c r="S156" s="708"/>
      <c r="T156" s="708"/>
      <c r="U156" s="708"/>
      <c r="V156" s="708"/>
    </row>
    <row r="157" spans="1:22" ht="12.2" customHeight="1">
      <c r="A157" s="710"/>
      <c r="B157" s="711"/>
      <c r="C157" s="709" t="str">
        <f>Texte!A4168</f>
        <v>Laufstallmist und wenig Gülle (60-90% eingestreut)</v>
      </c>
      <c r="D157" s="3369"/>
      <c r="E157" s="3370"/>
      <c r="F157" s="3370"/>
      <c r="G157" s="2349">
        <f t="shared" si="11"/>
        <v>0</v>
      </c>
      <c r="H157" s="2349">
        <f t="shared" si="12"/>
        <v>0</v>
      </c>
      <c r="I157" s="2349">
        <f t="shared" si="13"/>
        <v>0</v>
      </c>
      <c r="J157" s="708">
        <v>5</v>
      </c>
      <c r="K157" s="708">
        <v>2</v>
      </c>
      <c r="L157" s="708">
        <v>1</v>
      </c>
      <c r="M157" s="708">
        <v>0.2</v>
      </c>
      <c r="N157" s="708"/>
      <c r="O157" s="708"/>
      <c r="P157" s="708"/>
      <c r="Q157" s="708"/>
      <c r="R157" s="708"/>
      <c r="S157" s="708"/>
      <c r="T157" s="708"/>
      <c r="U157" s="708"/>
      <c r="V157" s="708"/>
    </row>
    <row r="158" spans="1:22" ht="12.2" customHeight="1">
      <c r="A158" s="710"/>
      <c r="B158" s="711"/>
      <c r="C158" s="709" t="str">
        <f>Texte!A4169</f>
        <v>Nur Laufstallmist</v>
      </c>
      <c r="D158" s="3369"/>
      <c r="E158" s="3370"/>
      <c r="F158" s="3370"/>
      <c r="G158" s="2349">
        <f t="shared" si="11"/>
        <v>0</v>
      </c>
      <c r="H158" s="2349">
        <f t="shared" si="12"/>
        <v>0</v>
      </c>
      <c r="I158" s="2349">
        <f t="shared" si="13"/>
        <v>0</v>
      </c>
      <c r="J158" s="708">
        <v>5</v>
      </c>
      <c r="K158" s="708">
        <v>0</v>
      </c>
      <c r="L158" s="708">
        <v>1</v>
      </c>
      <c r="M158" s="708">
        <v>0.2</v>
      </c>
      <c r="N158" s="708"/>
      <c r="O158" s="708"/>
      <c r="P158" s="708"/>
      <c r="Q158" s="708"/>
      <c r="R158" s="708"/>
      <c r="S158" s="708"/>
      <c r="T158" s="708"/>
      <c r="U158" s="708"/>
      <c r="V158" s="708"/>
    </row>
    <row r="159" spans="1:22" ht="12.2" customHeight="1">
      <c r="A159" s="710" t="e">
        <f>C159:F162</f>
        <v>#VALUE!</v>
      </c>
      <c r="B159" s="711">
        <f>D_Klick!I94</f>
        <v>200</v>
      </c>
      <c r="C159" s="709"/>
      <c r="D159" s="2348"/>
      <c r="E159" s="2349"/>
      <c r="F159" s="2349"/>
      <c r="G159" s="2349"/>
      <c r="H159" s="2349"/>
      <c r="I159" s="2349"/>
      <c r="J159" s="708"/>
      <c r="K159" s="708"/>
      <c r="L159" s="708"/>
      <c r="M159" s="708"/>
      <c r="N159" s="708"/>
      <c r="O159" s="708"/>
      <c r="P159" s="708"/>
      <c r="Q159" s="708"/>
      <c r="R159" s="708"/>
      <c r="S159" s="708"/>
      <c r="T159" s="708"/>
      <c r="U159" s="708"/>
      <c r="V159" s="708"/>
    </row>
    <row r="160" spans="1:22" ht="12.2" customHeight="1">
      <c r="A160" s="710"/>
      <c r="B160" s="711"/>
      <c r="C160" s="709" t="str">
        <f>Texte!A4171</f>
        <v>Freiland</v>
      </c>
      <c r="D160" s="2348">
        <v>0</v>
      </c>
      <c r="E160" s="2349">
        <v>0</v>
      </c>
      <c r="F160" s="2349">
        <v>0</v>
      </c>
      <c r="G160" s="2349">
        <f t="shared" si="11"/>
        <v>0</v>
      </c>
      <c r="H160" s="2349">
        <f t="shared" si="12"/>
        <v>0</v>
      </c>
      <c r="I160" s="2349">
        <f t="shared" si="13"/>
        <v>0</v>
      </c>
      <c r="J160" s="708"/>
      <c r="K160" s="708"/>
      <c r="L160" s="708"/>
      <c r="M160" s="708"/>
      <c r="N160" s="708"/>
      <c r="O160" s="708"/>
      <c r="P160" s="708"/>
      <c r="Q160" s="708"/>
      <c r="R160" s="708"/>
      <c r="S160" s="708"/>
      <c r="T160" s="708"/>
      <c r="U160" s="708"/>
      <c r="V160" s="708"/>
    </row>
    <row r="161" spans="1:22" ht="12.2" customHeight="1">
      <c r="A161" s="710"/>
      <c r="B161" s="711"/>
      <c r="C161" s="709" t="str">
        <f>Texte!A4172</f>
        <v>Pferdemist frisch</v>
      </c>
      <c r="D161" s="2348">
        <v>29</v>
      </c>
      <c r="E161" s="2349">
        <v>12</v>
      </c>
      <c r="F161" s="2349">
        <v>0</v>
      </c>
      <c r="G161" s="2349">
        <f t="shared" si="11"/>
        <v>2.4166666666666665</v>
      </c>
      <c r="H161" s="2349">
        <f t="shared" si="12"/>
        <v>1</v>
      </c>
      <c r="I161" s="2349">
        <f t="shared" si="13"/>
        <v>0</v>
      </c>
      <c r="J161" s="708">
        <v>12</v>
      </c>
      <c r="K161" s="708">
        <v>0</v>
      </c>
      <c r="L161" s="708"/>
      <c r="M161" s="708"/>
      <c r="N161" s="708"/>
      <c r="O161" s="708"/>
      <c r="P161" s="708"/>
      <c r="Q161" s="708"/>
      <c r="R161" s="708"/>
      <c r="S161" s="708"/>
      <c r="T161" s="708"/>
      <c r="U161" s="708"/>
      <c r="V161" s="708"/>
    </row>
    <row r="162" spans="1:22" ht="12.2" customHeight="1">
      <c r="A162" s="710"/>
      <c r="B162" s="711"/>
      <c r="C162" s="709" t="str">
        <f>Texte!A4173</f>
        <v>Pferdemist</v>
      </c>
      <c r="D162" s="2348">
        <v>29</v>
      </c>
      <c r="E162" s="2349">
        <v>6</v>
      </c>
      <c r="F162" s="2349">
        <v>0</v>
      </c>
      <c r="G162" s="2349">
        <f t="shared" si="11"/>
        <v>2.4166666666666665</v>
      </c>
      <c r="H162" s="2349">
        <f t="shared" si="12"/>
        <v>0.5</v>
      </c>
      <c r="I162" s="2349">
        <f t="shared" si="13"/>
        <v>0</v>
      </c>
      <c r="J162" s="708">
        <v>13</v>
      </c>
      <c r="K162" s="708">
        <v>0</v>
      </c>
      <c r="L162" s="708"/>
      <c r="M162" s="708"/>
      <c r="N162" s="708"/>
      <c r="O162" s="708"/>
      <c r="P162" s="708"/>
      <c r="Q162" s="708"/>
      <c r="R162" s="708"/>
      <c r="S162" s="708"/>
      <c r="T162" s="708"/>
      <c r="U162" s="708"/>
      <c r="V162" s="708"/>
    </row>
    <row r="163" spans="1:22" ht="12.2" customHeight="1">
      <c r="A163" s="710" t="e">
        <f>C163:F166</f>
        <v>#VALUE!</v>
      </c>
      <c r="B163" s="711">
        <f>D_Klick!I102</f>
        <v>210</v>
      </c>
      <c r="C163" s="709"/>
      <c r="D163" s="2348"/>
      <c r="E163" s="2349"/>
      <c r="F163" s="2349"/>
      <c r="G163" s="2349"/>
      <c r="H163" s="2349"/>
      <c r="I163" s="2349"/>
      <c r="J163" s="708"/>
      <c r="K163" s="708"/>
      <c r="L163" s="708"/>
      <c r="M163" s="708"/>
      <c r="N163" s="708"/>
      <c r="O163" s="708"/>
      <c r="P163" s="708"/>
      <c r="Q163" s="708"/>
      <c r="R163" s="708"/>
      <c r="S163" s="708"/>
      <c r="T163" s="708"/>
      <c r="U163" s="708"/>
      <c r="V163" s="708"/>
    </row>
    <row r="164" spans="1:22" ht="12.2" customHeight="1">
      <c r="A164" s="710"/>
      <c r="B164" s="711"/>
      <c r="C164" s="709" t="str">
        <f>Texte!A4175</f>
        <v>Freiland</v>
      </c>
      <c r="D164" s="2348">
        <v>0</v>
      </c>
      <c r="E164" s="2349">
        <v>0</v>
      </c>
      <c r="F164" s="2349">
        <v>0</v>
      </c>
      <c r="G164" s="2349">
        <f t="shared" si="11"/>
        <v>0</v>
      </c>
      <c r="H164" s="2349">
        <f t="shared" si="12"/>
        <v>0</v>
      </c>
      <c r="I164" s="2349">
        <f t="shared" si="13"/>
        <v>0</v>
      </c>
      <c r="J164" s="708"/>
      <c r="K164" s="708"/>
      <c r="L164" s="708"/>
      <c r="M164" s="708"/>
      <c r="N164" s="708"/>
      <c r="O164" s="708"/>
      <c r="P164" s="708"/>
      <c r="Q164" s="708"/>
      <c r="R164" s="708"/>
      <c r="S164" s="708"/>
      <c r="T164" s="708"/>
      <c r="U164" s="708"/>
      <c r="V164" s="708"/>
    </row>
    <row r="165" spans="1:22" ht="12.2" customHeight="1">
      <c r="A165" s="710"/>
      <c r="B165" s="711"/>
      <c r="C165" s="709" t="str">
        <f>Texte!A4176</f>
        <v>Pferdemist frisch</v>
      </c>
      <c r="D165" s="2348">
        <v>15</v>
      </c>
      <c r="E165" s="2349">
        <v>10</v>
      </c>
      <c r="F165" s="2349">
        <v>0</v>
      </c>
      <c r="G165" s="2349">
        <f t="shared" si="11"/>
        <v>1.25</v>
      </c>
      <c r="H165" s="2349">
        <f t="shared" si="12"/>
        <v>0.83333333333333337</v>
      </c>
      <c r="I165" s="2349">
        <f t="shared" si="13"/>
        <v>0</v>
      </c>
      <c r="J165" s="708">
        <v>12</v>
      </c>
      <c r="K165" s="708">
        <v>0</v>
      </c>
      <c r="L165" s="708"/>
      <c r="M165" s="708"/>
      <c r="N165" s="708"/>
      <c r="O165" s="708"/>
      <c r="P165" s="708"/>
      <c r="Q165" s="708"/>
      <c r="R165" s="708"/>
      <c r="S165" s="708"/>
      <c r="T165" s="708"/>
      <c r="U165" s="708"/>
      <c r="V165" s="708"/>
    </row>
    <row r="166" spans="1:22" ht="12.2" customHeight="1">
      <c r="A166" s="710"/>
      <c r="B166" s="711"/>
      <c r="C166" s="709" t="str">
        <f>Texte!A4177</f>
        <v>Pferdemist</v>
      </c>
      <c r="D166" s="2348">
        <v>15</v>
      </c>
      <c r="E166" s="2349">
        <v>5</v>
      </c>
      <c r="F166" s="2349">
        <v>0</v>
      </c>
      <c r="G166" s="2349">
        <f t="shared" si="11"/>
        <v>1.25</v>
      </c>
      <c r="H166" s="2349">
        <f t="shared" si="12"/>
        <v>0.41666666666666669</v>
      </c>
      <c r="I166" s="2349">
        <f t="shared" si="13"/>
        <v>0</v>
      </c>
      <c r="J166" s="708">
        <v>13</v>
      </c>
      <c r="K166" s="708">
        <v>0</v>
      </c>
      <c r="L166" s="708"/>
      <c r="M166" s="708"/>
      <c r="N166" s="708"/>
      <c r="O166" s="708"/>
      <c r="P166" s="708"/>
      <c r="Q166" s="708"/>
      <c r="R166" s="708"/>
      <c r="S166" s="708"/>
      <c r="T166" s="708"/>
      <c r="U166" s="708"/>
      <c r="V166" s="708"/>
    </row>
    <row r="167" spans="1:22" ht="12.2" customHeight="1">
      <c r="A167" s="710" t="e">
        <f>C167:F170</f>
        <v>#VALUE!</v>
      </c>
      <c r="B167" s="711">
        <f>D_Klick!I95</f>
        <v>220</v>
      </c>
      <c r="C167" s="709"/>
      <c r="D167" s="2348"/>
      <c r="E167" s="2349"/>
      <c r="F167" s="2349"/>
      <c r="G167" s="2349"/>
      <c r="H167" s="2349"/>
      <c r="I167" s="2349"/>
      <c r="J167" s="708"/>
      <c r="K167" s="708"/>
      <c r="L167" s="708"/>
      <c r="M167" s="708"/>
      <c r="N167" s="708"/>
      <c r="O167" s="708"/>
      <c r="P167" s="708"/>
      <c r="Q167" s="708"/>
      <c r="R167" s="708"/>
      <c r="S167" s="708"/>
      <c r="T167" s="708"/>
      <c r="U167" s="708"/>
      <c r="V167" s="708"/>
    </row>
    <row r="168" spans="1:22" ht="12.2" customHeight="1">
      <c r="A168" s="710"/>
      <c r="B168" s="711"/>
      <c r="C168" s="709" t="str">
        <f>Texte!A4179</f>
        <v>Freiland</v>
      </c>
      <c r="D168" s="2348">
        <v>0</v>
      </c>
      <c r="E168" s="2349">
        <v>0</v>
      </c>
      <c r="F168" s="2349">
        <v>0</v>
      </c>
      <c r="G168" s="2349">
        <f t="shared" si="11"/>
        <v>0</v>
      </c>
      <c r="H168" s="2349">
        <f t="shared" si="12"/>
        <v>0</v>
      </c>
      <c r="I168" s="2349">
        <f t="shared" si="13"/>
        <v>0</v>
      </c>
      <c r="J168" s="708"/>
      <c r="K168" s="708"/>
      <c r="L168" s="708"/>
      <c r="M168" s="708"/>
      <c r="N168" s="708"/>
      <c r="O168" s="708"/>
      <c r="P168" s="708"/>
      <c r="Q168" s="708"/>
      <c r="R168" s="708"/>
      <c r="S168" s="708"/>
      <c r="T168" s="708"/>
      <c r="U168" s="708"/>
      <c r="V168" s="708"/>
    </row>
    <row r="169" spans="1:22" ht="12.2" customHeight="1">
      <c r="A169" s="710"/>
      <c r="B169" s="711"/>
      <c r="C169" s="709" t="str">
        <f>Texte!A4180</f>
        <v>Pferdemist frisch</v>
      </c>
      <c r="D169" s="2348">
        <v>7.5</v>
      </c>
      <c r="E169" s="2349">
        <v>5.6</v>
      </c>
      <c r="F169" s="2349">
        <v>0</v>
      </c>
      <c r="G169" s="2349">
        <f t="shared" si="11"/>
        <v>0.625</v>
      </c>
      <c r="H169" s="2349">
        <f t="shared" si="12"/>
        <v>0.46666666666666662</v>
      </c>
      <c r="I169" s="2349">
        <f t="shared" si="13"/>
        <v>0</v>
      </c>
      <c r="J169" s="708">
        <v>12</v>
      </c>
      <c r="K169" s="708">
        <v>0</v>
      </c>
      <c r="L169" s="708"/>
      <c r="M169" s="708"/>
      <c r="N169" s="708"/>
      <c r="O169" s="708"/>
      <c r="P169" s="708"/>
      <c r="Q169" s="708"/>
      <c r="R169" s="708"/>
      <c r="S169" s="708"/>
      <c r="T169" s="708"/>
      <c r="U169" s="708"/>
      <c r="V169" s="708"/>
    </row>
    <row r="170" spans="1:22" ht="12.2" customHeight="1">
      <c r="A170" s="710"/>
      <c r="B170" s="711"/>
      <c r="C170" s="709" t="str">
        <f>Texte!A4181</f>
        <v>Pferdemist</v>
      </c>
      <c r="D170" s="2348">
        <v>7.5</v>
      </c>
      <c r="E170" s="2349">
        <v>2.8</v>
      </c>
      <c r="F170" s="2349">
        <v>0</v>
      </c>
      <c r="G170" s="2349">
        <f t="shared" si="11"/>
        <v>0.625</v>
      </c>
      <c r="H170" s="2349">
        <f t="shared" si="12"/>
        <v>0.23333333333333331</v>
      </c>
      <c r="I170" s="2349">
        <f t="shared" si="13"/>
        <v>0</v>
      </c>
      <c r="J170" s="708">
        <v>13</v>
      </c>
      <c r="K170" s="708">
        <v>0</v>
      </c>
      <c r="L170" s="708"/>
      <c r="M170" s="708"/>
      <c r="N170" s="708"/>
      <c r="O170" s="708"/>
      <c r="P170" s="708"/>
      <c r="Q170" s="708"/>
      <c r="R170" s="708"/>
      <c r="S170" s="708"/>
      <c r="T170" s="708"/>
      <c r="U170" s="708"/>
      <c r="V170" s="708"/>
    </row>
    <row r="171" spans="1:22" ht="12.2" customHeight="1">
      <c r="A171" s="710" t="e">
        <f>C171:F174</f>
        <v>#VALUE!</v>
      </c>
      <c r="B171" s="711">
        <f>D_Klick!I103</f>
        <v>230</v>
      </c>
      <c r="C171" s="709"/>
      <c r="D171" s="2348"/>
      <c r="E171" s="2349"/>
      <c r="F171" s="2349"/>
      <c r="G171" s="2349"/>
      <c r="H171" s="2349"/>
      <c r="I171" s="2349"/>
      <c r="J171" s="708"/>
      <c r="K171" s="708"/>
      <c r="L171" s="708"/>
      <c r="M171" s="708"/>
      <c r="N171" s="708"/>
      <c r="O171" s="708"/>
      <c r="P171" s="708"/>
      <c r="Q171" s="708"/>
      <c r="R171" s="708"/>
      <c r="S171" s="708"/>
      <c r="T171" s="708"/>
      <c r="U171" s="708"/>
      <c r="V171" s="708"/>
    </row>
    <row r="172" spans="1:22" ht="12.2" customHeight="1">
      <c r="A172" s="710"/>
      <c r="B172" s="711"/>
      <c r="C172" s="709" t="str">
        <f>Texte!A4183</f>
        <v>Freiland</v>
      </c>
      <c r="D172" s="2348">
        <v>0</v>
      </c>
      <c r="E172" s="2349">
        <v>0</v>
      </c>
      <c r="F172" s="2349">
        <v>0</v>
      </c>
      <c r="G172" s="2349">
        <f t="shared" si="11"/>
        <v>0</v>
      </c>
      <c r="H172" s="2349">
        <f t="shared" si="12"/>
        <v>0</v>
      </c>
      <c r="I172" s="2349">
        <f t="shared" si="13"/>
        <v>0</v>
      </c>
      <c r="J172" s="708"/>
      <c r="K172" s="708"/>
      <c r="L172" s="708"/>
      <c r="M172" s="708"/>
      <c r="N172" s="708"/>
      <c r="O172" s="708"/>
      <c r="P172" s="708"/>
      <c r="Q172" s="708"/>
      <c r="R172" s="708"/>
      <c r="S172" s="708"/>
      <c r="T172" s="708"/>
      <c r="U172" s="708"/>
      <c r="V172" s="708"/>
    </row>
    <row r="173" spans="1:22" ht="12.2" customHeight="1">
      <c r="A173" s="710"/>
      <c r="B173" s="711"/>
      <c r="C173" s="709" t="str">
        <f>Texte!A4184</f>
        <v>Pferdemist frisch</v>
      </c>
      <c r="D173" s="2348">
        <v>7.5</v>
      </c>
      <c r="E173" s="2349">
        <v>5.6</v>
      </c>
      <c r="F173" s="2349">
        <v>0</v>
      </c>
      <c r="G173" s="2349">
        <f t="shared" si="11"/>
        <v>0.625</v>
      </c>
      <c r="H173" s="2349">
        <f t="shared" si="12"/>
        <v>0.46666666666666662</v>
      </c>
      <c r="I173" s="2349">
        <f t="shared" si="13"/>
        <v>0</v>
      </c>
      <c r="J173" s="708">
        <v>12</v>
      </c>
      <c r="K173" s="708">
        <v>0</v>
      </c>
      <c r="L173" s="708"/>
      <c r="M173" s="708"/>
      <c r="N173" s="708"/>
      <c r="O173" s="708"/>
      <c r="P173" s="708"/>
      <c r="Q173" s="708"/>
      <c r="R173" s="708"/>
      <c r="S173" s="708"/>
      <c r="T173" s="708"/>
      <c r="U173" s="708"/>
      <c r="V173" s="708"/>
    </row>
    <row r="174" spans="1:22" ht="12.2" customHeight="1">
      <c r="A174" s="710"/>
      <c r="B174" s="711"/>
      <c r="C174" s="709" t="str">
        <f>Texte!A4185</f>
        <v>Pferdemist</v>
      </c>
      <c r="D174" s="2348">
        <v>7.5</v>
      </c>
      <c r="E174" s="2349">
        <v>2.8</v>
      </c>
      <c r="F174" s="2349">
        <v>0</v>
      </c>
      <c r="G174" s="2349">
        <f t="shared" si="11"/>
        <v>0.625</v>
      </c>
      <c r="H174" s="2349">
        <f t="shared" si="12"/>
        <v>0.23333333333333331</v>
      </c>
      <c r="I174" s="2349">
        <f t="shared" si="13"/>
        <v>0</v>
      </c>
      <c r="J174" s="708">
        <v>13</v>
      </c>
      <c r="K174" s="708">
        <v>0</v>
      </c>
      <c r="L174" s="708"/>
      <c r="M174" s="708"/>
      <c r="N174" s="708"/>
      <c r="O174" s="708"/>
      <c r="P174" s="708"/>
      <c r="Q174" s="708"/>
      <c r="R174" s="708"/>
      <c r="S174" s="708"/>
      <c r="T174" s="708"/>
      <c r="U174" s="708"/>
      <c r="V174" s="708"/>
    </row>
    <row r="175" spans="1:22" ht="12.2" customHeight="1">
      <c r="A175" s="710" t="e">
        <f>C175:F178</f>
        <v>#VALUE!</v>
      </c>
      <c r="B175" s="711">
        <f>D_Klick!I107</f>
        <v>240</v>
      </c>
      <c r="C175" s="709"/>
      <c r="D175" s="2348"/>
      <c r="E175" s="2349"/>
      <c r="F175" s="2349"/>
      <c r="G175" s="2349"/>
      <c r="H175" s="2349"/>
      <c r="I175" s="2349"/>
      <c r="J175" s="708"/>
      <c r="K175" s="708"/>
      <c r="L175" s="708"/>
      <c r="M175" s="708"/>
      <c r="N175" s="708"/>
      <c r="O175" s="708"/>
      <c r="P175" s="708"/>
      <c r="Q175" s="708"/>
      <c r="R175" s="708"/>
      <c r="S175" s="708"/>
      <c r="T175" s="708"/>
      <c r="U175" s="708"/>
      <c r="V175" s="708"/>
    </row>
    <row r="176" spans="1:22" ht="12.2" customHeight="1">
      <c r="A176" s="710"/>
      <c r="B176" s="711"/>
      <c r="C176" s="709" t="str">
        <f>Texte!A4187</f>
        <v>Freiland</v>
      </c>
      <c r="D176" s="2348">
        <v>0</v>
      </c>
      <c r="E176" s="2349">
        <v>0</v>
      </c>
      <c r="F176" s="2349">
        <v>0</v>
      </c>
      <c r="G176" s="2349">
        <f t="shared" si="11"/>
        <v>0</v>
      </c>
      <c r="H176" s="2349">
        <f t="shared" si="12"/>
        <v>0</v>
      </c>
      <c r="I176" s="2349">
        <f t="shared" si="13"/>
        <v>0</v>
      </c>
      <c r="J176" s="708"/>
      <c r="K176" s="708"/>
      <c r="L176" s="708"/>
      <c r="M176" s="708"/>
      <c r="N176" s="708"/>
      <c r="O176" s="708"/>
      <c r="P176" s="708"/>
      <c r="Q176" s="708"/>
      <c r="R176" s="708"/>
      <c r="S176" s="708"/>
      <c r="T176" s="708"/>
      <c r="U176" s="708"/>
      <c r="V176" s="708"/>
    </row>
    <row r="177" spans="1:22" ht="12.2" customHeight="1">
      <c r="A177" s="710"/>
      <c r="B177" s="711"/>
      <c r="C177" s="709" t="str">
        <f>Texte!A4188</f>
        <v>Pferdemist frisch</v>
      </c>
      <c r="D177" s="2348">
        <v>5.25</v>
      </c>
      <c r="E177" s="2349">
        <v>3.5</v>
      </c>
      <c r="F177" s="2349">
        <v>0</v>
      </c>
      <c r="G177" s="2349">
        <f t="shared" si="11"/>
        <v>0.4375</v>
      </c>
      <c r="H177" s="2349">
        <f t="shared" si="12"/>
        <v>0.29166666666666669</v>
      </c>
      <c r="I177" s="2349">
        <f t="shared" si="13"/>
        <v>0</v>
      </c>
      <c r="J177" s="708">
        <v>12</v>
      </c>
      <c r="K177" s="708">
        <v>0</v>
      </c>
      <c r="L177" s="708"/>
      <c r="M177" s="708"/>
      <c r="N177" s="708"/>
      <c r="O177" s="708"/>
      <c r="P177" s="708"/>
      <c r="Q177" s="708"/>
      <c r="R177" s="708"/>
      <c r="S177" s="708"/>
      <c r="T177" s="708"/>
      <c r="U177" s="708"/>
      <c r="V177" s="708"/>
    </row>
    <row r="178" spans="1:22" ht="12.2" customHeight="1">
      <c r="A178" s="710"/>
      <c r="B178" s="711"/>
      <c r="C178" s="709" t="str">
        <f>Texte!A4189</f>
        <v>Pferdemist</v>
      </c>
      <c r="D178" s="2348">
        <v>5.25</v>
      </c>
      <c r="E178" s="2349">
        <v>1.75</v>
      </c>
      <c r="F178" s="2349">
        <v>0</v>
      </c>
      <c r="G178" s="2349">
        <f t="shared" si="11"/>
        <v>0.4375</v>
      </c>
      <c r="H178" s="2349">
        <f t="shared" si="12"/>
        <v>0.14583333333333334</v>
      </c>
      <c r="I178" s="2349">
        <f t="shared" si="13"/>
        <v>0</v>
      </c>
      <c r="J178" s="708">
        <v>13</v>
      </c>
      <c r="K178" s="708">
        <v>0</v>
      </c>
      <c r="L178" s="708"/>
      <c r="M178" s="708"/>
      <c r="N178" s="708"/>
      <c r="O178" s="708"/>
      <c r="P178" s="708"/>
      <c r="Q178" s="708"/>
      <c r="R178" s="708"/>
      <c r="S178" s="708"/>
      <c r="T178" s="708"/>
      <c r="U178" s="708"/>
      <c r="V178" s="708"/>
    </row>
    <row r="179" spans="1:22" ht="12.2" customHeight="1">
      <c r="A179" s="3350" t="e">
        <f>C179:F181</f>
        <v>#VALUE!</v>
      </c>
      <c r="B179" s="3351">
        <f>Tierb!A40</f>
        <v>300</v>
      </c>
      <c r="C179" s="3352"/>
      <c r="D179" s="3353"/>
      <c r="E179" s="3354"/>
      <c r="F179" s="3354"/>
      <c r="G179" s="3354"/>
      <c r="H179" s="3354"/>
      <c r="I179" s="3354"/>
      <c r="J179" s="3355"/>
      <c r="K179" s="3355"/>
      <c r="L179" s="708"/>
      <c r="M179" s="708"/>
      <c r="N179" s="708"/>
      <c r="O179" s="708"/>
      <c r="P179" s="708"/>
      <c r="Q179" s="708"/>
      <c r="R179" s="708"/>
      <c r="S179" s="708"/>
      <c r="T179" s="708"/>
      <c r="U179" s="708"/>
      <c r="V179" s="708"/>
    </row>
    <row r="180" spans="1:22" ht="12.2" customHeight="1">
      <c r="A180" s="3350"/>
      <c r="B180" s="3351"/>
      <c r="C180" s="3352" t="str">
        <f>Texte!$A$4102</f>
        <v>Freiland</v>
      </c>
      <c r="D180" s="3353">
        <v>0</v>
      </c>
      <c r="E180" s="3354">
        <v>0</v>
      </c>
      <c r="F180" s="3354">
        <v>0</v>
      </c>
      <c r="G180" s="3354">
        <f t="shared" si="11"/>
        <v>0</v>
      </c>
      <c r="H180" s="3354">
        <f t="shared" si="12"/>
        <v>0</v>
      </c>
      <c r="I180" s="3354">
        <f t="shared" si="13"/>
        <v>0</v>
      </c>
      <c r="J180" s="3355"/>
      <c r="K180" s="3355"/>
      <c r="L180" s="708"/>
      <c r="M180" s="708"/>
      <c r="N180" s="708"/>
      <c r="O180" s="708"/>
      <c r="P180" s="708"/>
      <c r="Q180" s="708"/>
      <c r="R180" s="708"/>
      <c r="S180" s="708"/>
      <c r="T180" s="708"/>
      <c r="U180" s="708"/>
      <c r="V180" s="708"/>
    </row>
    <row r="181" spans="1:22" ht="12.2" customHeight="1">
      <c r="A181" s="3350"/>
      <c r="B181" s="3351"/>
      <c r="C181" s="3352" t="str">
        <f>Texte!$A$4065</f>
        <v>Nur Laufstallmist</v>
      </c>
      <c r="D181" s="3353">
        <v>3.7</v>
      </c>
      <c r="E181" s="3354">
        <v>2.2999999999999998</v>
      </c>
      <c r="F181" s="3354">
        <v>0</v>
      </c>
      <c r="G181" s="3354">
        <f t="shared" si="11"/>
        <v>0.30833333333333335</v>
      </c>
      <c r="H181" s="3354">
        <f t="shared" si="12"/>
        <v>0.19166666666666665</v>
      </c>
      <c r="I181" s="3354">
        <f t="shared" si="13"/>
        <v>0</v>
      </c>
      <c r="J181" s="3355">
        <v>15</v>
      </c>
      <c r="K181" s="3355">
        <v>0</v>
      </c>
      <c r="L181" s="708"/>
      <c r="M181" s="708"/>
      <c r="N181" s="708"/>
      <c r="O181" s="708"/>
      <c r="P181" s="708"/>
      <c r="Q181" s="708"/>
      <c r="R181" s="708"/>
      <c r="S181" s="708"/>
      <c r="T181" s="708"/>
      <c r="U181" s="708"/>
      <c r="V181" s="708"/>
    </row>
    <row r="182" spans="1:22" ht="12.2" customHeight="1">
      <c r="A182" s="3350" t="e">
        <f>C182:F184</f>
        <v>#VALUE!</v>
      </c>
      <c r="B182" s="3351">
        <f>Tierb!A41</f>
        <v>310</v>
      </c>
      <c r="C182" s="3352"/>
      <c r="D182" s="3353"/>
      <c r="E182" s="3354"/>
      <c r="F182" s="3354"/>
      <c r="G182" s="3354"/>
      <c r="H182" s="3354"/>
      <c r="I182" s="3354"/>
      <c r="J182" s="3355"/>
      <c r="K182" s="3355"/>
      <c r="L182" s="708"/>
      <c r="M182" s="708"/>
      <c r="N182" s="708"/>
      <c r="O182" s="708"/>
      <c r="P182" s="708"/>
      <c r="Q182" s="708"/>
      <c r="R182" s="708"/>
      <c r="S182" s="708"/>
      <c r="T182" s="708"/>
      <c r="U182" s="708"/>
      <c r="V182" s="708"/>
    </row>
    <row r="183" spans="1:22" ht="12.2" customHeight="1">
      <c r="A183" s="3350"/>
      <c r="B183" s="3351"/>
      <c r="C183" s="3352" t="str">
        <f>Texte!$A$4102</f>
        <v>Freiland</v>
      </c>
      <c r="D183" s="3353">
        <v>0</v>
      </c>
      <c r="E183" s="3354">
        <v>0</v>
      </c>
      <c r="F183" s="3354">
        <v>0</v>
      </c>
      <c r="G183" s="3354">
        <f t="shared" si="11"/>
        <v>0</v>
      </c>
      <c r="H183" s="3354">
        <f t="shared" si="12"/>
        <v>0</v>
      </c>
      <c r="I183" s="3354">
        <f t="shared" si="13"/>
        <v>0</v>
      </c>
      <c r="J183" s="3355"/>
      <c r="K183" s="3355"/>
      <c r="L183" s="708"/>
      <c r="M183" s="708"/>
      <c r="N183" s="708"/>
      <c r="O183" s="708"/>
      <c r="P183" s="708"/>
      <c r="Q183" s="708"/>
      <c r="R183" s="708"/>
      <c r="S183" s="708"/>
      <c r="T183" s="708"/>
      <c r="U183" s="708"/>
      <c r="V183" s="708"/>
    </row>
    <row r="184" spans="1:22" ht="12.2" customHeight="1">
      <c r="A184" s="3350"/>
      <c r="B184" s="3351"/>
      <c r="C184" s="3352" t="str">
        <f>Texte!$A$4065</f>
        <v>Nur Laufstallmist</v>
      </c>
      <c r="D184" s="3353">
        <v>3.7</v>
      </c>
      <c r="E184" s="3354">
        <v>1.7</v>
      </c>
      <c r="F184" s="3354">
        <v>0</v>
      </c>
      <c r="G184" s="3354">
        <f t="shared" si="11"/>
        <v>0.30833333333333335</v>
      </c>
      <c r="H184" s="3354">
        <f t="shared" si="12"/>
        <v>0.14166666666666666</v>
      </c>
      <c r="I184" s="3354">
        <f t="shared" si="13"/>
        <v>0</v>
      </c>
      <c r="J184" s="3355">
        <v>15</v>
      </c>
      <c r="K184" s="3355">
        <v>0</v>
      </c>
      <c r="L184" s="708"/>
      <c r="M184" s="708"/>
      <c r="N184" s="708"/>
      <c r="O184" s="708"/>
      <c r="P184" s="708"/>
      <c r="Q184" s="708"/>
      <c r="R184" s="708"/>
      <c r="S184" s="708"/>
      <c r="T184" s="708"/>
      <c r="U184" s="708"/>
      <c r="V184" s="708"/>
    </row>
    <row r="185" spans="1:22" ht="12.2" customHeight="1">
      <c r="A185" s="3350" t="e">
        <f>C185:F187</f>
        <v>#VALUE!</v>
      </c>
      <c r="B185" s="3351">
        <f>Tierb!A42</f>
        <v>320</v>
      </c>
      <c r="C185" s="3352"/>
      <c r="D185" s="3353"/>
      <c r="E185" s="3354"/>
      <c r="F185" s="3354"/>
      <c r="G185" s="3354"/>
      <c r="H185" s="3354"/>
      <c r="I185" s="3354"/>
      <c r="J185" s="3355"/>
      <c r="K185" s="3355"/>
      <c r="L185" s="708"/>
      <c r="M185" s="708"/>
      <c r="N185" s="708"/>
      <c r="O185" s="708"/>
      <c r="P185" s="708"/>
      <c r="Q185" s="708"/>
      <c r="R185" s="708"/>
      <c r="S185" s="708"/>
      <c r="T185" s="708"/>
      <c r="U185" s="708"/>
      <c r="V185" s="708"/>
    </row>
    <row r="186" spans="1:22" ht="12.2" customHeight="1">
      <c r="A186" s="3350"/>
      <c r="B186" s="3351"/>
      <c r="C186" s="3352" t="str">
        <f>Texte!$A$4102</f>
        <v>Freiland</v>
      </c>
      <c r="D186" s="3353">
        <v>0</v>
      </c>
      <c r="E186" s="3354">
        <v>0</v>
      </c>
      <c r="F186" s="3354">
        <v>0</v>
      </c>
      <c r="G186" s="3354">
        <f t="shared" ref="G186:I187" si="14">D186/12</f>
        <v>0</v>
      </c>
      <c r="H186" s="3354">
        <f t="shared" si="14"/>
        <v>0</v>
      </c>
      <c r="I186" s="3354">
        <f t="shared" si="14"/>
        <v>0</v>
      </c>
      <c r="J186" s="3355"/>
      <c r="K186" s="3355"/>
      <c r="L186" s="708"/>
      <c r="M186" s="708"/>
      <c r="N186" s="708"/>
      <c r="O186" s="708"/>
      <c r="P186" s="708"/>
      <c r="Q186" s="708"/>
      <c r="R186" s="708"/>
      <c r="S186" s="708"/>
      <c r="T186" s="708"/>
      <c r="U186" s="708"/>
      <c r="V186" s="708"/>
    </row>
    <row r="187" spans="1:22" ht="12.2" customHeight="1">
      <c r="A187" s="3350"/>
      <c r="B187" s="3351"/>
      <c r="C187" s="3352" t="str">
        <f>Texte!$A$4065</f>
        <v>Nur Laufstallmist</v>
      </c>
      <c r="D187" s="3353">
        <v>3.7</v>
      </c>
      <c r="E187" s="3354">
        <v>1.7</v>
      </c>
      <c r="F187" s="3354">
        <v>0</v>
      </c>
      <c r="G187" s="3354">
        <f t="shared" si="14"/>
        <v>0.30833333333333335</v>
      </c>
      <c r="H187" s="3354">
        <f t="shared" si="14"/>
        <v>0.14166666666666666</v>
      </c>
      <c r="I187" s="3354">
        <f t="shared" si="14"/>
        <v>0</v>
      </c>
      <c r="J187" s="3355">
        <v>15</v>
      </c>
      <c r="K187" s="3355">
        <v>0</v>
      </c>
      <c r="L187" s="708"/>
      <c r="M187" s="708"/>
      <c r="N187" s="708"/>
      <c r="O187" s="708"/>
      <c r="P187" s="708"/>
      <c r="Q187" s="708"/>
      <c r="R187" s="708"/>
      <c r="S187" s="708"/>
      <c r="T187" s="708"/>
      <c r="U187" s="708"/>
      <c r="V187" s="708"/>
    </row>
    <row r="188" spans="1:22" ht="12.2" customHeight="1">
      <c r="A188" s="3350" t="e">
        <f>C188:F190</f>
        <v>#VALUE!</v>
      </c>
      <c r="B188" s="3351">
        <f>Tierb!A43</f>
        <v>330</v>
      </c>
      <c r="C188" s="3352"/>
      <c r="D188" s="3353"/>
      <c r="E188" s="3354"/>
      <c r="F188" s="3354"/>
      <c r="G188" s="3354"/>
      <c r="H188" s="3354"/>
      <c r="I188" s="3354"/>
      <c r="J188" s="3355"/>
      <c r="K188" s="3355"/>
      <c r="L188" s="708"/>
      <c r="M188" s="708"/>
      <c r="N188" s="708"/>
      <c r="O188" s="708"/>
      <c r="P188" s="708"/>
      <c r="Q188" s="708"/>
      <c r="R188" s="708"/>
      <c r="S188" s="708"/>
      <c r="T188" s="708"/>
      <c r="U188" s="708"/>
      <c r="V188" s="708"/>
    </row>
    <row r="189" spans="1:22" ht="12.2" customHeight="1">
      <c r="A189" s="3350"/>
      <c r="B189" s="3351"/>
      <c r="C189" s="3352" t="str">
        <f>Texte!$A$4102</f>
        <v>Freiland</v>
      </c>
      <c r="D189" s="3353">
        <v>0</v>
      </c>
      <c r="E189" s="3354">
        <v>0</v>
      </c>
      <c r="F189" s="3354">
        <v>0</v>
      </c>
      <c r="G189" s="3354">
        <f t="shared" ref="G189:I190" si="15">D189/12</f>
        <v>0</v>
      </c>
      <c r="H189" s="3354">
        <f t="shared" si="15"/>
        <v>0</v>
      </c>
      <c r="I189" s="3354">
        <f t="shared" si="15"/>
        <v>0</v>
      </c>
      <c r="J189" s="3355"/>
      <c r="K189" s="3355"/>
      <c r="L189" s="708"/>
      <c r="M189" s="708"/>
      <c r="N189" s="708"/>
      <c r="O189" s="708"/>
      <c r="P189" s="708"/>
      <c r="Q189" s="708"/>
      <c r="R189" s="708"/>
      <c r="S189" s="708"/>
      <c r="T189" s="708"/>
      <c r="U189" s="708"/>
      <c r="V189" s="708"/>
    </row>
    <row r="190" spans="1:22" ht="12.2" customHeight="1">
      <c r="A190" s="3350"/>
      <c r="B190" s="3351"/>
      <c r="C190" s="3352" t="str">
        <f>Texte!$A$4065</f>
        <v>Nur Laufstallmist</v>
      </c>
      <c r="D190" s="3353">
        <v>3.7</v>
      </c>
      <c r="E190" s="3354">
        <v>1.7</v>
      </c>
      <c r="F190" s="3354">
        <v>0</v>
      </c>
      <c r="G190" s="3354">
        <f t="shared" si="15"/>
        <v>0.30833333333333335</v>
      </c>
      <c r="H190" s="3354">
        <f t="shared" si="15"/>
        <v>0.14166666666666666</v>
      </c>
      <c r="I190" s="3354">
        <f t="shared" si="15"/>
        <v>0</v>
      </c>
      <c r="J190" s="3355">
        <v>15</v>
      </c>
      <c r="K190" s="3355">
        <v>0</v>
      </c>
      <c r="L190" s="708"/>
      <c r="M190" s="708"/>
      <c r="N190" s="708"/>
      <c r="O190" s="708"/>
      <c r="P190" s="708"/>
      <c r="Q190" s="708"/>
      <c r="R190" s="708"/>
      <c r="S190" s="708"/>
      <c r="T190" s="708"/>
      <c r="U190" s="708"/>
      <c r="V190" s="708"/>
    </row>
    <row r="191" spans="1:22" ht="12.2" customHeight="1">
      <c r="A191" s="3350" t="e">
        <f>C191:F193</f>
        <v>#VALUE!</v>
      </c>
      <c r="B191" s="3351">
        <f>Tierb!A44</f>
        <v>400</v>
      </c>
      <c r="C191" s="3352"/>
      <c r="D191" s="3353"/>
      <c r="E191" s="3354"/>
      <c r="F191" s="3354"/>
      <c r="G191" s="3354"/>
      <c r="H191" s="3354"/>
      <c r="I191" s="3354"/>
      <c r="J191" s="3355"/>
      <c r="K191" s="3355"/>
      <c r="L191" s="708"/>
      <c r="M191" s="708"/>
      <c r="N191" s="708"/>
      <c r="O191" s="708"/>
      <c r="P191" s="708"/>
      <c r="Q191" s="708"/>
      <c r="R191" s="708"/>
      <c r="S191" s="708"/>
      <c r="T191" s="708"/>
      <c r="U191" s="708"/>
      <c r="V191" s="708"/>
    </row>
    <row r="192" spans="1:22" ht="12.2" customHeight="1">
      <c r="A192" s="3350"/>
      <c r="B192" s="3351"/>
      <c r="C192" s="3352" t="str">
        <f>Texte!$A$4102</f>
        <v>Freiland</v>
      </c>
      <c r="D192" s="3353">
        <v>0</v>
      </c>
      <c r="E192" s="3354">
        <v>0</v>
      </c>
      <c r="F192" s="3354">
        <v>0</v>
      </c>
      <c r="G192" s="3354">
        <f t="shared" si="11"/>
        <v>0</v>
      </c>
      <c r="H192" s="3354">
        <f t="shared" si="12"/>
        <v>0</v>
      </c>
      <c r="I192" s="3354">
        <f t="shared" si="13"/>
        <v>0</v>
      </c>
      <c r="J192" s="3355"/>
      <c r="K192" s="3355"/>
      <c r="L192" s="708"/>
      <c r="M192" s="708"/>
      <c r="N192" s="708"/>
      <c r="O192" s="708"/>
      <c r="P192" s="708"/>
      <c r="Q192" s="708"/>
      <c r="R192" s="708"/>
      <c r="S192" s="708"/>
      <c r="T192" s="708"/>
      <c r="U192" s="708"/>
      <c r="V192" s="708"/>
    </row>
    <row r="193" spans="1:22" ht="12.2" customHeight="1">
      <c r="A193" s="3350"/>
      <c r="B193" s="3351"/>
      <c r="C193" s="3352" t="str">
        <f>Texte!$A$4065</f>
        <v>Nur Laufstallmist</v>
      </c>
      <c r="D193" s="3353">
        <v>3.7</v>
      </c>
      <c r="E193" s="3354">
        <v>2.2999999999999998</v>
      </c>
      <c r="F193" s="3354">
        <v>0</v>
      </c>
      <c r="G193" s="3354">
        <f t="shared" si="11"/>
        <v>0.30833333333333335</v>
      </c>
      <c r="H193" s="3354">
        <f t="shared" si="12"/>
        <v>0.19166666666666665</v>
      </c>
      <c r="I193" s="3354">
        <f t="shared" si="13"/>
        <v>0</v>
      </c>
      <c r="J193" s="3355">
        <v>15</v>
      </c>
      <c r="K193" s="3355">
        <v>0</v>
      </c>
      <c r="L193" s="708"/>
      <c r="M193" s="708"/>
      <c r="N193" s="708"/>
      <c r="O193" s="708"/>
      <c r="P193" s="708"/>
      <c r="Q193" s="708"/>
      <c r="R193" s="708"/>
      <c r="S193" s="708"/>
      <c r="T193" s="708"/>
      <c r="U193" s="708"/>
      <c r="V193" s="708"/>
    </row>
    <row r="194" spans="1:22" ht="12.2" customHeight="1">
      <c r="A194" s="3350" t="e">
        <f>C194:F196</f>
        <v>#VALUE!</v>
      </c>
      <c r="B194" s="3351">
        <f>Tierb!A45</f>
        <v>410</v>
      </c>
      <c r="C194" s="3352"/>
      <c r="D194" s="3353"/>
      <c r="E194" s="3354"/>
      <c r="F194" s="3354"/>
      <c r="G194" s="3354"/>
      <c r="H194" s="3354"/>
      <c r="I194" s="3354"/>
      <c r="J194" s="3355"/>
      <c r="K194" s="3355"/>
      <c r="L194" s="708"/>
      <c r="M194" s="708"/>
      <c r="N194" s="708"/>
      <c r="O194" s="708"/>
      <c r="P194" s="708"/>
      <c r="Q194" s="708"/>
      <c r="R194" s="708"/>
      <c r="S194" s="708"/>
      <c r="T194" s="708"/>
      <c r="U194" s="708"/>
      <c r="V194" s="708"/>
    </row>
    <row r="195" spans="1:22" ht="12.2" customHeight="1">
      <c r="A195" s="3350"/>
      <c r="B195" s="3351"/>
      <c r="C195" s="3352" t="str">
        <f>Texte!$A$4102</f>
        <v>Freiland</v>
      </c>
      <c r="D195" s="3353">
        <v>0</v>
      </c>
      <c r="E195" s="3354">
        <v>0</v>
      </c>
      <c r="F195" s="3354">
        <v>0</v>
      </c>
      <c r="G195" s="3354">
        <f t="shared" si="11"/>
        <v>0</v>
      </c>
      <c r="H195" s="3354">
        <f t="shared" si="12"/>
        <v>0</v>
      </c>
      <c r="I195" s="3354">
        <f t="shared" si="13"/>
        <v>0</v>
      </c>
      <c r="J195" s="3355"/>
      <c r="K195" s="3355"/>
      <c r="L195" s="708"/>
      <c r="M195" s="708"/>
      <c r="N195" s="708"/>
      <c r="O195" s="708"/>
      <c r="P195" s="708"/>
      <c r="Q195" s="708"/>
      <c r="R195" s="708"/>
      <c r="S195" s="708"/>
      <c r="T195" s="708"/>
      <c r="U195" s="708"/>
      <c r="V195" s="708"/>
    </row>
    <row r="196" spans="1:22" ht="12.2" customHeight="1">
      <c r="A196" s="3350"/>
      <c r="B196" s="3351"/>
      <c r="C196" s="3352" t="str">
        <f>Texte!$A$4065</f>
        <v>Nur Laufstallmist</v>
      </c>
      <c r="D196" s="3353">
        <v>3.7</v>
      </c>
      <c r="E196" s="3354">
        <v>1.7</v>
      </c>
      <c r="F196" s="3354">
        <v>0</v>
      </c>
      <c r="G196" s="3354">
        <f t="shared" si="11"/>
        <v>0.30833333333333335</v>
      </c>
      <c r="H196" s="3354">
        <f t="shared" si="12"/>
        <v>0.14166666666666666</v>
      </c>
      <c r="I196" s="3354">
        <f t="shared" si="13"/>
        <v>0</v>
      </c>
      <c r="J196" s="3355">
        <v>15</v>
      </c>
      <c r="K196" s="3355">
        <v>0</v>
      </c>
      <c r="L196" s="708"/>
      <c r="M196" s="708"/>
      <c r="N196" s="708"/>
      <c r="O196" s="708"/>
      <c r="P196" s="708"/>
      <c r="Q196" s="708"/>
      <c r="R196" s="708"/>
      <c r="S196" s="708"/>
      <c r="T196" s="708"/>
      <c r="U196" s="708"/>
      <c r="V196" s="708"/>
    </row>
    <row r="197" spans="1:22" ht="12.2" customHeight="1">
      <c r="A197" s="3350" t="e">
        <f>C197:F199</f>
        <v>#VALUE!</v>
      </c>
      <c r="B197" s="3351">
        <f>Tierb!A46</f>
        <v>420</v>
      </c>
      <c r="C197" s="3352"/>
      <c r="D197" s="3353"/>
      <c r="E197" s="3354"/>
      <c r="F197" s="3354"/>
      <c r="G197" s="3354"/>
      <c r="H197" s="3354"/>
      <c r="I197" s="3354"/>
      <c r="J197" s="3355"/>
      <c r="K197" s="3355"/>
      <c r="L197" s="708"/>
      <c r="M197" s="708"/>
      <c r="N197" s="708"/>
      <c r="O197" s="708"/>
      <c r="P197" s="708"/>
      <c r="Q197" s="708"/>
      <c r="R197" s="708"/>
      <c r="S197" s="708"/>
      <c r="T197" s="708"/>
      <c r="U197" s="708"/>
      <c r="V197" s="708"/>
    </row>
    <row r="198" spans="1:22" ht="12.2" customHeight="1">
      <c r="A198" s="3350"/>
      <c r="B198" s="3351"/>
      <c r="C198" s="3352" t="str">
        <f>Texte!$A$4102</f>
        <v>Freiland</v>
      </c>
      <c r="D198" s="3353">
        <v>0</v>
      </c>
      <c r="E198" s="3354">
        <v>0</v>
      </c>
      <c r="F198" s="3354">
        <v>0</v>
      </c>
      <c r="G198" s="3354">
        <f t="shared" ref="G198:I199" si="16">D198/12</f>
        <v>0</v>
      </c>
      <c r="H198" s="3354">
        <f t="shared" si="16"/>
        <v>0</v>
      </c>
      <c r="I198" s="3354">
        <f t="shared" si="16"/>
        <v>0</v>
      </c>
      <c r="J198" s="3355"/>
      <c r="K198" s="3355"/>
      <c r="L198" s="708"/>
      <c r="M198" s="708"/>
      <c r="N198" s="708"/>
      <c r="O198" s="708"/>
      <c r="P198" s="708"/>
      <c r="Q198" s="708"/>
      <c r="R198" s="708"/>
      <c r="S198" s="708"/>
      <c r="T198" s="708"/>
      <c r="U198" s="708"/>
      <c r="V198" s="708"/>
    </row>
    <row r="199" spans="1:22" ht="12.2" customHeight="1">
      <c r="A199" s="3350"/>
      <c r="B199" s="3351"/>
      <c r="C199" s="3352" t="str">
        <f>Texte!$A$4065</f>
        <v>Nur Laufstallmist</v>
      </c>
      <c r="D199" s="3353">
        <v>3.7</v>
      </c>
      <c r="E199" s="3354">
        <v>1.7</v>
      </c>
      <c r="F199" s="3354">
        <v>0</v>
      </c>
      <c r="G199" s="3354">
        <f t="shared" si="16"/>
        <v>0.30833333333333335</v>
      </c>
      <c r="H199" s="3354">
        <f t="shared" si="16"/>
        <v>0.14166666666666666</v>
      </c>
      <c r="I199" s="3354">
        <f t="shared" si="16"/>
        <v>0</v>
      </c>
      <c r="J199" s="3355">
        <v>15</v>
      </c>
      <c r="K199" s="3355">
        <v>0</v>
      </c>
      <c r="L199" s="708"/>
      <c r="M199" s="708"/>
      <c r="N199" s="708"/>
      <c r="O199" s="708"/>
      <c r="P199" s="708"/>
      <c r="Q199" s="708"/>
      <c r="R199" s="708"/>
      <c r="S199" s="708"/>
      <c r="T199" s="708"/>
      <c r="U199" s="708"/>
      <c r="V199" s="708"/>
    </row>
    <row r="200" spans="1:22" ht="12.2" customHeight="1">
      <c r="A200" s="3350" t="e">
        <f>C200:F202</f>
        <v>#VALUE!</v>
      </c>
      <c r="B200" s="3351">
        <f>Tierb!A47</f>
        <v>430</v>
      </c>
      <c r="C200" s="3352"/>
      <c r="D200" s="3353"/>
      <c r="E200" s="3354"/>
      <c r="F200" s="3354"/>
      <c r="G200" s="3354"/>
      <c r="H200" s="3354"/>
      <c r="I200" s="3354"/>
      <c r="J200" s="3355"/>
      <c r="K200" s="3355"/>
      <c r="L200" s="708"/>
      <c r="M200" s="708"/>
      <c r="N200" s="708"/>
      <c r="O200" s="708"/>
      <c r="P200" s="708"/>
      <c r="Q200" s="708"/>
      <c r="R200" s="708"/>
      <c r="S200" s="708"/>
      <c r="T200" s="708"/>
      <c r="U200" s="708"/>
      <c r="V200" s="708"/>
    </row>
    <row r="201" spans="1:22" ht="12.2" customHeight="1">
      <c r="A201" s="3350"/>
      <c r="B201" s="3351"/>
      <c r="C201" s="3352" t="str">
        <f>Texte!$A$4102</f>
        <v>Freiland</v>
      </c>
      <c r="D201" s="3353">
        <v>0</v>
      </c>
      <c r="E201" s="3354">
        <v>0</v>
      </c>
      <c r="F201" s="3354">
        <v>0</v>
      </c>
      <c r="G201" s="3354">
        <f t="shared" ref="G201:I202" si="17">D201/12</f>
        <v>0</v>
      </c>
      <c r="H201" s="3354">
        <f t="shared" si="17"/>
        <v>0</v>
      </c>
      <c r="I201" s="3354">
        <f t="shared" si="17"/>
        <v>0</v>
      </c>
      <c r="J201" s="3355"/>
      <c r="K201" s="3355"/>
      <c r="L201" s="708"/>
      <c r="M201" s="708"/>
      <c r="N201" s="708"/>
      <c r="O201" s="708"/>
      <c r="P201" s="708"/>
      <c r="Q201" s="708"/>
      <c r="R201" s="708"/>
      <c r="S201" s="708"/>
      <c r="T201" s="708"/>
      <c r="U201" s="708"/>
      <c r="V201" s="708"/>
    </row>
    <row r="202" spans="1:22" ht="12.2" customHeight="1">
      <c r="A202" s="3350"/>
      <c r="B202" s="3351"/>
      <c r="C202" s="3352" t="str">
        <f>Texte!$A$4065</f>
        <v>Nur Laufstallmist</v>
      </c>
      <c r="D202" s="3353">
        <v>3.7</v>
      </c>
      <c r="E202" s="3354">
        <v>1.7</v>
      </c>
      <c r="F202" s="3354">
        <v>0</v>
      </c>
      <c r="G202" s="3354">
        <f t="shared" si="17"/>
        <v>0.30833333333333335</v>
      </c>
      <c r="H202" s="3354">
        <f t="shared" si="17"/>
        <v>0.14166666666666666</v>
      </c>
      <c r="I202" s="3354">
        <f t="shared" si="17"/>
        <v>0</v>
      </c>
      <c r="J202" s="3355">
        <v>15</v>
      </c>
      <c r="K202" s="3355">
        <v>0</v>
      </c>
      <c r="L202" s="708"/>
      <c r="M202" s="708"/>
      <c r="N202" s="708"/>
      <c r="O202" s="708"/>
      <c r="P202" s="708"/>
      <c r="Q202" s="708"/>
      <c r="R202" s="708"/>
      <c r="S202" s="708"/>
      <c r="T202" s="708"/>
      <c r="U202" s="708"/>
      <c r="V202" s="708"/>
    </row>
    <row r="203" spans="1:22" ht="12.2" customHeight="1">
      <c r="A203" s="3350" t="e">
        <f>C203:F205</f>
        <v>#VALUE!</v>
      </c>
      <c r="B203" s="3351">
        <f>Tierb!A48</f>
        <v>440</v>
      </c>
      <c r="C203" s="3352"/>
      <c r="D203" s="3353"/>
      <c r="E203" s="3354"/>
      <c r="F203" s="3354"/>
      <c r="G203" s="3354"/>
      <c r="H203" s="3354"/>
      <c r="I203" s="3354"/>
      <c r="J203" s="3355"/>
      <c r="K203" s="3355"/>
      <c r="L203" s="708"/>
      <c r="M203" s="708"/>
      <c r="N203" s="708"/>
      <c r="O203" s="708"/>
      <c r="P203" s="708"/>
      <c r="Q203" s="708"/>
      <c r="R203" s="708"/>
      <c r="S203" s="708"/>
      <c r="T203" s="708"/>
      <c r="U203" s="708"/>
      <c r="V203" s="708"/>
    </row>
    <row r="204" spans="1:22" ht="12.2" customHeight="1">
      <c r="A204" s="3350"/>
      <c r="B204" s="3351"/>
      <c r="C204" s="3352" t="str">
        <f>Texte!$A$4102</f>
        <v>Freiland</v>
      </c>
      <c r="D204" s="3353">
        <v>0</v>
      </c>
      <c r="E204" s="3354">
        <v>0</v>
      </c>
      <c r="F204" s="3354">
        <v>0</v>
      </c>
      <c r="G204" s="3354">
        <f t="shared" ref="G204:I205" si="18">D204/12</f>
        <v>0</v>
      </c>
      <c r="H204" s="3354">
        <f t="shared" si="18"/>
        <v>0</v>
      </c>
      <c r="I204" s="3354">
        <f t="shared" si="18"/>
        <v>0</v>
      </c>
      <c r="J204" s="3355"/>
      <c r="K204" s="3355"/>
      <c r="L204" s="708"/>
      <c r="M204" s="708"/>
      <c r="N204" s="708"/>
      <c r="O204" s="708"/>
      <c r="P204" s="708"/>
      <c r="Q204" s="708"/>
      <c r="R204" s="708"/>
      <c r="S204" s="708"/>
      <c r="T204" s="708"/>
      <c r="U204" s="708"/>
      <c r="V204" s="708"/>
    </row>
    <row r="205" spans="1:22" ht="12.2" customHeight="1">
      <c r="A205" s="3350"/>
      <c r="B205" s="3351"/>
      <c r="C205" s="3352" t="str">
        <f>Texte!$A$4065</f>
        <v>Nur Laufstallmist</v>
      </c>
      <c r="D205" s="3353">
        <v>3.7</v>
      </c>
      <c r="E205" s="3354">
        <v>1.7</v>
      </c>
      <c r="F205" s="3354">
        <v>0</v>
      </c>
      <c r="G205" s="3354">
        <f t="shared" si="18"/>
        <v>0.30833333333333335</v>
      </c>
      <c r="H205" s="3354">
        <f t="shared" si="18"/>
        <v>0.14166666666666666</v>
      </c>
      <c r="I205" s="3354">
        <f t="shared" si="18"/>
        <v>0</v>
      </c>
      <c r="J205" s="3355">
        <v>15</v>
      </c>
      <c r="K205" s="3355">
        <v>0</v>
      </c>
      <c r="L205" s="708"/>
      <c r="M205" s="708"/>
      <c r="N205" s="708"/>
      <c r="O205" s="708"/>
      <c r="P205" s="708"/>
      <c r="Q205" s="708"/>
      <c r="R205" s="708"/>
      <c r="S205" s="708"/>
      <c r="T205" s="708"/>
      <c r="U205" s="708"/>
      <c r="V205" s="708"/>
    </row>
    <row r="206" spans="1:22" ht="12.2" customHeight="1">
      <c r="A206" s="3350" t="e">
        <f>C206:F208</f>
        <v>#VALUE!</v>
      </c>
      <c r="B206" s="3351">
        <f>Tierb!A49</f>
        <v>0</v>
      </c>
      <c r="C206" s="3352"/>
      <c r="D206" s="3353"/>
      <c r="E206" s="3354"/>
      <c r="F206" s="3354"/>
      <c r="G206" s="3354"/>
      <c r="H206" s="3354"/>
      <c r="I206" s="3354"/>
      <c r="J206" s="3355"/>
      <c r="K206" s="3355"/>
      <c r="L206" s="708"/>
      <c r="M206" s="708"/>
      <c r="N206" s="708"/>
      <c r="O206" s="708"/>
      <c r="P206" s="708"/>
      <c r="Q206" s="708"/>
      <c r="R206" s="708"/>
      <c r="S206" s="708"/>
      <c r="T206" s="708"/>
      <c r="U206" s="708"/>
      <c r="V206" s="708"/>
    </row>
    <row r="207" spans="1:22" ht="12.2" customHeight="1">
      <c r="A207" s="3350"/>
      <c r="B207" s="3351"/>
      <c r="C207" s="3352" t="str">
        <f>Texte!$A$4102</f>
        <v>Freiland</v>
      </c>
      <c r="D207" s="3353">
        <v>0</v>
      </c>
      <c r="E207" s="3354">
        <v>0</v>
      </c>
      <c r="F207" s="3354">
        <v>0</v>
      </c>
      <c r="G207" s="3354">
        <f t="shared" si="11"/>
        <v>0</v>
      </c>
      <c r="H207" s="3354">
        <f t="shared" si="12"/>
        <v>0</v>
      </c>
      <c r="I207" s="3354">
        <f t="shared" si="13"/>
        <v>0</v>
      </c>
      <c r="J207" s="3355"/>
      <c r="K207" s="3355"/>
      <c r="L207" s="708"/>
      <c r="M207" s="708"/>
      <c r="N207" s="708"/>
      <c r="O207" s="708"/>
      <c r="P207" s="708"/>
      <c r="Q207" s="708"/>
      <c r="R207" s="708"/>
      <c r="S207" s="708"/>
      <c r="T207" s="708"/>
      <c r="U207" s="708"/>
      <c r="V207" s="708"/>
    </row>
    <row r="208" spans="1:22" ht="12.2" customHeight="1">
      <c r="A208" s="3350"/>
      <c r="B208" s="3351"/>
      <c r="C208" s="3352" t="str">
        <f>Texte!$A$4065</f>
        <v>Nur Laufstallmist</v>
      </c>
      <c r="D208" s="3353">
        <v>3.7</v>
      </c>
      <c r="E208" s="3354">
        <v>1.7</v>
      </c>
      <c r="F208" s="3354">
        <v>0</v>
      </c>
      <c r="G208" s="3354">
        <f>D208/12</f>
        <v>0.30833333333333335</v>
      </c>
      <c r="H208" s="3354">
        <f>E208/12</f>
        <v>0.14166666666666666</v>
      </c>
      <c r="I208" s="3354">
        <f>F208/12</f>
        <v>0</v>
      </c>
      <c r="J208" s="3355">
        <v>15</v>
      </c>
      <c r="K208" s="3355">
        <v>0</v>
      </c>
      <c r="L208" s="708"/>
      <c r="M208" s="708"/>
      <c r="N208" s="708"/>
      <c r="O208" s="708"/>
      <c r="P208" s="708"/>
      <c r="Q208" s="708"/>
      <c r="R208" s="708"/>
      <c r="S208" s="708"/>
      <c r="T208" s="708"/>
      <c r="U208" s="708"/>
      <c r="V208" s="708"/>
    </row>
    <row r="209" spans="1:22" ht="12.2" customHeight="1">
      <c r="A209" s="710" t="e">
        <f>C209:F210</f>
        <v>#VALUE!</v>
      </c>
      <c r="B209" s="711">
        <f>Tierb!A52</f>
        <v>500</v>
      </c>
      <c r="C209" s="709"/>
      <c r="D209" s="2348"/>
      <c r="E209" s="2349"/>
      <c r="F209" s="2349"/>
      <c r="G209" s="2349"/>
      <c r="H209" s="2349"/>
      <c r="I209" s="2349"/>
      <c r="J209" s="708"/>
      <c r="K209" s="708"/>
      <c r="L209" s="708"/>
      <c r="M209" s="708"/>
      <c r="N209" s="708"/>
      <c r="O209" s="708"/>
      <c r="P209" s="708"/>
      <c r="Q209" s="708"/>
      <c r="R209" s="708"/>
      <c r="S209" s="708"/>
      <c r="T209" s="708"/>
      <c r="U209" s="708"/>
      <c r="V209" s="708"/>
    </row>
    <row r="210" spans="1:22" ht="12.2" customHeight="1">
      <c r="A210" s="710"/>
      <c r="B210" s="711"/>
      <c r="C210" s="709" t="str">
        <f>Texte!A4191</f>
        <v>Freiland</v>
      </c>
      <c r="D210" s="2348">
        <v>0</v>
      </c>
      <c r="E210" s="2349">
        <v>0</v>
      </c>
      <c r="F210" s="2349">
        <v>0</v>
      </c>
      <c r="G210" s="2349">
        <f t="shared" si="11"/>
        <v>0</v>
      </c>
      <c r="H210" s="2349">
        <f t="shared" si="12"/>
        <v>0</v>
      </c>
      <c r="I210" s="2349">
        <f t="shared" si="13"/>
        <v>0</v>
      </c>
      <c r="J210" s="708"/>
      <c r="K210" s="708"/>
      <c r="L210" s="708"/>
      <c r="M210" s="708"/>
      <c r="N210" s="708"/>
      <c r="O210" s="708"/>
      <c r="P210" s="708"/>
      <c r="Q210" s="708"/>
      <c r="R210" s="708"/>
      <c r="S210" s="708"/>
      <c r="T210" s="708"/>
      <c r="U210" s="708"/>
      <c r="V210" s="708"/>
    </row>
    <row r="211" spans="1:22" ht="12.2" customHeight="1">
      <c r="A211" s="710" t="e">
        <f>C211:F212</f>
        <v>#VALUE!</v>
      </c>
      <c r="B211" s="711">
        <f>Tierb!A53</f>
        <v>510</v>
      </c>
      <c r="C211" s="709"/>
      <c r="D211" s="2348"/>
      <c r="E211" s="2349"/>
      <c r="F211" s="2349"/>
      <c r="G211" s="2349"/>
      <c r="H211" s="2349"/>
      <c r="I211" s="2349"/>
      <c r="J211" s="708"/>
      <c r="K211" s="708"/>
      <c r="L211" s="708"/>
      <c r="M211" s="708"/>
      <c r="N211" s="708"/>
      <c r="O211" s="708"/>
      <c r="P211" s="708"/>
      <c r="Q211" s="708"/>
      <c r="R211" s="708"/>
      <c r="S211" s="708"/>
      <c r="T211" s="708"/>
      <c r="U211" s="708"/>
      <c r="V211" s="708"/>
    </row>
    <row r="212" spans="1:22" ht="12.2" customHeight="1">
      <c r="A212" s="710"/>
      <c r="B212" s="711"/>
      <c r="C212" s="709" t="str">
        <f>Texte!A4193</f>
        <v>Freiland</v>
      </c>
      <c r="D212" s="2348">
        <v>0</v>
      </c>
      <c r="E212" s="2349">
        <v>0</v>
      </c>
      <c r="F212" s="2349">
        <v>0</v>
      </c>
      <c r="G212" s="2349">
        <f t="shared" si="11"/>
        <v>0</v>
      </c>
      <c r="H212" s="2349">
        <f t="shared" si="12"/>
        <v>0</v>
      </c>
      <c r="I212" s="2349">
        <f t="shared" si="13"/>
        <v>0</v>
      </c>
      <c r="J212" s="708"/>
      <c r="K212" s="708"/>
      <c r="L212" s="708"/>
      <c r="M212" s="708"/>
      <c r="N212" s="708"/>
      <c r="O212" s="708"/>
      <c r="P212" s="708"/>
      <c r="Q212" s="708"/>
      <c r="R212" s="708"/>
      <c r="S212" s="708"/>
      <c r="T212" s="708"/>
      <c r="U212" s="708"/>
      <c r="V212" s="708"/>
    </row>
    <row r="213" spans="1:22" ht="12.2" customHeight="1">
      <c r="A213" s="710" t="e">
        <f>C213:F214</f>
        <v>#VALUE!</v>
      </c>
      <c r="B213" s="711">
        <f>Tierb!A54</f>
        <v>520</v>
      </c>
      <c r="C213" s="709"/>
      <c r="D213" s="2348"/>
      <c r="E213" s="2349"/>
      <c r="F213" s="2349"/>
      <c r="G213" s="2349"/>
      <c r="H213" s="2349"/>
      <c r="I213" s="2349"/>
      <c r="J213" s="708"/>
      <c r="K213" s="708"/>
      <c r="L213" s="708"/>
      <c r="M213" s="708"/>
      <c r="N213" s="708"/>
      <c r="O213" s="708"/>
      <c r="P213" s="708"/>
      <c r="Q213" s="708"/>
      <c r="R213" s="708"/>
      <c r="S213" s="708"/>
      <c r="T213" s="708"/>
      <c r="U213" s="708"/>
      <c r="V213" s="708"/>
    </row>
    <row r="214" spans="1:22" ht="12.2" customHeight="1">
      <c r="A214" s="710"/>
      <c r="B214" s="711"/>
      <c r="C214" s="709" t="str">
        <f>Texte!A4195</f>
        <v>Freiland</v>
      </c>
      <c r="D214" s="2348">
        <v>0</v>
      </c>
      <c r="E214" s="2349">
        <v>0</v>
      </c>
      <c r="F214" s="2349">
        <v>0</v>
      </c>
      <c r="G214" s="2349">
        <f t="shared" si="11"/>
        <v>0</v>
      </c>
      <c r="H214" s="2349">
        <f t="shared" si="12"/>
        <v>0</v>
      </c>
      <c r="I214" s="2349">
        <f t="shared" si="13"/>
        <v>0</v>
      </c>
      <c r="J214" s="708"/>
      <c r="K214" s="708"/>
      <c r="L214" s="708"/>
      <c r="M214" s="708"/>
      <c r="N214" s="708"/>
      <c r="O214" s="708"/>
      <c r="P214" s="708"/>
      <c r="Q214" s="708"/>
      <c r="R214" s="708"/>
      <c r="S214" s="708"/>
      <c r="T214" s="708"/>
      <c r="U214" s="708"/>
      <c r="V214" s="708"/>
    </row>
    <row r="215" spans="1:22" ht="12.2" customHeight="1">
      <c r="A215" s="710" t="e">
        <f>C215:F216</f>
        <v>#VALUE!</v>
      </c>
      <c r="B215" s="711">
        <f>Tierb!A55</f>
        <v>530</v>
      </c>
      <c r="C215" s="709"/>
      <c r="D215" s="2348"/>
      <c r="E215" s="2349"/>
      <c r="F215" s="2349"/>
      <c r="G215" s="2349"/>
      <c r="H215" s="2349"/>
      <c r="I215" s="2349"/>
      <c r="J215" s="708"/>
      <c r="K215" s="708"/>
      <c r="L215" s="708"/>
      <c r="M215" s="708"/>
      <c r="N215" s="708"/>
      <c r="O215" s="708"/>
      <c r="P215" s="708"/>
      <c r="Q215" s="708"/>
      <c r="R215" s="708"/>
      <c r="S215" s="708"/>
      <c r="T215" s="708"/>
      <c r="U215" s="708"/>
      <c r="V215" s="708"/>
    </row>
    <row r="216" spans="1:22" ht="12.2" customHeight="1">
      <c r="A216" s="710"/>
      <c r="B216" s="711"/>
      <c r="C216" s="709" t="str">
        <f>Texte!A4197</f>
        <v>Freiland</v>
      </c>
      <c r="D216" s="2348">
        <v>0</v>
      </c>
      <c r="E216" s="2349">
        <v>0</v>
      </c>
      <c r="F216" s="2349">
        <v>0</v>
      </c>
      <c r="G216" s="2349">
        <f t="shared" si="11"/>
        <v>0</v>
      </c>
      <c r="H216" s="2349">
        <f t="shared" si="12"/>
        <v>0</v>
      </c>
      <c r="I216" s="2349">
        <f t="shared" si="13"/>
        <v>0</v>
      </c>
      <c r="J216" s="708"/>
      <c r="K216" s="708"/>
      <c r="L216" s="708"/>
      <c r="M216" s="708"/>
      <c r="N216" s="708"/>
      <c r="O216" s="708"/>
      <c r="P216" s="708"/>
      <c r="Q216" s="708"/>
      <c r="R216" s="708"/>
      <c r="S216" s="708"/>
      <c r="T216" s="708"/>
      <c r="U216" s="708"/>
      <c r="V216" s="708"/>
    </row>
    <row r="217" spans="1:22" ht="12.2" customHeight="1">
      <c r="A217" s="710" t="e">
        <f>C217:F218</f>
        <v>#VALUE!</v>
      </c>
      <c r="B217" s="711">
        <f>Tierb!A56</f>
        <v>540</v>
      </c>
      <c r="C217" s="709"/>
      <c r="D217" s="2348"/>
      <c r="E217" s="2349"/>
      <c r="F217" s="2349"/>
      <c r="G217" s="2349"/>
      <c r="H217" s="2349"/>
      <c r="I217" s="2349"/>
      <c r="J217" s="708"/>
      <c r="K217" s="708"/>
      <c r="L217" s="708"/>
      <c r="M217" s="708"/>
      <c r="N217" s="708"/>
      <c r="O217" s="708"/>
      <c r="P217" s="708"/>
      <c r="Q217" s="708"/>
      <c r="R217" s="708"/>
      <c r="S217" s="708"/>
      <c r="T217" s="708"/>
      <c r="U217" s="708"/>
      <c r="V217" s="708"/>
    </row>
    <row r="218" spans="1:22" ht="12.2" customHeight="1">
      <c r="A218" s="710"/>
      <c r="B218" s="711"/>
      <c r="C218" s="709" t="str">
        <f>Texte!A4199</f>
        <v>Freiland</v>
      </c>
      <c r="D218" s="2348">
        <v>0</v>
      </c>
      <c r="E218" s="2349">
        <v>0</v>
      </c>
      <c r="F218" s="2349">
        <v>0</v>
      </c>
      <c r="G218" s="2349">
        <f t="shared" ref="G218:G281" si="19">D218/12</f>
        <v>0</v>
      </c>
      <c r="H218" s="2349">
        <f t="shared" ref="H218:H281" si="20">E218/12</f>
        <v>0</v>
      </c>
      <c r="I218" s="2349">
        <f t="shared" ref="I218:I281" si="21">F218/12</f>
        <v>0</v>
      </c>
      <c r="J218" s="708"/>
      <c r="K218" s="708"/>
      <c r="L218" s="708"/>
      <c r="M218" s="708"/>
      <c r="N218" s="708"/>
      <c r="O218" s="708"/>
      <c r="P218" s="708"/>
      <c r="Q218" s="708"/>
      <c r="R218" s="708"/>
      <c r="S218" s="708"/>
      <c r="T218" s="708"/>
      <c r="U218" s="708"/>
      <c r="V218" s="708"/>
    </row>
    <row r="219" spans="1:22" ht="12.2" customHeight="1">
      <c r="A219" s="710" t="e">
        <f>C219:F220</f>
        <v>#VALUE!</v>
      </c>
      <c r="B219" s="711">
        <f>Tierb!A57</f>
        <v>550</v>
      </c>
      <c r="C219" s="709"/>
      <c r="D219" s="2348"/>
      <c r="E219" s="2349"/>
      <c r="F219" s="2349"/>
      <c r="G219" s="2349"/>
      <c r="H219" s="2349"/>
      <c r="I219" s="2349"/>
      <c r="J219" s="708"/>
      <c r="K219" s="708"/>
      <c r="L219" s="708"/>
      <c r="M219" s="708"/>
      <c r="N219" s="708"/>
      <c r="O219" s="708"/>
      <c r="P219" s="708"/>
      <c r="Q219" s="708"/>
      <c r="R219" s="708"/>
      <c r="S219" s="708"/>
      <c r="T219" s="708"/>
      <c r="U219" s="708"/>
      <c r="V219" s="708"/>
    </row>
    <row r="220" spans="1:22" ht="12.2" customHeight="1">
      <c r="A220" s="710"/>
      <c r="B220" s="711"/>
      <c r="C220" s="709" t="str">
        <f>Texte!A4201</f>
        <v>Freiland</v>
      </c>
      <c r="D220" s="2348">
        <v>0</v>
      </c>
      <c r="E220" s="2349">
        <v>0</v>
      </c>
      <c r="F220" s="2349">
        <v>0</v>
      </c>
      <c r="G220" s="2349">
        <f t="shared" si="19"/>
        <v>0</v>
      </c>
      <c r="H220" s="2349">
        <f t="shared" si="20"/>
        <v>0</v>
      </c>
      <c r="I220" s="2349">
        <f t="shared" si="21"/>
        <v>0</v>
      </c>
      <c r="J220" s="708"/>
      <c r="K220" s="708"/>
      <c r="L220" s="708"/>
      <c r="M220" s="708"/>
      <c r="N220" s="708"/>
      <c r="O220" s="708"/>
      <c r="P220" s="708"/>
      <c r="Q220" s="708"/>
      <c r="R220" s="708"/>
      <c r="S220" s="708"/>
      <c r="T220" s="708"/>
      <c r="U220" s="708"/>
      <c r="V220" s="708"/>
    </row>
    <row r="221" spans="1:22" ht="12.2" customHeight="1">
      <c r="A221" s="710" t="e">
        <f>C221:F222</f>
        <v>#VALUE!</v>
      </c>
      <c r="B221" s="711">
        <f>Tierb!A58</f>
        <v>560</v>
      </c>
      <c r="C221" s="709"/>
      <c r="D221" s="2348"/>
      <c r="E221" s="2349"/>
      <c r="F221" s="2349"/>
      <c r="G221" s="2349"/>
      <c r="H221" s="2349"/>
      <c r="I221" s="2349"/>
      <c r="J221" s="708"/>
      <c r="K221" s="708"/>
      <c r="L221" s="708"/>
      <c r="M221" s="708"/>
      <c r="N221" s="708"/>
      <c r="O221" s="708"/>
      <c r="P221" s="708"/>
      <c r="Q221" s="708"/>
      <c r="R221" s="708"/>
      <c r="S221" s="708"/>
      <c r="T221" s="708"/>
      <c r="U221" s="708"/>
      <c r="V221" s="708"/>
    </row>
    <row r="222" spans="1:22" ht="12.2" customHeight="1">
      <c r="A222" s="710"/>
      <c r="B222" s="711"/>
      <c r="C222" s="709" t="str">
        <f>Texte!A4203</f>
        <v>Freiland</v>
      </c>
      <c r="D222" s="2348">
        <v>0</v>
      </c>
      <c r="E222" s="2349">
        <v>0</v>
      </c>
      <c r="F222" s="2349">
        <v>0</v>
      </c>
      <c r="G222" s="2349">
        <f t="shared" si="19"/>
        <v>0</v>
      </c>
      <c r="H222" s="2349">
        <f t="shared" si="20"/>
        <v>0</v>
      </c>
      <c r="I222" s="2349">
        <f t="shared" si="21"/>
        <v>0</v>
      </c>
      <c r="J222" s="708"/>
      <c r="K222" s="708"/>
      <c r="L222" s="708"/>
      <c r="M222" s="708"/>
      <c r="N222" s="708"/>
      <c r="O222" s="708"/>
      <c r="P222" s="708"/>
      <c r="Q222" s="708"/>
      <c r="R222" s="708"/>
      <c r="S222" s="708"/>
      <c r="T222" s="708"/>
      <c r="U222" s="708"/>
      <c r="V222" s="708"/>
    </row>
    <row r="223" spans="1:22" ht="12.2" customHeight="1">
      <c r="A223" s="710" t="e">
        <f>C223:F224</f>
        <v>#VALUE!</v>
      </c>
      <c r="B223" s="711">
        <f>Tierb!A59</f>
        <v>570</v>
      </c>
      <c r="C223" s="709"/>
      <c r="D223" s="2348"/>
      <c r="E223" s="2349"/>
      <c r="F223" s="2349"/>
      <c r="G223" s="2349"/>
      <c r="H223" s="2349"/>
      <c r="I223" s="2349"/>
      <c r="J223" s="708"/>
      <c r="K223" s="708"/>
      <c r="L223" s="708"/>
      <c r="M223" s="708"/>
      <c r="N223" s="708"/>
      <c r="O223" s="708"/>
      <c r="P223" s="708"/>
      <c r="Q223" s="708"/>
      <c r="R223" s="708"/>
      <c r="S223" s="708"/>
      <c r="T223" s="708"/>
      <c r="U223" s="708"/>
      <c r="V223" s="708"/>
    </row>
    <row r="224" spans="1:22" ht="12.2" customHeight="1">
      <c r="A224" s="710"/>
      <c r="B224" s="711"/>
      <c r="C224" s="709" t="str">
        <f>Texte!A4205</f>
        <v>Freiland</v>
      </c>
      <c r="D224" s="2348">
        <v>0</v>
      </c>
      <c r="E224" s="2349">
        <v>0</v>
      </c>
      <c r="F224" s="2349">
        <v>0</v>
      </c>
      <c r="G224" s="2349">
        <f t="shared" si="19"/>
        <v>0</v>
      </c>
      <c r="H224" s="2349">
        <f t="shared" si="20"/>
        <v>0</v>
      </c>
      <c r="I224" s="2349">
        <f t="shared" si="21"/>
        <v>0</v>
      </c>
      <c r="J224" s="708"/>
      <c r="K224" s="708"/>
      <c r="L224" s="708"/>
      <c r="M224" s="708"/>
      <c r="N224" s="708"/>
      <c r="O224" s="708"/>
      <c r="P224" s="708"/>
      <c r="Q224" s="708"/>
      <c r="R224" s="708"/>
      <c r="S224" s="708"/>
      <c r="T224" s="708"/>
      <c r="U224" s="708"/>
      <c r="V224" s="708"/>
    </row>
    <row r="225" spans="1:22" ht="12.2" customHeight="1">
      <c r="A225" s="710" t="e">
        <f>C225:F227</f>
        <v>#VALUE!</v>
      </c>
      <c r="B225" s="711">
        <f>Tierb!A60</f>
        <v>800</v>
      </c>
      <c r="C225" s="709"/>
      <c r="D225" s="2348"/>
      <c r="E225" s="2349"/>
      <c r="F225" s="2349"/>
      <c r="G225" s="2349"/>
      <c r="H225" s="2349"/>
      <c r="I225" s="2349"/>
      <c r="J225" s="708"/>
      <c r="K225" s="708"/>
      <c r="L225" s="708"/>
      <c r="M225" s="708"/>
      <c r="N225" s="708"/>
      <c r="O225" s="708"/>
      <c r="P225" s="708"/>
      <c r="Q225" s="708"/>
      <c r="R225" s="708"/>
      <c r="S225" s="708"/>
      <c r="T225" s="708"/>
      <c r="U225" s="708"/>
      <c r="V225" s="708"/>
    </row>
    <row r="226" spans="1:22" ht="12.2" customHeight="1">
      <c r="A226" s="710"/>
      <c r="B226" s="711"/>
      <c r="C226" s="709" t="str">
        <f>Texte!A4207</f>
        <v>Freiland</v>
      </c>
      <c r="D226" s="2348">
        <v>0</v>
      </c>
      <c r="E226" s="2349">
        <v>0</v>
      </c>
      <c r="F226" s="2349">
        <v>0</v>
      </c>
      <c r="G226" s="2349">
        <f t="shared" si="19"/>
        <v>0</v>
      </c>
      <c r="H226" s="2349">
        <f t="shared" si="20"/>
        <v>0</v>
      </c>
      <c r="I226" s="2349">
        <f t="shared" si="21"/>
        <v>0</v>
      </c>
      <c r="J226" s="708"/>
      <c r="K226" s="708"/>
      <c r="L226" s="708"/>
      <c r="M226" s="708"/>
      <c r="N226" s="708"/>
      <c r="O226" s="708"/>
      <c r="P226" s="708"/>
      <c r="Q226" s="708"/>
      <c r="R226" s="708"/>
      <c r="S226" s="708"/>
      <c r="T226" s="708"/>
      <c r="U226" s="708"/>
      <c r="V226" s="708"/>
    </row>
    <row r="227" spans="1:22" ht="12.2" customHeight="1">
      <c r="A227" s="710"/>
      <c r="B227" s="711"/>
      <c r="C227" s="709" t="str">
        <f>Texte!A4208</f>
        <v>Nur Laufstallmist</v>
      </c>
      <c r="D227" s="2350">
        <v>0.5</v>
      </c>
      <c r="E227" s="2351">
        <v>0.16</v>
      </c>
      <c r="F227" s="2349">
        <v>0</v>
      </c>
      <c r="G227" s="2349">
        <f t="shared" si="19"/>
        <v>4.1666666666666664E-2</v>
      </c>
      <c r="H227" s="2349">
        <f t="shared" si="20"/>
        <v>1.3333333333333334E-2</v>
      </c>
      <c r="I227" s="2349">
        <f t="shared" si="21"/>
        <v>0</v>
      </c>
      <c r="J227" s="708">
        <v>17</v>
      </c>
      <c r="K227" s="708">
        <v>0</v>
      </c>
      <c r="L227" s="708"/>
      <c r="M227" s="708"/>
      <c r="N227" s="708"/>
      <c r="O227" s="708"/>
      <c r="P227" s="708"/>
      <c r="Q227" s="708"/>
      <c r="R227" s="708"/>
      <c r="S227" s="708"/>
      <c r="T227" s="708"/>
      <c r="U227" s="708"/>
      <c r="V227" s="708"/>
    </row>
    <row r="228" spans="1:22" ht="12.2" customHeight="1">
      <c r="A228" s="710" t="e">
        <f>C228:F230</f>
        <v>#VALUE!</v>
      </c>
      <c r="B228" s="711">
        <f>Tierb!A61</f>
        <v>810</v>
      </c>
      <c r="C228" s="709"/>
      <c r="D228" s="2348"/>
      <c r="E228" s="2349"/>
      <c r="F228" s="2349"/>
      <c r="G228" s="2349"/>
      <c r="H228" s="2349"/>
      <c r="I228" s="2349"/>
      <c r="J228" s="708"/>
      <c r="K228" s="708"/>
      <c r="L228" s="708"/>
      <c r="M228" s="708"/>
      <c r="N228" s="708"/>
      <c r="O228" s="708"/>
      <c r="P228" s="708"/>
      <c r="Q228" s="708"/>
      <c r="R228" s="708"/>
      <c r="S228" s="708"/>
      <c r="T228" s="708"/>
      <c r="U228" s="708"/>
      <c r="V228" s="708"/>
    </row>
    <row r="229" spans="1:22" ht="12.2" customHeight="1">
      <c r="A229" s="710"/>
      <c r="B229" s="711"/>
      <c r="C229" s="709" t="str">
        <f>Texte!A4207</f>
        <v>Freiland</v>
      </c>
      <c r="D229" s="2348">
        <v>0</v>
      </c>
      <c r="E229" s="2349">
        <v>0</v>
      </c>
      <c r="F229" s="2349">
        <v>0</v>
      </c>
      <c r="G229" s="2349">
        <f t="shared" si="19"/>
        <v>0</v>
      </c>
      <c r="H229" s="2349">
        <f t="shared" si="20"/>
        <v>0</v>
      </c>
      <c r="I229" s="2349">
        <f t="shared" si="21"/>
        <v>0</v>
      </c>
      <c r="J229" s="708"/>
      <c r="K229" s="708"/>
      <c r="L229" s="708"/>
      <c r="M229" s="708"/>
      <c r="N229" s="708"/>
      <c r="O229" s="708"/>
      <c r="P229" s="708"/>
      <c r="Q229" s="708"/>
      <c r="R229" s="708"/>
      <c r="S229" s="708"/>
      <c r="T229" s="708"/>
      <c r="U229" s="708"/>
      <c r="V229" s="708"/>
    </row>
    <row r="230" spans="1:22" ht="12.2" customHeight="1">
      <c r="A230" s="710"/>
      <c r="B230" s="711"/>
      <c r="C230" s="709" t="str">
        <f>Texte!A4208</f>
        <v>Nur Laufstallmist</v>
      </c>
      <c r="D230" s="2350">
        <v>5.2</v>
      </c>
      <c r="E230" s="2351">
        <v>2.8</v>
      </c>
      <c r="F230" s="2349">
        <v>0</v>
      </c>
      <c r="G230" s="2349">
        <f t="shared" si="19"/>
        <v>0.43333333333333335</v>
      </c>
      <c r="H230" s="2349">
        <f t="shared" si="20"/>
        <v>0.23333333333333331</v>
      </c>
      <c r="I230" s="2349">
        <f t="shared" si="21"/>
        <v>0</v>
      </c>
      <c r="J230" s="708">
        <v>18</v>
      </c>
      <c r="K230" s="708">
        <v>0</v>
      </c>
      <c r="L230" s="708"/>
      <c r="M230" s="708"/>
      <c r="N230" s="708"/>
      <c r="O230" s="708"/>
      <c r="P230" s="708"/>
      <c r="Q230" s="708"/>
      <c r="R230" s="708"/>
      <c r="S230" s="708"/>
      <c r="T230" s="708"/>
      <c r="U230" s="708"/>
      <c r="V230" s="708"/>
    </row>
    <row r="231" spans="1:22" ht="12.2" customHeight="1">
      <c r="A231" s="710" t="e">
        <f>C231:F237</f>
        <v>#VALUE!</v>
      </c>
      <c r="B231" s="711">
        <f>Tierb!A64</f>
        <v>600</v>
      </c>
      <c r="C231" s="709"/>
      <c r="D231" s="2348"/>
      <c r="E231" s="2349"/>
      <c r="F231" s="2349"/>
      <c r="G231" s="2349"/>
      <c r="H231" s="2349"/>
      <c r="I231" s="2349"/>
      <c r="J231" s="708"/>
      <c r="K231" s="708"/>
      <c r="L231" s="708"/>
      <c r="M231" s="708"/>
      <c r="N231" s="708"/>
      <c r="O231" s="708"/>
      <c r="P231" s="708"/>
      <c r="Q231" s="708"/>
      <c r="R231" s="708"/>
      <c r="S231" s="708"/>
      <c r="T231" s="708"/>
      <c r="U231" s="708"/>
      <c r="V231" s="708"/>
    </row>
    <row r="232" spans="1:22" ht="12.2" customHeight="1">
      <c r="A232" s="710"/>
      <c r="B232" s="711"/>
      <c r="C232" s="709" t="str">
        <f>Texte!A4210</f>
        <v>Freiland</v>
      </c>
      <c r="D232" s="2348">
        <v>0</v>
      </c>
      <c r="E232" s="2349">
        <v>0</v>
      </c>
      <c r="F232" s="2349">
        <v>0</v>
      </c>
      <c r="G232" s="2349">
        <f t="shared" si="19"/>
        <v>0</v>
      </c>
      <c r="H232" s="2349">
        <f t="shared" si="20"/>
        <v>0</v>
      </c>
      <c r="I232" s="2349">
        <f t="shared" si="21"/>
        <v>0</v>
      </c>
      <c r="J232" s="708"/>
      <c r="K232" s="708"/>
      <c r="L232" s="708"/>
      <c r="M232" s="708"/>
      <c r="N232" s="708"/>
      <c r="O232" s="708"/>
      <c r="P232" s="708"/>
      <c r="Q232" s="708"/>
      <c r="R232" s="708"/>
      <c r="S232" s="708"/>
      <c r="T232" s="708"/>
      <c r="U232" s="708"/>
      <c r="V232" s="708"/>
    </row>
    <row r="233" spans="1:22" ht="12.2" customHeight="1">
      <c r="A233" s="710"/>
      <c r="B233" s="711"/>
      <c r="C233" s="709" t="str">
        <f>Texte!A4211</f>
        <v>Nur Gülle</v>
      </c>
      <c r="D233" s="2348">
        <v>0</v>
      </c>
      <c r="E233" s="2349">
        <v>0</v>
      </c>
      <c r="F233" s="2349">
        <v>7.5</v>
      </c>
      <c r="G233" s="2349">
        <f t="shared" si="19"/>
        <v>0</v>
      </c>
      <c r="H233" s="2349">
        <f t="shared" si="20"/>
        <v>0</v>
      </c>
      <c r="I233" s="2349">
        <f t="shared" si="21"/>
        <v>0.625</v>
      </c>
      <c r="J233" s="708">
        <v>0</v>
      </c>
      <c r="K233" s="708">
        <v>21</v>
      </c>
      <c r="L233" s="2349">
        <v>0.04</v>
      </c>
      <c r="M233" s="2349">
        <v>0.04</v>
      </c>
      <c r="N233" s="708"/>
      <c r="O233" s="708"/>
      <c r="P233" s="708"/>
      <c r="Q233" s="708"/>
      <c r="R233" s="708"/>
      <c r="S233" s="708"/>
      <c r="T233" s="708"/>
      <c r="U233" s="708"/>
      <c r="V233" s="708"/>
    </row>
    <row r="234" spans="1:22" ht="12.2" customHeight="1">
      <c r="A234" s="710"/>
      <c r="B234" s="711"/>
      <c r="C234" s="709" t="str">
        <f>Texte!A4212</f>
        <v>Laufstallmist und viel Gülle (10-40% eingestreut)</v>
      </c>
      <c r="D234" s="2348">
        <v>2</v>
      </c>
      <c r="E234" s="2349">
        <v>1.1000000000000001</v>
      </c>
      <c r="F234" s="2349">
        <v>5.6</v>
      </c>
      <c r="G234" s="2349">
        <f t="shared" si="19"/>
        <v>0.16666666666666666</v>
      </c>
      <c r="H234" s="2349">
        <f t="shared" si="20"/>
        <v>9.1666666666666674E-2</v>
      </c>
      <c r="I234" s="2349">
        <f t="shared" si="21"/>
        <v>0.46666666666666662</v>
      </c>
      <c r="J234" s="708">
        <v>22</v>
      </c>
      <c r="K234" s="708">
        <v>21</v>
      </c>
      <c r="L234" s="2349">
        <v>0.04</v>
      </c>
      <c r="M234" s="2349">
        <v>0.04</v>
      </c>
      <c r="N234" s="708"/>
      <c r="O234" s="708"/>
      <c r="P234" s="708"/>
      <c r="Q234" s="708"/>
      <c r="R234" s="708"/>
      <c r="S234" s="708"/>
      <c r="T234" s="708"/>
      <c r="U234" s="708"/>
      <c r="V234" s="708"/>
    </row>
    <row r="235" spans="1:22" ht="12.2" customHeight="1">
      <c r="A235" s="710"/>
      <c r="B235" s="711"/>
      <c r="C235" s="709" t="str">
        <f>Texte!A4213</f>
        <v>Laufstallmist und Gülle (40-60% eingestreut)</v>
      </c>
      <c r="D235" s="2350">
        <v>4</v>
      </c>
      <c r="E235" s="2351">
        <v>2.1</v>
      </c>
      <c r="F235" s="2349">
        <v>3.8</v>
      </c>
      <c r="G235" s="2349">
        <f t="shared" si="19"/>
        <v>0.33333333333333331</v>
      </c>
      <c r="H235" s="2349">
        <f t="shared" si="20"/>
        <v>0.17500000000000002</v>
      </c>
      <c r="I235" s="2349">
        <f t="shared" si="21"/>
        <v>0.31666666666666665</v>
      </c>
      <c r="J235" s="708">
        <v>22</v>
      </c>
      <c r="K235" s="708">
        <v>21</v>
      </c>
      <c r="L235" s="2349">
        <v>0.04</v>
      </c>
      <c r="M235" s="2349">
        <v>0.04</v>
      </c>
      <c r="N235" s="708"/>
      <c r="O235" s="708"/>
      <c r="P235" s="708"/>
      <c r="Q235" s="708"/>
      <c r="R235" s="708"/>
      <c r="S235" s="708"/>
      <c r="T235" s="708"/>
      <c r="U235" s="708"/>
      <c r="V235" s="708"/>
    </row>
    <row r="236" spans="1:22" ht="12.2" customHeight="1">
      <c r="A236" s="710"/>
      <c r="B236" s="711"/>
      <c r="C236" s="709" t="str">
        <f>Texte!A4214</f>
        <v>Laufstallmist und wenig Gülle (60-90% eingestreut)</v>
      </c>
      <c r="D236" s="2348">
        <v>6</v>
      </c>
      <c r="E236" s="2349">
        <v>3.2</v>
      </c>
      <c r="F236" s="2349">
        <v>1.9</v>
      </c>
      <c r="G236" s="2349">
        <f t="shared" si="19"/>
        <v>0.5</v>
      </c>
      <c r="H236" s="2349">
        <f t="shared" si="20"/>
        <v>0.26666666666666666</v>
      </c>
      <c r="I236" s="2349">
        <f t="shared" si="21"/>
        <v>0.15833333333333333</v>
      </c>
      <c r="J236" s="708">
        <v>22</v>
      </c>
      <c r="K236" s="708">
        <v>21</v>
      </c>
      <c r="L236" s="2349">
        <v>0.04</v>
      </c>
      <c r="M236" s="2349">
        <v>0.04</v>
      </c>
      <c r="N236" s="708"/>
      <c r="O236" s="708"/>
      <c r="P236" s="708"/>
      <c r="Q236" s="708"/>
      <c r="R236" s="708"/>
      <c r="S236" s="708"/>
      <c r="T236" s="708"/>
      <c r="U236" s="708"/>
      <c r="V236" s="708"/>
    </row>
    <row r="237" spans="1:22" ht="12.2" customHeight="1">
      <c r="A237" s="710"/>
      <c r="B237" s="711"/>
      <c r="C237" s="709" t="str">
        <f>Texte!A4215</f>
        <v>Nur Laufstallmist</v>
      </c>
      <c r="D237" s="2348">
        <v>8</v>
      </c>
      <c r="E237" s="2349">
        <v>4.2</v>
      </c>
      <c r="F237" s="2349">
        <v>0</v>
      </c>
      <c r="G237" s="2349">
        <f t="shared" si="19"/>
        <v>0.66666666666666663</v>
      </c>
      <c r="H237" s="2349">
        <f t="shared" si="20"/>
        <v>0.35000000000000003</v>
      </c>
      <c r="I237" s="2349">
        <f t="shared" si="21"/>
        <v>0</v>
      </c>
      <c r="J237" s="708">
        <v>22</v>
      </c>
      <c r="K237" s="708">
        <v>0</v>
      </c>
      <c r="L237" s="2349">
        <v>0.04</v>
      </c>
      <c r="M237" s="2349">
        <v>0.04</v>
      </c>
      <c r="N237" s="708"/>
      <c r="O237" s="708"/>
      <c r="P237" s="708"/>
      <c r="Q237" s="708"/>
      <c r="R237" s="708"/>
      <c r="S237" s="708"/>
      <c r="T237" s="708"/>
      <c r="U237" s="708"/>
      <c r="V237" s="708"/>
    </row>
    <row r="238" spans="1:22" ht="12.2" customHeight="1">
      <c r="A238" s="710" t="e">
        <f>C238:F244</f>
        <v>#VALUE!</v>
      </c>
      <c r="B238" s="711">
        <f>Tierb!A65</f>
        <v>610</v>
      </c>
      <c r="C238" s="709"/>
      <c r="D238" s="2348"/>
      <c r="E238" s="2349"/>
      <c r="F238" s="2349"/>
      <c r="G238" s="2349"/>
      <c r="H238" s="2349"/>
      <c r="I238" s="2349"/>
      <c r="J238" s="708"/>
      <c r="K238" s="708"/>
      <c r="L238" s="2349"/>
      <c r="M238" s="2349"/>
      <c r="N238" s="708"/>
      <c r="O238" s="708"/>
      <c r="P238" s="708"/>
      <c r="Q238" s="708"/>
      <c r="R238" s="708"/>
      <c r="S238" s="708"/>
      <c r="T238" s="708"/>
      <c r="U238" s="708"/>
      <c r="V238" s="708"/>
    </row>
    <row r="239" spans="1:22" ht="12.2" customHeight="1">
      <c r="A239" s="710"/>
      <c r="B239" s="711"/>
      <c r="C239" s="709" t="str">
        <f>Texte!A4217</f>
        <v>Freiland</v>
      </c>
      <c r="D239" s="2348">
        <v>0</v>
      </c>
      <c r="E239" s="2349">
        <v>0</v>
      </c>
      <c r="F239" s="2349">
        <v>0</v>
      </c>
      <c r="G239" s="2349">
        <f t="shared" si="19"/>
        <v>0</v>
      </c>
      <c r="H239" s="2349">
        <f t="shared" si="20"/>
        <v>0</v>
      </c>
      <c r="I239" s="2349">
        <f t="shared" si="21"/>
        <v>0</v>
      </c>
      <c r="J239" s="708"/>
      <c r="K239" s="708"/>
      <c r="L239" s="2349"/>
      <c r="M239" s="2349"/>
      <c r="N239" s="708"/>
      <c r="O239" s="708"/>
      <c r="P239" s="708"/>
      <c r="Q239" s="708"/>
      <c r="R239" s="708"/>
      <c r="S239" s="708"/>
      <c r="T239" s="708"/>
      <c r="U239" s="708"/>
      <c r="V239" s="708"/>
    </row>
    <row r="240" spans="1:22" ht="12.2" customHeight="1">
      <c r="A240" s="710"/>
      <c r="B240" s="711"/>
      <c r="C240" s="709" t="str">
        <f>Texte!A4218</f>
        <v>Nur Gülle</v>
      </c>
      <c r="D240" s="2348">
        <v>0</v>
      </c>
      <c r="E240" s="2349">
        <v>0</v>
      </c>
      <c r="F240" s="2349">
        <v>1.6</v>
      </c>
      <c r="G240" s="2349">
        <f t="shared" si="19"/>
        <v>0</v>
      </c>
      <c r="H240" s="2349">
        <f t="shared" si="20"/>
        <v>0</v>
      </c>
      <c r="I240" s="2349">
        <f t="shared" si="21"/>
        <v>0.13333333333333333</v>
      </c>
      <c r="J240" s="708">
        <v>0</v>
      </c>
      <c r="K240" s="708">
        <v>20</v>
      </c>
      <c r="L240" s="2349">
        <v>0.04</v>
      </c>
      <c r="M240" s="2349">
        <v>0.04</v>
      </c>
      <c r="N240" s="708"/>
      <c r="O240" s="708"/>
      <c r="P240" s="708"/>
      <c r="Q240" s="708"/>
      <c r="R240" s="708"/>
      <c r="S240" s="708"/>
      <c r="T240" s="708"/>
      <c r="U240" s="708"/>
      <c r="V240" s="708"/>
    </row>
    <row r="241" spans="1:22" ht="12.2" customHeight="1">
      <c r="A241" s="710"/>
      <c r="B241" s="711"/>
      <c r="C241" s="709" t="str">
        <f>Texte!A4219</f>
        <v>Laufstallmist und viel Gülle (10-40% eingestreut)</v>
      </c>
      <c r="D241" s="2348">
        <v>0.65</v>
      </c>
      <c r="E241" s="2349">
        <v>0.3</v>
      </c>
      <c r="F241" s="2349">
        <v>1.2</v>
      </c>
      <c r="G241" s="2349">
        <f t="shared" si="19"/>
        <v>5.4166666666666669E-2</v>
      </c>
      <c r="H241" s="2349">
        <f t="shared" si="20"/>
        <v>2.4999999999999998E-2</v>
      </c>
      <c r="I241" s="2349">
        <f t="shared" si="21"/>
        <v>9.9999999999999992E-2</v>
      </c>
      <c r="J241" s="708">
        <v>22</v>
      </c>
      <c r="K241" s="708">
        <v>20</v>
      </c>
      <c r="L241" s="2349">
        <v>0.04</v>
      </c>
      <c r="M241" s="2349">
        <v>0.04</v>
      </c>
      <c r="N241" s="708"/>
      <c r="O241" s="708"/>
      <c r="P241" s="708"/>
      <c r="Q241" s="708"/>
      <c r="R241" s="708"/>
      <c r="S241" s="708"/>
      <c r="T241" s="708"/>
      <c r="U241" s="708"/>
      <c r="V241" s="708"/>
    </row>
    <row r="242" spans="1:22" ht="12.2" customHeight="1">
      <c r="A242" s="710"/>
      <c r="B242" s="711"/>
      <c r="C242" s="709" t="str">
        <f>Texte!A4220</f>
        <v>Laufstallmist und Gülle (40-60% eingestreut)</v>
      </c>
      <c r="D242" s="2348">
        <v>1.3</v>
      </c>
      <c r="E242" s="2349">
        <v>0.6</v>
      </c>
      <c r="F242" s="2349">
        <v>0.8</v>
      </c>
      <c r="G242" s="2349">
        <f t="shared" si="19"/>
        <v>0.10833333333333334</v>
      </c>
      <c r="H242" s="2349">
        <f t="shared" si="20"/>
        <v>4.9999999999999996E-2</v>
      </c>
      <c r="I242" s="2349">
        <f t="shared" si="21"/>
        <v>6.6666666666666666E-2</v>
      </c>
      <c r="J242" s="708">
        <v>22</v>
      </c>
      <c r="K242" s="708">
        <v>20</v>
      </c>
      <c r="L242" s="2349">
        <v>0.04</v>
      </c>
      <c r="M242" s="2349">
        <v>0.04</v>
      </c>
      <c r="N242" s="708"/>
      <c r="O242" s="708"/>
      <c r="P242" s="708"/>
      <c r="Q242" s="708"/>
      <c r="R242" s="708"/>
      <c r="S242" s="708"/>
      <c r="T242" s="708"/>
      <c r="U242" s="708"/>
      <c r="V242" s="708"/>
    </row>
    <row r="243" spans="1:22" ht="12.2" customHeight="1">
      <c r="A243" s="710"/>
      <c r="B243" s="711"/>
      <c r="C243" s="709" t="str">
        <f>Texte!A4221</f>
        <v>Laufstallmist und wenig Gülle (60-90% eingestreut)</v>
      </c>
      <c r="D243" s="2348">
        <v>1.95</v>
      </c>
      <c r="E243" s="2349">
        <v>0.9</v>
      </c>
      <c r="F243" s="2349">
        <v>0.4</v>
      </c>
      <c r="G243" s="2349">
        <f t="shared" si="19"/>
        <v>0.16250000000000001</v>
      </c>
      <c r="H243" s="2349">
        <f t="shared" si="20"/>
        <v>7.4999999999999997E-2</v>
      </c>
      <c r="I243" s="2349">
        <f t="shared" si="21"/>
        <v>3.3333333333333333E-2</v>
      </c>
      <c r="J243" s="708">
        <v>22</v>
      </c>
      <c r="K243" s="708">
        <v>20</v>
      </c>
      <c r="L243" s="2349">
        <v>0.04</v>
      </c>
      <c r="M243" s="2349">
        <v>0.04</v>
      </c>
      <c r="N243" s="708"/>
      <c r="O243" s="708"/>
      <c r="P243" s="708"/>
      <c r="Q243" s="708"/>
      <c r="R243" s="708"/>
      <c r="S243" s="708"/>
      <c r="T243" s="708"/>
      <c r="U243" s="708"/>
      <c r="V243" s="708"/>
    </row>
    <row r="244" spans="1:22" ht="12.2" customHeight="1">
      <c r="A244" s="710"/>
      <c r="B244" s="711"/>
      <c r="C244" s="709" t="str">
        <f>Texte!A4222</f>
        <v>Nur Laufstallmist</v>
      </c>
      <c r="D244" s="2348">
        <v>2.6</v>
      </c>
      <c r="E244" s="2349">
        <v>1.2</v>
      </c>
      <c r="F244" s="2349">
        <v>0</v>
      </c>
      <c r="G244" s="2349">
        <f t="shared" si="19"/>
        <v>0.21666666666666667</v>
      </c>
      <c r="H244" s="2349">
        <f t="shared" si="20"/>
        <v>9.9999999999999992E-2</v>
      </c>
      <c r="I244" s="2349">
        <f t="shared" si="21"/>
        <v>0</v>
      </c>
      <c r="J244" s="708">
        <v>22</v>
      </c>
      <c r="K244" s="708">
        <v>0</v>
      </c>
      <c r="L244" s="2349">
        <v>0.04</v>
      </c>
      <c r="M244" s="2349">
        <v>0.04</v>
      </c>
      <c r="N244" s="708"/>
      <c r="O244" s="708"/>
      <c r="P244" s="708"/>
      <c r="Q244" s="708"/>
      <c r="R244" s="708"/>
      <c r="S244" s="708"/>
      <c r="T244" s="708"/>
      <c r="U244" s="708"/>
      <c r="V244" s="708"/>
    </row>
    <row r="245" spans="1:22" ht="12.2" customHeight="1">
      <c r="A245" s="710" t="e">
        <f>C245:F251</f>
        <v>#VALUE!</v>
      </c>
      <c r="B245" s="711">
        <f>Tierb!A66</f>
        <v>620</v>
      </c>
      <c r="C245" s="709"/>
      <c r="D245" s="2348"/>
      <c r="E245" s="2349"/>
      <c r="F245" s="2349"/>
      <c r="G245" s="2349"/>
      <c r="H245" s="2349"/>
      <c r="I245" s="2349"/>
      <c r="J245" s="708"/>
      <c r="K245" s="708"/>
      <c r="L245" s="2349"/>
      <c r="M245" s="2349"/>
      <c r="N245" s="708"/>
      <c r="O245" s="708"/>
      <c r="P245" s="708"/>
      <c r="Q245" s="708"/>
      <c r="R245" s="708"/>
      <c r="S245" s="708"/>
      <c r="T245" s="708"/>
      <c r="U245" s="708"/>
      <c r="V245" s="708"/>
    </row>
    <row r="246" spans="1:22" ht="12.2" customHeight="1">
      <c r="A246" s="710"/>
      <c r="B246" s="711"/>
      <c r="C246" s="709" t="str">
        <f>Texte!A4224</f>
        <v>Freiland</v>
      </c>
      <c r="D246" s="2348">
        <v>0</v>
      </c>
      <c r="E246" s="2349">
        <v>0</v>
      </c>
      <c r="F246" s="2349">
        <v>0</v>
      </c>
      <c r="G246" s="2349">
        <f t="shared" si="19"/>
        <v>0</v>
      </c>
      <c r="H246" s="2349">
        <f t="shared" si="20"/>
        <v>0</v>
      </c>
      <c r="I246" s="2349">
        <f t="shared" si="21"/>
        <v>0</v>
      </c>
      <c r="J246" s="708"/>
      <c r="K246" s="708"/>
      <c r="L246" s="2349"/>
      <c r="M246" s="2349"/>
      <c r="N246" s="708"/>
      <c r="O246" s="708"/>
      <c r="P246" s="708"/>
      <c r="Q246" s="708"/>
      <c r="R246" s="708"/>
      <c r="S246" s="708"/>
      <c r="T246" s="708"/>
      <c r="U246" s="708"/>
      <c r="V246" s="708"/>
    </row>
    <row r="247" spans="1:22" ht="12.2" customHeight="1">
      <c r="A247" s="710"/>
      <c r="B247" s="711"/>
      <c r="C247" s="709" t="str">
        <f>Texte!A4225</f>
        <v>Nur Gülle</v>
      </c>
      <c r="D247" s="2348">
        <v>0</v>
      </c>
      <c r="E247" s="2349">
        <v>0</v>
      </c>
      <c r="F247" s="2349">
        <v>4.2</v>
      </c>
      <c r="G247" s="2349">
        <f t="shared" si="19"/>
        <v>0</v>
      </c>
      <c r="H247" s="2349">
        <f t="shared" si="20"/>
        <v>0</v>
      </c>
      <c r="I247" s="2349">
        <f t="shared" si="21"/>
        <v>0.35000000000000003</v>
      </c>
      <c r="J247" s="708">
        <v>0</v>
      </c>
      <c r="K247" s="708">
        <v>21</v>
      </c>
      <c r="L247" s="2349">
        <v>0.4</v>
      </c>
      <c r="M247" s="2349">
        <v>0.4</v>
      </c>
      <c r="N247" s="708"/>
      <c r="O247" s="708"/>
      <c r="P247" s="708"/>
      <c r="Q247" s="708"/>
      <c r="R247" s="708"/>
      <c r="S247" s="708"/>
      <c r="T247" s="708"/>
      <c r="U247" s="708"/>
      <c r="V247" s="708"/>
    </row>
    <row r="248" spans="1:22" ht="12.2" customHeight="1">
      <c r="A248" s="710"/>
      <c r="B248" s="711"/>
      <c r="C248" s="709" t="str">
        <f>Texte!A4226</f>
        <v>Laufstallmist und viel Gülle (10-40% eingestreut)</v>
      </c>
      <c r="D248" s="2348">
        <v>1.1000000000000001</v>
      </c>
      <c r="E248" s="2349">
        <v>0.6</v>
      </c>
      <c r="F248" s="2349">
        <v>3.1</v>
      </c>
      <c r="G248" s="2349">
        <f t="shared" si="19"/>
        <v>9.1666666666666674E-2</v>
      </c>
      <c r="H248" s="2349">
        <f t="shared" si="20"/>
        <v>4.9999999999999996E-2</v>
      </c>
      <c r="I248" s="2349">
        <f t="shared" si="21"/>
        <v>0.25833333333333336</v>
      </c>
      <c r="J248" s="708">
        <v>22</v>
      </c>
      <c r="K248" s="708">
        <v>21</v>
      </c>
      <c r="L248" s="2349">
        <v>0.4</v>
      </c>
      <c r="M248" s="2349">
        <v>0.4</v>
      </c>
      <c r="N248" s="708"/>
      <c r="O248" s="708"/>
      <c r="P248" s="708"/>
      <c r="Q248" s="708"/>
      <c r="R248" s="708"/>
      <c r="S248" s="708"/>
      <c r="T248" s="708"/>
      <c r="U248" s="708"/>
      <c r="V248" s="708"/>
    </row>
    <row r="249" spans="1:22" ht="12.2" customHeight="1">
      <c r="A249" s="710"/>
      <c r="B249" s="711"/>
      <c r="C249" s="709" t="str">
        <f>Texte!A4227</f>
        <v>Laufstallmist und Gülle (40-60% eingestreut)</v>
      </c>
      <c r="D249" s="2348">
        <v>2.2000000000000002</v>
      </c>
      <c r="E249" s="2349">
        <v>1.2</v>
      </c>
      <c r="F249" s="2349">
        <v>2.1</v>
      </c>
      <c r="G249" s="2349">
        <f t="shared" si="19"/>
        <v>0.18333333333333335</v>
      </c>
      <c r="H249" s="2349">
        <f t="shared" si="20"/>
        <v>9.9999999999999992E-2</v>
      </c>
      <c r="I249" s="2349">
        <f t="shared" si="21"/>
        <v>0.17500000000000002</v>
      </c>
      <c r="J249" s="708">
        <v>22</v>
      </c>
      <c r="K249" s="708">
        <v>21</v>
      </c>
      <c r="L249" s="2349">
        <v>0.4</v>
      </c>
      <c r="M249" s="2349">
        <v>0.4</v>
      </c>
      <c r="N249" s="708"/>
      <c r="O249" s="708"/>
      <c r="P249" s="708"/>
      <c r="Q249" s="708"/>
      <c r="R249" s="708"/>
      <c r="S249" s="708"/>
      <c r="T249" s="708"/>
      <c r="U249" s="708"/>
      <c r="V249" s="708"/>
    </row>
    <row r="250" spans="1:22" ht="12.2" customHeight="1">
      <c r="A250" s="710"/>
      <c r="B250" s="711"/>
      <c r="C250" s="709" t="str">
        <f>Texte!A4228</f>
        <v>Laufstallmist und wenig Gülle (60-90% eingestreut)</v>
      </c>
      <c r="D250" s="2348">
        <v>3.3</v>
      </c>
      <c r="E250" s="2349">
        <v>1.8</v>
      </c>
      <c r="F250" s="2349">
        <v>1</v>
      </c>
      <c r="G250" s="2349">
        <f t="shared" si="19"/>
        <v>0.27499999999999997</v>
      </c>
      <c r="H250" s="2349">
        <f t="shared" si="20"/>
        <v>0.15</v>
      </c>
      <c r="I250" s="2349">
        <f t="shared" si="21"/>
        <v>8.3333333333333329E-2</v>
      </c>
      <c r="J250" s="708">
        <v>22</v>
      </c>
      <c r="K250" s="708">
        <v>21</v>
      </c>
      <c r="L250" s="2349">
        <v>0.4</v>
      </c>
      <c r="M250" s="2349">
        <v>0.4</v>
      </c>
      <c r="N250" s="708"/>
      <c r="O250" s="708"/>
      <c r="P250" s="708"/>
      <c r="Q250" s="708"/>
      <c r="R250" s="708"/>
      <c r="S250" s="708"/>
      <c r="T250" s="708"/>
      <c r="U250" s="708"/>
      <c r="V250" s="708"/>
    </row>
    <row r="251" spans="1:22" ht="12.2" customHeight="1">
      <c r="A251" s="710"/>
      <c r="B251" s="711"/>
      <c r="C251" s="709" t="str">
        <f>Texte!A4229</f>
        <v>Nur Laufstallmist</v>
      </c>
      <c r="D251" s="2348">
        <v>4.4000000000000004</v>
      </c>
      <c r="E251" s="2349">
        <v>2.2999999999999998</v>
      </c>
      <c r="F251" s="2349">
        <v>0</v>
      </c>
      <c r="G251" s="2349">
        <f t="shared" si="19"/>
        <v>0.3666666666666667</v>
      </c>
      <c r="H251" s="2349">
        <f t="shared" si="20"/>
        <v>0.19166666666666665</v>
      </c>
      <c r="I251" s="2349">
        <f t="shared" si="21"/>
        <v>0</v>
      </c>
      <c r="J251" s="708">
        <v>22</v>
      </c>
      <c r="K251" s="708">
        <v>0</v>
      </c>
      <c r="L251" s="2349">
        <v>0.4</v>
      </c>
      <c r="M251" s="2349">
        <v>0.4</v>
      </c>
      <c r="N251" s="708"/>
      <c r="O251" s="708"/>
      <c r="P251" s="708"/>
      <c r="Q251" s="708"/>
      <c r="R251" s="708"/>
      <c r="S251" s="708"/>
      <c r="T251" s="708"/>
      <c r="U251" s="708"/>
      <c r="V251" s="708"/>
    </row>
    <row r="252" spans="1:22" ht="12.2" customHeight="1">
      <c r="A252" s="710" t="e">
        <f>C252:F258</f>
        <v>#VALUE!</v>
      </c>
      <c r="B252" s="711">
        <f>Tierb!A67</f>
        <v>630</v>
      </c>
      <c r="C252" s="709"/>
      <c r="D252" s="2348"/>
      <c r="E252" s="2349"/>
      <c r="F252" s="2349"/>
      <c r="G252" s="2349"/>
      <c r="H252" s="2349"/>
      <c r="I252" s="2349"/>
      <c r="J252" s="708"/>
      <c r="K252" s="708"/>
      <c r="L252" s="2349"/>
      <c r="M252" s="2349"/>
      <c r="N252" s="708"/>
      <c r="O252" s="708"/>
      <c r="P252" s="708"/>
      <c r="Q252" s="708"/>
      <c r="R252" s="708"/>
      <c r="S252" s="708"/>
      <c r="T252" s="708"/>
      <c r="U252" s="708"/>
      <c r="V252" s="708"/>
    </row>
    <row r="253" spans="1:22" ht="12.2" customHeight="1">
      <c r="A253" s="710"/>
      <c r="B253" s="711"/>
      <c r="C253" s="709" t="str">
        <f>Texte!A4231</f>
        <v>Freiland</v>
      </c>
      <c r="D253" s="2348">
        <v>0</v>
      </c>
      <c r="E253" s="2349">
        <v>0</v>
      </c>
      <c r="F253" s="2349">
        <v>0</v>
      </c>
      <c r="G253" s="2349">
        <f t="shared" si="19"/>
        <v>0</v>
      </c>
      <c r="H253" s="2349">
        <f t="shared" si="20"/>
        <v>0</v>
      </c>
      <c r="I253" s="2349">
        <f t="shared" si="21"/>
        <v>0</v>
      </c>
      <c r="J253" s="708"/>
      <c r="K253" s="708"/>
      <c r="L253" s="2349"/>
      <c r="M253" s="2349"/>
      <c r="N253" s="708"/>
      <c r="O253" s="708"/>
      <c r="P253" s="708"/>
      <c r="Q253" s="708"/>
      <c r="R253" s="708"/>
      <c r="S253" s="708"/>
      <c r="T253" s="708"/>
      <c r="U253" s="708"/>
      <c r="V253" s="708"/>
    </row>
    <row r="254" spans="1:22" ht="12.2" customHeight="1">
      <c r="A254" s="710"/>
      <c r="B254" s="711"/>
      <c r="C254" s="709" t="str">
        <f>Texte!A4232</f>
        <v>Nur Gülle</v>
      </c>
      <c r="D254" s="2348">
        <v>0</v>
      </c>
      <c r="E254" s="2349">
        <v>0</v>
      </c>
      <c r="F254" s="2349">
        <v>8.1999999999999993</v>
      </c>
      <c r="G254" s="2349">
        <f t="shared" si="19"/>
        <v>0</v>
      </c>
      <c r="H254" s="2349">
        <f t="shared" si="20"/>
        <v>0</v>
      </c>
      <c r="I254" s="2349">
        <f t="shared" si="21"/>
        <v>0.68333333333333324</v>
      </c>
      <c r="J254" s="708">
        <v>0</v>
      </c>
      <c r="K254" s="708">
        <v>21</v>
      </c>
      <c r="L254" s="2349">
        <v>0.4</v>
      </c>
      <c r="M254" s="2349">
        <v>0.4</v>
      </c>
      <c r="N254" s="708"/>
      <c r="O254" s="708"/>
      <c r="P254" s="708"/>
      <c r="Q254" s="708"/>
      <c r="R254" s="708"/>
      <c r="S254" s="708"/>
      <c r="T254" s="708"/>
      <c r="U254" s="708"/>
      <c r="V254" s="708"/>
    </row>
    <row r="255" spans="1:22" ht="12.2" customHeight="1">
      <c r="A255" s="710"/>
      <c r="B255" s="711"/>
      <c r="C255" s="709" t="str">
        <f>Texte!A4233</f>
        <v>Laufstallmist und viel Gülle (10-40% eingestreut)</v>
      </c>
      <c r="D255" s="2348">
        <v>2.5</v>
      </c>
      <c r="E255" s="2349">
        <v>0.9</v>
      </c>
      <c r="F255" s="2349">
        <v>6.2</v>
      </c>
      <c r="G255" s="2349">
        <f t="shared" si="19"/>
        <v>0.20833333333333334</v>
      </c>
      <c r="H255" s="2349">
        <f t="shared" si="20"/>
        <v>7.4999999999999997E-2</v>
      </c>
      <c r="I255" s="2349">
        <f t="shared" si="21"/>
        <v>0.51666666666666672</v>
      </c>
      <c r="J255" s="708">
        <v>22</v>
      </c>
      <c r="K255" s="708">
        <v>21</v>
      </c>
      <c r="L255" s="2349">
        <v>0.4</v>
      </c>
      <c r="M255" s="2349">
        <v>0.4</v>
      </c>
      <c r="N255" s="708"/>
      <c r="O255" s="708"/>
      <c r="P255" s="708"/>
      <c r="Q255" s="708"/>
      <c r="R255" s="708"/>
      <c r="S255" s="708"/>
      <c r="T255" s="708"/>
      <c r="U255" s="708"/>
      <c r="V255" s="708"/>
    </row>
    <row r="256" spans="1:22" ht="12.2" customHeight="1">
      <c r="A256" s="710"/>
      <c r="B256" s="711"/>
      <c r="C256" s="709" t="str">
        <f>Texte!A4234</f>
        <v>Laufstallmist und Gülle (40-60% eingestreut)</v>
      </c>
      <c r="D256" s="2348">
        <v>5</v>
      </c>
      <c r="E256" s="2349">
        <v>1.8</v>
      </c>
      <c r="F256" s="2349">
        <v>4.0999999999999996</v>
      </c>
      <c r="G256" s="2349">
        <f t="shared" si="19"/>
        <v>0.41666666666666669</v>
      </c>
      <c r="H256" s="2349">
        <f t="shared" si="20"/>
        <v>0.15</v>
      </c>
      <c r="I256" s="2349">
        <f t="shared" si="21"/>
        <v>0.34166666666666662</v>
      </c>
      <c r="J256" s="708">
        <v>22</v>
      </c>
      <c r="K256" s="708">
        <v>21</v>
      </c>
      <c r="L256" s="2349">
        <v>0.4</v>
      </c>
      <c r="M256" s="2349">
        <v>0.4</v>
      </c>
      <c r="N256" s="708"/>
      <c r="O256" s="708"/>
      <c r="P256" s="708"/>
      <c r="Q256" s="708"/>
      <c r="R256" s="708"/>
      <c r="S256" s="708"/>
      <c r="T256" s="708"/>
      <c r="U256" s="708"/>
      <c r="V256" s="708"/>
    </row>
    <row r="257" spans="1:22" ht="12.2" customHeight="1">
      <c r="A257" s="710"/>
      <c r="B257" s="711"/>
      <c r="C257" s="709" t="str">
        <f>Texte!A4235</f>
        <v>Laufstallmist und wenig Gülle (60-90% eingestreut)</v>
      </c>
      <c r="D257" s="2348">
        <v>7.5</v>
      </c>
      <c r="E257" s="2349">
        <v>2.6</v>
      </c>
      <c r="F257" s="2349">
        <v>2.1</v>
      </c>
      <c r="G257" s="2349">
        <f t="shared" si="19"/>
        <v>0.625</v>
      </c>
      <c r="H257" s="2349">
        <f t="shared" si="20"/>
        <v>0.21666666666666667</v>
      </c>
      <c r="I257" s="2349">
        <f t="shared" si="21"/>
        <v>0.17500000000000002</v>
      </c>
      <c r="J257" s="708">
        <v>22</v>
      </c>
      <c r="K257" s="708">
        <v>21</v>
      </c>
      <c r="L257" s="2349">
        <v>0.4</v>
      </c>
      <c r="M257" s="2349">
        <v>0.4</v>
      </c>
      <c r="N257" s="708"/>
      <c r="O257" s="708"/>
      <c r="P257" s="708"/>
      <c r="Q257" s="708"/>
      <c r="R257" s="708"/>
      <c r="S257" s="708"/>
      <c r="T257" s="708"/>
      <c r="U257" s="708"/>
      <c r="V257" s="708"/>
    </row>
    <row r="258" spans="1:22" ht="12.2" customHeight="1">
      <c r="A258" s="710"/>
      <c r="B258" s="711"/>
      <c r="C258" s="709" t="str">
        <f>Texte!A4236</f>
        <v>Nur Laufstallmist</v>
      </c>
      <c r="D258" s="2348">
        <v>10</v>
      </c>
      <c r="E258" s="2349">
        <v>3.5</v>
      </c>
      <c r="F258" s="2349">
        <v>0</v>
      </c>
      <c r="G258" s="2349">
        <f t="shared" si="19"/>
        <v>0.83333333333333337</v>
      </c>
      <c r="H258" s="2349">
        <f t="shared" si="20"/>
        <v>0.29166666666666669</v>
      </c>
      <c r="I258" s="2349">
        <f t="shared" si="21"/>
        <v>0</v>
      </c>
      <c r="J258" s="708">
        <v>22</v>
      </c>
      <c r="K258" s="708">
        <v>0</v>
      </c>
      <c r="L258" s="2349">
        <v>0.4</v>
      </c>
      <c r="M258" s="2349">
        <v>0.4</v>
      </c>
      <c r="N258" s="708"/>
      <c r="O258" s="708"/>
      <c r="P258" s="708"/>
      <c r="Q258" s="708"/>
      <c r="R258" s="708"/>
      <c r="S258" s="708"/>
      <c r="T258" s="708"/>
      <c r="U258" s="708"/>
      <c r="V258" s="708"/>
    </row>
    <row r="259" spans="1:22" ht="12.2" customHeight="1">
      <c r="A259" s="710" t="e">
        <f>C259:F265</f>
        <v>#VALUE!</v>
      </c>
      <c r="B259" s="711">
        <f>Tierb!A68</f>
        <v>640</v>
      </c>
      <c r="C259" s="709"/>
      <c r="D259" s="2348"/>
      <c r="E259" s="2349"/>
      <c r="F259" s="2349"/>
      <c r="G259" s="2349"/>
      <c r="H259" s="2349"/>
      <c r="I259" s="2349"/>
      <c r="J259" s="708"/>
      <c r="K259" s="708"/>
      <c r="L259" s="2349"/>
      <c r="M259" s="2349"/>
      <c r="N259" s="708"/>
      <c r="O259" s="708"/>
      <c r="P259" s="708"/>
      <c r="Q259" s="708"/>
      <c r="R259" s="708"/>
      <c r="S259" s="708"/>
      <c r="T259" s="708"/>
      <c r="U259" s="708"/>
      <c r="V259" s="708"/>
    </row>
    <row r="260" spans="1:22" ht="12.2" customHeight="1">
      <c r="A260" s="710"/>
      <c r="B260" s="711"/>
      <c r="C260" s="709" t="str">
        <f>Texte!A4238</f>
        <v>Freiland</v>
      </c>
      <c r="D260" s="2348">
        <v>0</v>
      </c>
      <c r="E260" s="2349">
        <v>0</v>
      </c>
      <c r="F260" s="2349">
        <v>0</v>
      </c>
      <c r="G260" s="2349">
        <f t="shared" si="19"/>
        <v>0</v>
      </c>
      <c r="H260" s="2349">
        <f t="shared" si="20"/>
        <v>0</v>
      </c>
      <c r="I260" s="2349">
        <f t="shared" si="21"/>
        <v>0</v>
      </c>
      <c r="J260" s="708"/>
      <c r="K260" s="708"/>
      <c r="L260" s="2349"/>
      <c r="M260" s="2349"/>
      <c r="N260" s="708"/>
      <c r="O260" s="708"/>
      <c r="P260" s="708"/>
      <c r="Q260" s="708"/>
      <c r="R260" s="708"/>
      <c r="S260" s="708"/>
      <c r="T260" s="708"/>
      <c r="U260" s="708"/>
      <c r="V260" s="708"/>
    </row>
    <row r="261" spans="1:22" ht="12.2" customHeight="1">
      <c r="A261" s="710"/>
      <c r="B261" s="711"/>
      <c r="C261" s="709" t="str">
        <f>Texte!A4239</f>
        <v>Nur Gülle</v>
      </c>
      <c r="D261" s="2348">
        <v>0</v>
      </c>
      <c r="E261" s="2349">
        <v>0</v>
      </c>
      <c r="F261" s="2349">
        <v>5.5</v>
      </c>
      <c r="G261" s="2349">
        <f t="shared" si="19"/>
        <v>0</v>
      </c>
      <c r="H261" s="2349">
        <f t="shared" si="20"/>
        <v>0</v>
      </c>
      <c r="I261" s="2349">
        <f t="shared" si="21"/>
        <v>0.45833333333333331</v>
      </c>
      <c r="J261" s="708">
        <v>0</v>
      </c>
      <c r="K261" s="708">
        <v>21</v>
      </c>
      <c r="L261" s="2349">
        <v>0.4</v>
      </c>
      <c r="M261" s="2349">
        <v>0.4</v>
      </c>
      <c r="N261" s="708"/>
      <c r="O261" s="708"/>
      <c r="P261" s="708"/>
      <c r="Q261" s="708"/>
      <c r="R261" s="708"/>
      <c r="S261" s="708"/>
      <c r="T261" s="708"/>
      <c r="U261" s="708"/>
      <c r="V261" s="708"/>
    </row>
    <row r="262" spans="1:22" ht="12.2" customHeight="1">
      <c r="A262" s="710"/>
      <c r="B262" s="711"/>
      <c r="C262" s="709" t="str">
        <f>Texte!A4240</f>
        <v>Laufstallmist und viel Gülle (10-40% eingestreut)</v>
      </c>
      <c r="D262" s="2348">
        <v>1.5</v>
      </c>
      <c r="E262" s="2349">
        <v>0.6</v>
      </c>
      <c r="F262" s="2349">
        <v>4.0999999999999996</v>
      </c>
      <c r="G262" s="2349">
        <f t="shared" si="19"/>
        <v>0.125</v>
      </c>
      <c r="H262" s="2349">
        <f t="shared" si="20"/>
        <v>4.9999999999999996E-2</v>
      </c>
      <c r="I262" s="2349">
        <f t="shared" si="21"/>
        <v>0.34166666666666662</v>
      </c>
      <c r="J262" s="708">
        <v>22</v>
      </c>
      <c r="K262" s="708">
        <v>21</v>
      </c>
      <c r="L262" s="2349">
        <v>0.4</v>
      </c>
      <c r="M262" s="2349">
        <v>0.4</v>
      </c>
      <c r="N262" s="708"/>
      <c r="O262" s="708"/>
      <c r="P262" s="708"/>
      <c r="Q262" s="708"/>
      <c r="R262" s="708"/>
      <c r="S262" s="708"/>
      <c r="T262" s="708"/>
      <c r="U262" s="708"/>
      <c r="V262" s="708"/>
    </row>
    <row r="263" spans="1:22" ht="12.2" customHeight="1">
      <c r="A263" s="710"/>
      <c r="B263" s="711"/>
      <c r="C263" s="709" t="str">
        <f>Texte!A4241</f>
        <v>Laufstallmist und Gülle (40-60% eingestreut)</v>
      </c>
      <c r="D263" s="2348">
        <v>3</v>
      </c>
      <c r="E263" s="2349">
        <v>1.2</v>
      </c>
      <c r="F263" s="2349">
        <v>2.8</v>
      </c>
      <c r="G263" s="2349">
        <f t="shared" si="19"/>
        <v>0.25</v>
      </c>
      <c r="H263" s="2349">
        <f t="shared" si="20"/>
        <v>9.9999999999999992E-2</v>
      </c>
      <c r="I263" s="2349">
        <f t="shared" si="21"/>
        <v>0.23333333333333331</v>
      </c>
      <c r="J263" s="708">
        <v>22</v>
      </c>
      <c r="K263" s="708">
        <v>21</v>
      </c>
      <c r="L263" s="2349">
        <v>0.4</v>
      </c>
      <c r="M263" s="2349">
        <v>0.4</v>
      </c>
      <c r="N263" s="708"/>
      <c r="O263" s="708"/>
      <c r="P263" s="708"/>
      <c r="Q263" s="708"/>
      <c r="R263" s="708"/>
      <c r="S263" s="708"/>
      <c r="T263" s="708"/>
      <c r="U263" s="708"/>
      <c r="V263" s="708"/>
    </row>
    <row r="264" spans="1:22" ht="12.2" customHeight="1">
      <c r="A264" s="710"/>
      <c r="B264" s="711"/>
      <c r="C264" s="709" t="str">
        <f>Texte!A4242</f>
        <v>Laufstallmist und wenig Gülle (60-90% eingestreut)</v>
      </c>
      <c r="D264" s="2348">
        <v>4.5</v>
      </c>
      <c r="E264" s="2349">
        <v>1.7</v>
      </c>
      <c r="F264" s="2349">
        <v>1.4</v>
      </c>
      <c r="G264" s="2349">
        <f t="shared" si="19"/>
        <v>0.375</v>
      </c>
      <c r="H264" s="2349">
        <f t="shared" si="20"/>
        <v>0.14166666666666666</v>
      </c>
      <c r="I264" s="2349">
        <f t="shared" si="21"/>
        <v>0.11666666666666665</v>
      </c>
      <c r="J264" s="708">
        <v>22</v>
      </c>
      <c r="K264" s="708">
        <v>21</v>
      </c>
      <c r="L264" s="2349">
        <v>0.4</v>
      </c>
      <c r="M264" s="2349">
        <v>0.4</v>
      </c>
      <c r="N264" s="708"/>
      <c r="O264" s="708"/>
      <c r="P264" s="708"/>
      <c r="Q264" s="708"/>
      <c r="R264" s="708"/>
      <c r="S264" s="708"/>
      <c r="T264" s="708"/>
      <c r="U264" s="708"/>
      <c r="V264" s="708"/>
    </row>
    <row r="265" spans="1:22" ht="12.2" customHeight="1">
      <c r="A265" s="710"/>
      <c r="B265" s="711"/>
      <c r="C265" s="709" t="str">
        <f>Texte!A4243</f>
        <v>Nur Laufstallmist</v>
      </c>
      <c r="D265" s="2348">
        <v>6</v>
      </c>
      <c r="E265" s="2349">
        <v>2.2999999999999998</v>
      </c>
      <c r="F265" s="2349">
        <v>0</v>
      </c>
      <c r="G265" s="2349">
        <f t="shared" si="19"/>
        <v>0.5</v>
      </c>
      <c r="H265" s="2349">
        <f t="shared" si="20"/>
        <v>0.19166666666666665</v>
      </c>
      <c r="I265" s="2349">
        <f t="shared" si="21"/>
        <v>0</v>
      </c>
      <c r="J265" s="708">
        <v>22</v>
      </c>
      <c r="K265" s="708">
        <v>0</v>
      </c>
      <c r="L265" s="2349">
        <v>0.4</v>
      </c>
      <c r="M265" s="2349">
        <v>0.4</v>
      </c>
      <c r="N265" s="708"/>
      <c r="O265" s="708"/>
      <c r="P265" s="708"/>
      <c r="Q265" s="708"/>
      <c r="R265" s="708"/>
      <c r="S265" s="708"/>
      <c r="T265" s="708"/>
      <c r="U265" s="708"/>
      <c r="V265" s="708"/>
    </row>
    <row r="266" spans="1:22" ht="12.2" customHeight="1">
      <c r="A266" s="710" t="e">
        <f>C266:F272</f>
        <v>#VALUE!</v>
      </c>
      <c r="B266" s="711">
        <f>Tierb!A69</f>
        <v>650</v>
      </c>
      <c r="C266" s="709"/>
      <c r="D266" s="2348"/>
      <c r="E266" s="2349"/>
      <c r="F266" s="2349"/>
      <c r="G266" s="2349"/>
      <c r="H266" s="2349"/>
      <c r="I266" s="2349"/>
      <c r="J266" s="708"/>
      <c r="K266" s="708"/>
      <c r="L266" s="2349"/>
      <c r="M266" s="2349"/>
      <c r="N266" s="708"/>
      <c r="O266" s="708"/>
      <c r="P266" s="708"/>
      <c r="Q266" s="708"/>
      <c r="R266" s="708"/>
      <c r="S266" s="708"/>
      <c r="T266" s="708"/>
      <c r="U266" s="708"/>
      <c r="V266" s="708"/>
    </row>
    <row r="267" spans="1:22" ht="12.2" customHeight="1">
      <c r="A267" s="710"/>
      <c r="B267" s="711"/>
      <c r="C267" s="709" t="str">
        <f>Texte!A4245</f>
        <v>Freiland</v>
      </c>
      <c r="D267" s="2348">
        <v>0</v>
      </c>
      <c r="E267" s="2349">
        <v>0</v>
      </c>
      <c r="F267" s="2349">
        <v>0</v>
      </c>
      <c r="G267" s="2349">
        <f t="shared" si="19"/>
        <v>0</v>
      </c>
      <c r="H267" s="2349">
        <f t="shared" si="20"/>
        <v>0</v>
      </c>
      <c r="I267" s="2349">
        <f t="shared" si="21"/>
        <v>0</v>
      </c>
      <c r="J267" s="708"/>
      <c r="K267" s="708"/>
      <c r="L267" s="2349"/>
      <c r="M267" s="2349"/>
      <c r="N267" s="708"/>
      <c r="O267" s="708"/>
      <c r="P267" s="708"/>
      <c r="Q267" s="708"/>
      <c r="R267" s="708"/>
      <c r="S267" s="708"/>
      <c r="T267" s="708"/>
      <c r="U267" s="708"/>
      <c r="V267" s="708"/>
    </row>
    <row r="268" spans="1:22" ht="12.2" customHeight="1">
      <c r="A268" s="710"/>
      <c r="B268" s="711"/>
      <c r="C268" s="709" t="str">
        <f>Texte!A4246</f>
        <v>Nur Gülle</v>
      </c>
      <c r="D268" s="2348">
        <v>0</v>
      </c>
      <c r="E268" s="2349">
        <v>0</v>
      </c>
      <c r="F268" s="2349">
        <v>0.6</v>
      </c>
      <c r="G268" s="2349">
        <f t="shared" si="19"/>
        <v>0</v>
      </c>
      <c r="H268" s="2349">
        <f t="shared" si="20"/>
        <v>0</v>
      </c>
      <c r="I268" s="2349">
        <f t="shared" si="21"/>
        <v>4.9999999999999996E-2</v>
      </c>
      <c r="J268" s="708">
        <v>0</v>
      </c>
      <c r="K268" s="708">
        <v>21</v>
      </c>
      <c r="L268" s="2349">
        <v>0.4</v>
      </c>
      <c r="M268" s="2349">
        <v>0.4</v>
      </c>
      <c r="N268" s="708"/>
      <c r="O268" s="708"/>
      <c r="P268" s="708"/>
      <c r="Q268" s="708"/>
      <c r="R268" s="708"/>
      <c r="S268" s="708"/>
      <c r="T268" s="708"/>
      <c r="U268" s="708"/>
      <c r="V268" s="708"/>
    </row>
    <row r="269" spans="1:22" ht="12.2" customHeight="1">
      <c r="A269" s="710"/>
      <c r="B269" s="711"/>
      <c r="C269" s="709" t="str">
        <f>Texte!A4247</f>
        <v>Laufstallmist und viel Gülle (10-40% eingestreut)</v>
      </c>
      <c r="D269" s="2348">
        <v>0.25</v>
      </c>
      <c r="E269" s="2349">
        <v>0.1</v>
      </c>
      <c r="F269" s="2349">
        <v>0.5</v>
      </c>
      <c r="G269" s="2349">
        <f t="shared" si="19"/>
        <v>2.0833333333333332E-2</v>
      </c>
      <c r="H269" s="2349">
        <f t="shared" si="20"/>
        <v>8.3333333333333332E-3</v>
      </c>
      <c r="I269" s="2349">
        <f t="shared" si="21"/>
        <v>4.1666666666666664E-2</v>
      </c>
      <c r="J269" s="708">
        <v>22</v>
      </c>
      <c r="K269" s="708">
        <v>21</v>
      </c>
      <c r="L269" s="2349">
        <v>0.4</v>
      </c>
      <c r="M269" s="2349">
        <v>0.4</v>
      </c>
      <c r="N269" s="708"/>
      <c r="O269" s="708"/>
      <c r="P269" s="708"/>
      <c r="Q269" s="708"/>
      <c r="R269" s="708"/>
      <c r="S269" s="708"/>
      <c r="T269" s="708"/>
      <c r="U269" s="708"/>
      <c r="V269" s="708"/>
    </row>
    <row r="270" spans="1:22" ht="12.2" customHeight="1">
      <c r="A270" s="710"/>
      <c r="B270" s="711"/>
      <c r="C270" s="709" t="str">
        <f>Texte!A4248</f>
        <v>Laufstallmist und Gülle (40-60% eingestreut)</v>
      </c>
      <c r="D270" s="2348">
        <v>0.5</v>
      </c>
      <c r="E270" s="2349">
        <v>0.2</v>
      </c>
      <c r="F270" s="2349">
        <v>0.3</v>
      </c>
      <c r="G270" s="2349">
        <f t="shared" si="19"/>
        <v>4.1666666666666664E-2</v>
      </c>
      <c r="H270" s="2349">
        <f t="shared" si="20"/>
        <v>1.6666666666666666E-2</v>
      </c>
      <c r="I270" s="2349">
        <f t="shared" si="21"/>
        <v>2.4999999999999998E-2</v>
      </c>
      <c r="J270" s="708">
        <v>22</v>
      </c>
      <c r="K270" s="708">
        <v>21</v>
      </c>
      <c r="L270" s="2349">
        <v>0.4</v>
      </c>
      <c r="M270" s="2349">
        <v>0.4</v>
      </c>
      <c r="N270" s="708"/>
      <c r="O270" s="708"/>
      <c r="P270" s="708"/>
      <c r="Q270" s="708"/>
      <c r="R270" s="708"/>
      <c r="S270" s="708"/>
      <c r="T270" s="708"/>
      <c r="U270" s="708"/>
      <c r="V270" s="708"/>
    </row>
    <row r="271" spans="1:22" ht="12.2" customHeight="1">
      <c r="A271" s="710"/>
      <c r="B271" s="711"/>
      <c r="C271" s="709" t="str">
        <f>Texte!A4249</f>
        <v>Laufstallmist und wenig Gülle (60-90% eingestreut)</v>
      </c>
      <c r="D271" s="2348">
        <v>0.75</v>
      </c>
      <c r="E271" s="2349">
        <v>0.2</v>
      </c>
      <c r="F271" s="2349">
        <v>0.2</v>
      </c>
      <c r="G271" s="2349">
        <f t="shared" si="19"/>
        <v>6.25E-2</v>
      </c>
      <c r="H271" s="2349">
        <f t="shared" si="20"/>
        <v>1.6666666666666666E-2</v>
      </c>
      <c r="I271" s="2349">
        <f t="shared" si="21"/>
        <v>1.6666666666666666E-2</v>
      </c>
      <c r="J271" s="708">
        <v>22</v>
      </c>
      <c r="K271" s="708">
        <v>21</v>
      </c>
      <c r="L271" s="2349">
        <v>0.4</v>
      </c>
      <c r="M271" s="2349">
        <v>0.4</v>
      </c>
      <c r="N271" s="708"/>
      <c r="O271" s="708"/>
      <c r="P271" s="708"/>
      <c r="Q271" s="708"/>
      <c r="R271" s="708"/>
      <c r="S271" s="708"/>
      <c r="T271" s="708"/>
      <c r="U271" s="708"/>
      <c r="V271" s="708"/>
    </row>
    <row r="272" spans="1:22" ht="12.2" customHeight="1">
      <c r="A272" s="710"/>
      <c r="B272" s="711"/>
      <c r="C272" s="709" t="str">
        <f>Texte!A4250</f>
        <v>Nur Laufstallmist</v>
      </c>
      <c r="D272" s="2348">
        <v>1</v>
      </c>
      <c r="E272" s="2349">
        <v>0.3</v>
      </c>
      <c r="F272" s="2349">
        <v>0</v>
      </c>
      <c r="G272" s="2349">
        <f t="shared" si="19"/>
        <v>8.3333333333333329E-2</v>
      </c>
      <c r="H272" s="2349">
        <f t="shared" si="20"/>
        <v>2.4999999999999998E-2</v>
      </c>
      <c r="I272" s="2349">
        <f t="shared" si="21"/>
        <v>0</v>
      </c>
      <c r="J272" s="708">
        <v>22</v>
      </c>
      <c r="K272" s="708">
        <v>0</v>
      </c>
      <c r="L272" s="2349">
        <v>0.4</v>
      </c>
      <c r="M272" s="2349">
        <v>0.4</v>
      </c>
      <c r="N272" s="708"/>
      <c r="O272" s="708"/>
      <c r="P272" s="708"/>
      <c r="Q272" s="708"/>
      <c r="R272" s="708"/>
      <c r="S272" s="708"/>
      <c r="T272" s="708"/>
      <c r="U272" s="708"/>
      <c r="V272" s="708"/>
    </row>
    <row r="273" spans="1:22" ht="12.2" customHeight="1">
      <c r="A273" s="710" t="e">
        <f>C273:F279</f>
        <v>#VALUE!</v>
      </c>
      <c r="B273" s="711">
        <f>Tierb!A70</f>
        <v>660</v>
      </c>
      <c r="C273" s="709"/>
      <c r="D273" s="2348"/>
      <c r="E273" s="2349"/>
      <c r="F273" s="2349"/>
      <c r="G273" s="2349"/>
      <c r="H273" s="2349"/>
      <c r="I273" s="2349"/>
      <c r="J273" s="708"/>
      <c r="K273" s="708"/>
      <c r="L273" s="2349"/>
      <c r="M273" s="2349"/>
      <c r="N273" s="708"/>
      <c r="O273" s="708"/>
      <c r="P273" s="708"/>
      <c r="Q273" s="708"/>
      <c r="R273" s="708"/>
      <c r="S273" s="708"/>
      <c r="T273" s="708"/>
      <c r="U273" s="708"/>
      <c r="V273" s="708"/>
    </row>
    <row r="274" spans="1:22" ht="12.2" customHeight="1">
      <c r="A274" s="710"/>
      <c r="B274" s="711"/>
      <c r="C274" s="709" t="str">
        <f>Texte!A4252</f>
        <v>Freiland</v>
      </c>
      <c r="D274" s="2348">
        <v>0</v>
      </c>
      <c r="E274" s="2349">
        <v>0</v>
      </c>
      <c r="F274" s="2349">
        <v>0</v>
      </c>
      <c r="G274" s="2349">
        <f t="shared" si="19"/>
        <v>0</v>
      </c>
      <c r="H274" s="2349">
        <f t="shared" si="20"/>
        <v>0</v>
      </c>
      <c r="I274" s="2349">
        <f t="shared" si="21"/>
        <v>0</v>
      </c>
      <c r="J274" s="708"/>
      <c r="K274" s="708"/>
      <c r="L274" s="2349"/>
      <c r="M274" s="2349"/>
      <c r="N274" s="708"/>
      <c r="O274" s="708"/>
      <c r="P274" s="708"/>
      <c r="Q274" s="708"/>
      <c r="R274" s="708"/>
      <c r="S274" s="708"/>
      <c r="T274" s="708"/>
      <c r="U274" s="708"/>
      <c r="V274" s="708"/>
    </row>
    <row r="275" spans="1:22" ht="12.2" customHeight="1">
      <c r="A275" s="710"/>
      <c r="B275" s="711"/>
      <c r="C275" s="709" t="str">
        <f>Texte!A4253</f>
        <v>Nur Gülle</v>
      </c>
      <c r="D275" s="2348">
        <v>0</v>
      </c>
      <c r="E275" s="2349">
        <v>0</v>
      </c>
      <c r="F275" s="2349">
        <v>0</v>
      </c>
      <c r="G275" s="2349">
        <f t="shared" si="19"/>
        <v>0</v>
      </c>
      <c r="H275" s="2349">
        <f t="shared" si="20"/>
        <v>0</v>
      </c>
      <c r="I275" s="2349">
        <f t="shared" si="21"/>
        <v>0</v>
      </c>
      <c r="J275" s="708">
        <v>0</v>
      </c>
      <c r="K275" s="708">
        <v>21</v>
      </c>
      <c r="L275" s="2349">
        <v>0.4</v>
      </c>
      <c r="M275" s="2349">
        <v>0.4</v>
      </c>
      <c r="N275" s="708"/>
      <c r="O275" s="708"/>
      <c r="P275" s="708"/>
      <c r="Q275" s="708"/>
      <c r="R275" s="708"/>
      <c r="S275" s="708"/>
      <c r="T275" s="708"/>
      <c r="U275" s="708"/>
      <c r="V275" s="708"/>
    </row>
    <row r="276" spans="1:22" ht="12.2" customHeight="1">
      <c r="A276" s="710"/>
      <c r="B276" s="711"/>
      <c r="C276" s="709" t="str">
        <f>Texte!A4254</f>
        <v>Laufstallmist und viel Gülle (10-40% eingestreut)</v>
      </c>
      <c r="D276" s="2348">
        <v>0</v>
      </c>
      <c r="E276" s="2349">
        <v>0</v>
      </c>
      <c r="F276" s="2349">
        <v>0</v>
      </c>
      <c r="G276" s="2349">
        <f t="shared" si="19"/>
        <v>0</v>
      </c>
      <c r="H276" s="2349">
        <f t="shared" si="20"/>
        <v>0</v>
      </c>
      <c r="I276" s="2349">
        <f t="shared" si="21"/>
        <v>0</v>
      </c>
      <c r="J276" s="708">
        <v>22</v>
      </c>
      <c r="K276" s="708">
        <v>21</v>
      </c>
      <c r="L276" s="2349">
        <v>0.4</v>
      </c>
      <c r="M276" s="2349">
        <v>0.4</v>
      </c>
      <c r="N276" s="708"/>
      <c r="O276" s="708"/>
      <c r="P276" s="708"/>
      <c r="Q276" s="708"/>
      <c r="R276" s="708"/>
      <c r="S276" s="708"/>
      <c r="T276" s="708"/>
      <c r="U276" s="708"/>
      <c r="V276" s="708"/>
    </row>
    <row r="277" spans="1:22" ht="12.2" customHeight="1">
      <c r="A277" s="710"/>
      <c r="B277" s="711"/>
      <c r="C277" s="709" t="str">
        <f>Texte!A4255</f>
        <v>Laufstallmist und Gülle (40-60% eingestreut)</v>
      </c>
      <c r="D277" s="2348">
        <v>0</v>
      </c>
      <c r="E277" s="2349">
        <v>0</v>
      </c>
      <c r="F277" s="2349">
        <v>0</v>
      </c>
      <c r="G277" s="2349">
        <f t="shared" si="19"/>
        <v>0</v>
      </c>
      <c r="H277" s="2349">
        <f t="shared" si="20"/>
        <v>0</v>
      </c>
      <c r="I277" s="2349">
        <f t="shared" si="21"/>
        <v>0</v>
      </c>
      <c r="J277" s="708">
        <v>22</v>
      </c>
      <c r="K277" s="708">
        <v>21</v>
      </c>
      <c r="L277" s="2349">
        <v>0.4</v>
      </c>
      <c r="M277" s="2349">
        <v>0.4</v>
      </c>
      <c r="N277" s="708"/>
      <c r="O277" s="708"/>
      <c r="P277" s="708"/>
      <c r="Q277" s="708"/>
      <c r="R277" s="708"/>
      <c r="S277" s="708"/>
      <c r="T277" s="708"/>
      <c r="U277" s="708"/>
      <c r="V277" s="708"/>
    </row>
    <row r="278" spans="1:22" ht="12.2" customHeight="1">
      <c r="A278" s="710"/>
      <c r="B278" s="711"/>
      <c r="C278" s="709" t="str">
        <f>Texte!A4256</f>
        <v>Laufstallmist und wenig Gülle (60-90% eingestreut)</v>
      </c>
      <c r="D278" s="2348">
        <v>0</v>
      </c>
      <c r="E278" s="2349">
        <v>0</v>
      </c>
      <c r="F278" s="2349">
        <v>0</v>
      </c>
      <c r="G278" s="2349">
        <f t="shared" si="19"/>
        <v>0</v>
      </c>
      <c r="H278" s="2349">
        <f t="shared" si="20"/>
        <v>0</v>
      </c>
      <c r="I278" s="2349">
        <f t="shared" si="21"/>
        <v>0</v>
      </c>
      <c r="J278" s="708">
        <v>22</v>
      </c>
      <c r="K278" s="708">
        <v>21</v>
      </c>
      <c r="L278" s="2349">
        <v>0.4</v>
      </c>
      <c r="M278" s="2349">
        <v>0.4</v>
      </c>
      <c r="N278" s="708"/>
      <c r="O278" s="708"/>
      <c r="P278" s="708"/>
      <c r="Q278" s="708"/>
      <c r="R278" s="708"/>
      <c r="S278" s="708"/>
      <c r="T278" s="708"/>
      <c r="U278" s="708"/>
      <c r="V278" s="708"/>
    </row>
    <row r="279" spans="1:22" ht="12.2" customHeight="1">
      <c r="A279" s="710"/>
      <c r="B279" s="711"/>
      <c r="C279" s="709" t="str">
        <f>Texte!A4257</f>
        <v>Nur Laufstallmist</v>
      </c>
      <c r="D279" s="2348">
        <v>0</v>
      </c>
      <c r="E279" s="2349">
        <v>0</v>
      </c>
      <c r="F279" s="2349">
        <v>0</v>
      </c>
      <c r="G279" s="2349">
        <f t="shared" si="19"/>
        <v>0</v>
      </c>
      <c r="H279" s="2349">
        <f t="shared" si="20"/>
        <v>0</v>
      </c>
      <c r="I279" s="2349">
        <f t="shared" si="21"/>
        <v>0</v>
      </c>
      <c r="J279" s="708">
        <v>22</v>
      </c>
      <c r="K279" s="708">
        <v>0</v>
      </c>
      <c r="L279" s="2349">
        <v>0.4</v>
      </c>
      <c r="M279" s="2349">
        <v>0.4</v>
      </c>
      <c r="N279" s="708"/>
      <c r="O279" s="708"/>
      <c r="P279" s="708"/>
      <c r="Q279" s="708"/>
      <c r="R279" s="708"/>
      <c r="S279" s="708"/>
      <c r="T279" s="708"/>
      <c r="U279" s="708"/>
      <c r="V279" s="708"/>
    </row>
    <row r="280" spans="1:22" ht="12.2" customHeight="1">
      <c r="A280" s="710" t="e">
        <f>C280:F286</f>
        <v>#VALUE!</v>
      </c>
      <c r="B280" s="711">
        <f>Tierb!A71</f>
        <v>670</v>
      </c>
      <c r="C280" s="709"/>
      <c r="D280" s="2348"/>
      <c r="E280" s="2349"/>
      <c r="F280" s="2349"/>
      <c r="G280" s="2349"/>
      <c r="H280" s="2349"/>
      <c r="I280" s="2349"/>
      <c r="J280" s="708"/>
      <c r="K280" s="708"/>
      <c r="L280" s="2349"/>
      <c r="M280" s="2349"/>
      <c r="N280" s="708"/>
      <c r="O280" s="708"/>
      <c r="P280" s="708"/>
      <c r="Q280" s="708"/>
      <c r="R280" s="708"/>
      <c r="S280" s="708"/>
      <c r="T280" s="708"/>
      <c r="U280" s="708"/>
      <c r="V280" s="708"/>
    </row>
    <row r="281" spans="1:22" ht="12.2" customHeight="1">
      <c r="A281" s="710"/>
      <c r="B281" s="711"/>
      <c r="C281" s="709" t="str">
        <f>Texte!A4259</f>
        <v>Freiland</v>
      </c>
      <c r="D281" s="2348">
        <v>0</v>
      </c>
      <c r="E281" s="2349">
        <v>0</v>
      </c>
      <c r="F281" s="2349">
        <v>0</v>
      </c>
      <c r="G281" s="2349">
        <f t="shared" si="19"/>
        <v>0</v>
      </c>
      <c r="H281" s="2349">
        <f t="shared" si="20"/>
        <v>0</v>
      </c>
      <c r="I281" s="2349">
        <f t="shared" si="21"/>
        <v>0</v>
      </c>
      <c r="J281" s="708"/>
      <c r="K281" s="708"/>
      <c r="L281" s="2349"/>
      <c r="M281" s="2349"/>
      <c r="N281" s="708"/>
      <c r="O281" s="708"/>
      <c r="P281" s="708"/>
      <c r="Q281" s="708"/>
      <c r="R281" s="708"/>
      <c r="S281" s="708"/>
      <c r="T281" s="708"/>
      <c r="U281" s="708"/>
      <c r="V281" s="708"/>
    </row>
    <row r="282" spans="1:22" ht="12.2" customHeight="1">
      <c r="A282" s="710"/>
      <c r="B282" s="711"/>
      <c r="C282" s="709" t="str">
        <f>Texte!A4260</f>
        <v>Nur Gülle</v>
      </c>
      <c r="D282" s="2348">
        <v>0</v>
      </c>
      <c r="E282" s="2349">
        <v>0</v>
      </c>
      <c r="F282" s="2349">
        <v>0</v>
      </c>
      <c r="G282" s="2349">
        <f t="shared" ref="G282:G320" si="22">D282/12</f>
        <v>0</v>
      </c>
      <c r="H282" s="2349">
        <f t="shared" ref="H282:H320" si="23">E282/12</f>
        <v>0</v>
      </c>
      <c r="I282" s="2349">
        <f t="shared" ref="I282:I320" si="24">F282/12</f>
        <v>0</v>
      </c>
      <c r="J282" s="708">
        <v>0</v>
      </c>
      <c r="K282" s="708">
        <v>21</v>
      </c>
      <c r="L282" s="2349">
        <v>0.4</v>
      </c>
      <c r="M282" s="2349">
        <v>0.4</v>
      </c>
      <c r="N282" s="708"/>
      <c r="O282" s="708"/>
      <c r="P282" s="708"/>
      <c r="Q282" s="708"/>
      <c r="R282" s="708"/>
      <c r="S282" s="708"/>
      <c r="T282" s="708"/>
      <c r="U282" s="708"/>
      <c r="V282" s="708"/>
    </row>
    <row r="283" spans="1:22" ht="12.2" customHeight="1">
      <c r="A283" s="710"/>
      <c r="B283" s="711"/>
      <c r="C283" s="709" t="str">
        <f>Texte!A4261</f>
        <v>Laufstallmist und viel Gülle (10-40% eingestreut)</v>
      </c>
      <c r="D283" s="2348">
        <v>0</v>
      </c>
      <c r="E283" s="2349">
        <v>0</v>
      </c>
      <c r="F283" s="2349">
        <v>0</v>
      </c>
      <c r="G283" s="2349">
        <f t="shared" si="22"/>
        <v>0</v>
      </c>
      <c r="H283" s="2349">
        <f t="shared" si="23"/>
        <v>0</v>
      </c>
      <c r="I283" s="2349">
        <f t="shared" si="24"/>
        <v>0</v>
      </c>
      <c r="J283" s="708">
        <v>22</v>
      </c>
      <c r="K283" s="708">
        <v>21</v>
      </c>
      <c r="L283" s="2349">
        <v>0.4</v>
      </c>
      <c r="M283" s="2349">
        <v>0.4</v>
      </c>
      <c r="N283" s="708"/>
      <c r="O283" s="708"/>
      <c r="P283" s="708"/>
      <c r="Q283" s="708"/>
      <c r="R283" s="708"/>
      <c r="S283" s="708"/>
      <c r="T283" s="708"/>
      <c r="U283" s="708"/>
      <c r="V283" s="708"/>
    </row>
    <row r="284" spans="1:22" ht="12.2" customHeight="1">
      <c r="A284" s="710"/>
      <c r="B284" s="711"/>
      <c r="C284" s="709" t="str">
        <f>Texte!A4262</f>
        <v>Laufstallmist und Gülle (40-60% eingestreut)</v>
      </c>
      <c r="D284" s="2348">
        <v>0</v>
      </c>
      <c r="E284" s="2349">
        <v>0</v>
      </c>
      <c r="F284" s="2349">
        <v>0</v>
      </c>
      <c r="G284" s="2349">
        <f t="shared" si="22"/>
        <v>0</v>
      </c>
      <c r="H284" s="2349">
        <f t="shared" si="23"/>
        <v>0</v>
      </c>
      <c r="I284" s="2349">
        <f t="shared" si="24"/>
        <v>0</v>
      </c>
      <c r="J284" s="708">
        <v>22</v>
      </c>
      <c r="K284" s="708">
        <v>21</v>
      </c>
      <c r="L284" s="2349">
        <v>0.4</v>
      </c>
      <c r="M284" s="2349">
        <v>0.4</v>
      </c>
      <c r="N284" s="708"/>
      <c r="O284" s="708"/>
      <c r="P284" s="708"/>
      <c r="Q284" s="708"/>
      <c r="R284" s="708"/>
      <c r="S284" s="708"/>
      <c r="T284" s="708"/>
      <c r="U284" s="708"/>
      <c r="V284" s="708"/>
    </row>
    <row r="285" spans="1:22" ht="12.2" customHeight="1">
      <c r="A285" s="710"/>
      <c r="B285" s="711"/>
      <c r="C285" s="709" t="str">
        <f>Texte!A4263</f>
        <v>Laufstallmist und wenig Gülle (60-90% eingestreut)</v>
      </c>
      <c r="D285" s="2348">
        <v>0</v>
      </c>
      <c r="E285" s="2349">
        <v>0</v>
      </c>
      <c r="F285" s="2349">
        <v>0</v>
      </c>
      <c r="G285" s="2349">
        <f t="shared" si="22"/>
        <v>0</v>
      </c>
      <c r="H285" s="2349">
        <f t="shared" si="23"/>
        <v>0</v>
      </c>
      <c r="I285" s="2349">
        <f t="shared" si="24"/>
        <v>0</v>
      </c>
      <c r="J285" s="708">
        <v>22</v>
      </c>
      <c r="K285" s="708">
        <v>21</v>
      </c>
      <c r="L285" s="2349">
        <v>0.4</v>
      </c>
      <c r="M285" s="2349">
        <v>0.4</v>
      </c>
      <c r="N285" s="708"/>
      <c r="O285" s="708"/>
      <c r="P285" s="708"/>
      <c r="Q285" s="708"/>
      <c r="R285" s="708"/>
      <c r="S285" s="708"/>
      <c r="T285" s="708"/>
      <c r="U285" s="708"/>
      <c r="V285" s="708"/>
    </row>
    <row r="286" spans="1:22" ht="12.2" customHeight="1">
      <c r="A286" s="710"/>
      <c r="B286" s="711"/>
      <c r="C286" s="709" t="str">
        <f>Texte!A4264</f>
        <v>Nur Laufstallmist</v>
      </c>
      <c r="D286" s="2348">
        <v>0</v>
      </c>
      <c r="E286" s="2349">
        <v>0</v>
      </c>
      <c r="F286" s="2349">
        <v>0</v>
      </c>
      <c r="G286" s="2349">
        <f t="shared" si="22"/>
        <v>0</v>
      </c>
      <c r="H286" s="2349">
        <f t="shared" si="23"/>
        <v>0</v>
      </c>
      <c r="I286" s="2349">
        <f t="shared" si="24"/>
        <v>0</v>
      </c>
      <c r="J286" s="708">
        <v>22</v>
      </c>
      <c r="K286" s="708">
        <v>0</v>
      </c>
      <c r="L286" s="2349">
        <v>0.4</v>
      </c>
      <c r="M286" s="2349">
        <v>0.4</v>
      </c>
      <c r="N286" s="708"/>
      <c r="O286" s="708"/>
      <c r="P286" s="708"/>
      <c r="Q286" s="708"/>
      <c r="R286" s="708"/>
      <c r="S286" s="708"/>
      <c r="T286" s="708"/>
      <c r="U286" s="708"/>
      <c r="V286" s="708"/>
    </row>
    <row r="287" spans="1:22" ht="12.2" customHeight="1">
      <c r="A287" s="710" t="e">
        <f>C287:F292</f>
        <v>#VALUE!</v>
      </c>
      <c r="B287" s="711">
        <f>Tierb!A73</f>
        <v>700</v>
      </c>
      <c r="C287" s="709"/>
      <c r="D287" s="2348"/>
      <c r="E287" s="2349"/>
      <c r="F287" s="2349"/>
      <c r="G287" s="2349"/>
      <c r="H287" s="2349"/>
      <c r="I287" s="2349"/>
      <c r="J287" s="708"/>
      <c r="K287" s="708"/>
      <c r="L287" s="2349"/>
      <c r="M287" s="2349"/>
      <c r="N287" s="708"/>
      <c r="O287" s="708"/>
      <c r="P287" s="708"/>
      <c r="Q287" s="708"/>
      <c r="R287" s="708"/>
      <c r="S287" s="708"/>
      <c r="T287" s="708"/>
      <c r="U287" s="708"/>
      <c r="V287" s="708"/>
    </row>
    <row r="288" spans="1:22" ht="12.2" customHeight="1">
      <c r="A288" s="710"/>
      <c r="B288" s="711"/>
      <c r="C288" s="709" t="str">
        <f>Texte!A4266</f>
        <v>Freiland</v>
      </c>
      <c r="D288" s="2348">
        <v>0</v>
      </c>
      <c r="E288" s="2349">
        <v>0</v>
      </c>
      <c r="F288" s="2349">
        <v>0</v>
      </c>
      <c r="G288" s="2349">
        <f t="shared" si="22"/>
        <v>0</v>
      </c>
      <c r="H288" s="2349">
        <f t="shared" si="23"/>
        <v>0</v>
      </c>
      <c r="I288" s="2349">
        <f t="shared" si="24"/>
        <v>0</v>
      </c>
      <c r="J288" s="708"/>
      <c r="K288" s="708"/>
      <c r="L288" s="2349"/>
      <c r="M288" s="2349"/>
      <c r="N288" s="708"/>
      <c r="O288" s="708"/>
      <c r="P288" s="708"/>
      <c r="Q288" s="708"/>
      <c r="R288" s="708"/>
      <c r="S288" s="708"/>
      <c r="T288" s="708"/>
      <c r="U288" s="708"/>
      <c r="V288" s="708"/>
    </row>
    <row r="289" spans="1:22" ht="12.2" customHeight="1">
      <c r="A289" s="710"/>
      <c r="B289" s="711"/>
      <c r="C289" s="709" t="str">
        <f>Texte!A4267</f>
        <v>Hennenmist (Bodenhaltung, Kotgrube)</v>
      </c>
      <c r="D289" s="2348">
        <v>0</v>
      </c>
      <c r="E289" s="2349">
        <v>1.5</v>
      </c>
      <c r="F289" s="2349">
        <v>0</v>
      </c>
      <c r="G289" s="2349">
        <f t="shared" si="22"/>
        <v>0</v>
      </c>
      <c r="H289" s="2349">
        <f t="shared" si="23"/>
        <v>0.125</v>
      </c>
      <c r="I289" s="2349">
        <f t="shared" si="24"/>
        <v>0</v>
      </c>
      <c r="J289" s="708">
        <v>24</v>
      </c>
      <c r="K289" s="708">
        <v>0</v>
      </c>
      <c r="L289" s="2349">
        <v>0.4</v>
      </c>
      <c r="M289" s="2349">
        <v>0.4</v>
      </c>
      <c r="N289" s="708"/>
      <c r="O289" s="708"/>
      <c r="P289" s="708"/>
      <c r="Q289" s="708"/>
      <c r="R289" s="708"/>
      <c r="S289" s="708"/>
      <c r="T289" s="708"/>
      <c r="U289" s="708"/>
      <c r="V289" s="708"/>
    </row>
    <row r="290" spans="1:22" ht="12.2" customHeight="1">
      <c r="A290" s="710"/>
      <c r="B290" s="711"/>
      <c r="C290" s="709" t="str">
        <f>Texte!A4268</f>
        <v>Hennenkot (Kotband)</v>
      </c>
      <c r="D290" s="2348">
        <v>0</v>
      </c>
      <c r="E290" s="2349">
        <v>2.7</v>
      </c>
      <c r="F290" s="2349">
        <v>0</v>
      </c>
      <c r="G290" s="2349">
        <f t="shared" si="22"/>
        <v>0</v>
      </c>
      <c r="H290" s="2349">
        <f t="shared" si="23"/>
        <v>0.22500000000000001</v>
      </c>
      <c r="I290" s="2349">
        <f t="shared" si="24"/>
        <v>0</v>
      </c>
      <c r="J290" s="708">
        <v>25</v>
      </c>
      <c r="K290" s="708">
        <v>0</v>
      </c>
      <c r="L290" s="2349">
        <v>0.4</v>
      </c>
      <c r="M290" s="2349">
        <v>0.4</v>
      </c>
      <c r="N290" s="708"/>
      <c r="O290" s="708"/>
      <c r="P290" s="708"/>
      <c r="Q290" s="708"/>
      <c r="R290" s="708"/>
      <c r="S290" s="708"/>
      <c r="T290" s="708"/>
      <c r="U290" s="708"/>
      <c r="V290" s="708"/>
    </row>
    <row r="291" spans="1:22" ht="12.2" customHeight="1">
      <c r="A291" s="710"/>
      <c r="B291" s="711"/>
      <c r="C291" s="709" t="str">
        <f>Texte!A4269</f>
        <v>Hennenmist (Bodenhaltung, Kotgrube) in Gülle</v>
      </c>
      <c r="D291" s="2348">
        <v>0</v>
      </c>
      <c r="E291" s="2349">
        <v>0</v>
      </c>
      <c r="F291" s="2349">
        <v>1.5</v>
      </c>
      <c r="G291" s="2349">
        <f t="shared" si="22"/>
        <v>0</v>
      </c>
      <c r="H291" s="2349">
        <f t="shared" si="23"/>
        <v>0</v>
      </c>
      <c r="I291" s="2349">
        <f t="shared" si="24"/>
        <v>0.125</v>
      </c>
      <c r="J291" s="708">
        <v>0</v>
      </c>
      <c r="K291" s="708">
        <v>24</v>
      </c>
      <c r="L291" s="2349">
        <v>0.4</v>
      </c>
      <c r="M291" s="2349">
        <v>0.4</v>
      </c>
      <c r="N291" s="708"/>
      <c r="O291" s="708"/>
      <c r="P291" s="708"/>
      <c r="Q291" s="708"/>
      <c r="R291" s="708"/>
      <c r="S291" s="708"/>
      <c r="T291" s="708"/>
      <c r="U291" s="708"/>
      <c r="V291" s="708"/>
    </row>
    <row r="292" spans="1:22" ht="12.2" customHeight="1">
      <c r="A292" s="710"/>
      <c r="B292" s="711"/>
      <c r="C292" s="709" t="str">
        <f>Texte!A4270</f>
        <v>Hennenkot (Kotband) in Gülle</v>
      </c>
      <c r="D292" s="2348">
        <v>0</v>
      </c>
      <c r="E292" s="2349">
        <v>0</v>
      </c>
      <c r="F292" s="2349">
        <v>2.7</v>
      </c>
      <c r="G292" s="2349">
        <f t="shared" si="22"/>
        <v>0</v>
      </c>
      <c r="H292" s="2349">
        <f t="shared" si="23"/>
        <v>0</v>
      </c>
      <c r="I292" s="2349">
        <f t="shared" si="24"/>
        <v>0.22500000000000001</v>
      </c>
      <c r="J292" s="708">
        <v>0</v>
      </c>
      <c r="K292" s="708">
        <v>25</v>
      </c>
      <c r="L292" s="2349">
        <v>0.4</v>
      </c>
      <c r="M292" s="2349">
        <v>0.4</v>
      </c>
      <c r="N292" s="708"/>
      <c r="O292" s="708"/>
      <c r="P292" s="708"/>
      <c r="Q292" s="708"/>
      <c r="R292" s="708"/>
      <c r="S292" s="708"/>
      <c r="T292" s="708"/>
      <c r="U292" s="708"/>
      <c r="V292" s="708"/>
    </row>
    <row r="293" spans="1:22" ht="12.2" customHeight="1">
      <c r="A293" s="710" t="e">
        <f>C293:F298</f>
        <v>#VALUE!</v>
      </c>
      <c r="B293" s="711">
        <f>Tierb!A74</f>
        <v>710</v>
      </c>
      <c r="C293" s="709"/>
      <c r="D293" s="2348"/>
      <c r="E293" s="2349"/>
      <c r="F293" s="2349"/>
      <c r="G293" s="2349"/>
      <c r="H293" s="2349"/>
      <c r="I293" s="2349"/>
      <c r="J293" s="708"/>
      <c r="K293" s="708"/>
      <c r="L293" s="2349">
        <v>0.4</v>
      </c>
      <c r="M293" s="2349">
        <v>0.4</v>
      </c>
      <c r="N293" s="708"/>
      <c r="O293" s="708"/>
      <c r="P293" s="708"/>
      <c r="Q293" s="708"/>
      <c r="R293" s="708"/>
      <c r="S293" s="708"/>
      <c r="T293" s="708"/>
      <c r="U293" s="708"/>
      <c r="V293" s="708"/>
    </row>
    <row r="294" spans="1:22" ht="12.2" customHeight="1">
      <c r="A294" s="710"/>
      <c r="B294" s="711"/>
      <c r="C294" s="709" t="str">
        <f>Texte!A4272</f>
        <v>Freiland</v>
      </c>
      <c r="D294" s="2348">
        <v>0</v>
      </c>
      <c r="E294" s="2349">
        <v>0</v>
      </c>
      <c r="F294" s="2349">
        <v>0</v>
      </c>
      <c r="G294" s="2349">
        <f t="shared" si="22"/>
        <v>0</v>
      </c>
      <c r="H294" s="2349">
        <f t="shared" si="23"/>
        <v>0</v>
      </c>
      <c r="I294" s="2349">
        <f t="shared" si="24"/>
        <v>0</v>
      </c>
      <c r="J294" s="708"/>
      <c r="K294" s="708"/>
      <c r="L294" s="2349"/>
      <c r="M294" s="2349"/>
      <c r="N294" s="708"/>
      <c r="O294" s="708"/>
      <c r="P294" s="708"/>
      <c r="Q294" s="708"/>
      <c r="R294" s="708"/>
      <c r="S294" s="708"/>
      <c r="T294" s="708"/>
      <c r="U294" s="708"/>
      <c r="V294" s="708"/>
    </row>
    <row r="295" spans="1:22" ht="12.2" customHeight="1">
      <c r="A295" s="710"/>
      <c r="B295" s="711"/>
      <c r="C295" s="709" t="str">
        <f>Texte!A4273</f>
        <v>Junghennenmist (Bodenhaltung, Kotgrube)</v>
      </c>
      <c r="D295" s="2348">
        <v>0</v>
      </c>
      <c r="E295" s="2349">
        <v>0.8</v>
      </c>
      <c r="F295" s="2349">
        <v>0</v>
      </c>
      <c r="G295" s="2349">
        <f t="shared" si="22"/>
        <v>0</v>
      </c>
      <c r="H295" s="2349">
        <f t="shared" si="23"/>
        <v>6.6666666666666666E-2</v>
      </c>
      <c r="I295" s="2349">
        <f t="shared" si="24"/>
        <v>0</v>
      </c>
      <c r="J295" s="708">
        <v>26</v>
      </c>
      <c r="K295" s="708">
        <v>0</v>
      </c>
      <c r="L295" s="2349">
        <v>0.4</v>
      </c>
      <c r="M295" s="2349">
        <v>0.4</v>
      </c>
      <c r="N295" s="708"/>
      <c r="O295" s="708"/>
      <c r="P295" s="708"/>
      <c r="Q295" s="708"/>
      <c r="R295" s="708"/>
      <c r="S295" s="708"/>
      <c r="T295" s="708"/>
      <c r="U295" s="708"/>
      <c r="V295" s="708"/>
    </row>
    <row r="296" spans="1:22" ht="12.2" customHeight="1">
      <c r="A296" s="710"/>
      <c r="B296" s="711"/>
      <c r="C296" s="709" t="str">
        <f>Texte!A4274</f>
        <v>Junghennenmist (Kotband)</v>
      </c>
      <c r="D296" s="2348">
        <v>0</v>
      </c>
      <c r="E296" s="2349">
        <v>1.7</v>
      </c>
      <c r="F296" s="2349"/>
      <c r="G296" s="2349">
        <f t="shared" si="22"/>
        <v>0</v>
      </c>
      <c r="H296" s="2349">
        <f t="shared" si="23"/>
        <v>0.14166666666666666</v>
      </c>
      <c r="I296" s="2349">
        <f t="shared" si="24"/>
        <v>0</v>
      </c>
      <c r="J296" s="708">
        <v>27</v>
      </c>
      <c r="K296" s="708">
        <v>0</v>
      </c>
      <c r="L296" s="2349">
        <v>0.4</v>
      </c>
      <c r="M296" s="2349">
        <v>0.4</v>
      </c>
      <c r="N296" s="708"/>
      <c r="O296" s="708"/>
      <c r="P296" s="708"/>
      <c r="Q296" s="708"/>
      <c r="R296" s="708"/>
      <c r="S296" s="708"/>
      <c r="T296" s="708"/>
      <c r="U296" s="708"/>
      <c r="V296" s="708"/>
    </row>
    <row r="297" spans="1:22" ht="12.2" customHeight="1">
      <c r="A297" s="710"/>
      <c r="B297" s="711"/>
      <c r="C297" s="709" t="str">
        <f>Texte!A4275</f>
        <v>Junghennenmist (Bodenhaltung) in Gülle</v>
      </c>
      <c r="D297" s="2348">
        <v>0</v>
      </c>
      <c r="E297" s="2349"/>
      <c r="F297" s="2349">
        <v>0.8</v>
      </c>
      <c r="G297" s="2349">
        <f t="shared" si="22"/>
        <v>0</v>
      </c>
      <c r="H297" s="2349">
        <f t="shared" si="23"/>
        <v>0</v>
      </c>
      <c r="I297" s="2349">
        <f t="shared" si="24"/>
        <v>6.6666666666666666E-2</v>
      </c>
      <c r="J297" s="708">
        <v>0</v>
      </c>
      <c r="K297" s="708">
        <v>26</v>
      </c>
      <c r="L297" s="2349">
        <v>0.4</v>
      </c>
      <c r="M297" s="2349">
        <v>0.4</v>
      </c>
      <c r="N297" s="708"/>
      <c r="O297" s="708"/>
      <c r="P297" s="708"/>
      <c r="Q297" s="708"/>
      <c r="R297" s="708"/>
      <c r="S297" s="708"/>
      <c r="T297" s="708"/>
      <c r="U297" s="708"/>
      <c r="V297" s="708"/>
    </row>
    <row r="298" spans="1:22" ht="12.2" customHeight="1">
      <c r="A298" s="710"/>
      <c r="B298" s="711"/>
      <c r="C298" s="709" t="str">
        <f>Texte!A4276</f>
        <v>Junghennenmist (Kotband) in Gülle</v>
      </c>
      <c r="D298" s="2348">
        <v>0</v>
      </c>
      <c r="E298" s="2349"/>
      <c r="F298" s="2349">
        <v>1.7</v>
      </c>
      <c r="G298" s="2349">
        <f t="shared" si="22"/>
        <v>0</v>
      </c>
      <c r="H298" s="2349">
        <f t="shared" si="23"/>
        <v>0</v>
      </c>
      <c r="I298" s="2349">
        <f t="shared" si="24"/>
        <v>0.14166666666666666</v>
      </c>
      <c r="J298" s="708">
        <v>0</v>
      </c>
      <c r="K298" s="708">
        <v>27</v>
      </c>
      <c r="L298" s="2349">
        <v>0.4</v>
      </c>
      <c r="M298" s="2349">
        <v>0.4</v>
      </c>
      <c r="N298" s="708"/>
      <c r="O298" s="708"/>
      <c r="P298" s="708"/>
      <c r="Q298" s="708"/>
      <c r="R298" s="708"/>
      <c r="S298" s="708"/>
      <c r="T298" s="708"/>
      <c r="U298" s="708"/>
      <c r="V298" s="708"/>
    </row>
    <row r="299" spans="1:22" ht="12.2" customHeight="1">
      <c r="A299" s="710" t="e">
        <f>C299:F302</f>
        <v>#VALUE!</v>
      </c>
      <c r="B299" s="711">
        <f>Tierb!A75</f>
        <v>720</v>
      </c>
      <c r="C299" s="709"/>
      <c r="D299" s="2348"/>
      <c r="E299" s="2349"/>
      <c r="F299" s="2349"/>
      <c r="G299" s="2349"/>
      <c r="H299" s="2349"/>
      <c r="I299" s="2349"/>
      <c r="J299" s="708"/>
      <c r="K299" s="708"/>
      <c r="L299" s="2349">
        <v>0.4</v>
      </c>
      <c r="M299" s="2349">
        <v>0.4</v>
      </c>
      <c r="N299" s="708"/>
      <c r="O299" s="708"/>
      <c r="P299" s="708"/>
      <c r="Q299" s="708"/>
      <c r="R299" s="708"/>
      <c r="S299" s="708"/>
      <c r="T299" s="708"/>
      <c r="U299" s="708"/>
      <c r="V299" s="708"/>
    </row>
    <row r="300" spans="1:22" ht="12.2" customHeight="1">
      <c r="A300" s="710"/>
      <c r="B300" s="711"/>
      <c r="C300" s="709" t="str">
        <f>Texte!A4278</f>
        <v>Freiland</v>
      </c>
      <c r="D300" s="2348">
        <v>0</v>
      </c>
      <c r="E300" s="2349">
        <v>0</v>
      </c>
      <c r="F300" s="2349">
        <v>0</v>
      </c>
      <c r="G300" s="2349">
        <f t="shared" si="22"/>
        <v>0</v>
      </c>
      <c r="H300" s="2349">
        <f t="shared" si="23"/>
        <v>0</v>
      </c>
      <c r="I300" s="2349">
        <f t="shared" si="24"/>
        <v>0</v>
      </c>
      <c r="J300" s="708"/>
      <c r="K300" s="708"/>
      <c r="L300" s="2349"/>
      <c r="M300" s="2349"/>
      <c r="N300" s="708"/>
      <c r="O300" s="708"/>
      <c r="P300" s="708"/>
      <c r="Q300" s="708"/>
      <c r="R300" s="708"/>
      <c r="S300" s="708"/>
      <c r="T300" s="708"/>
      <c r="U300" s="708"/>
      <c r="V300" s="708"/>
    </row>
    <row r="301" spans="1:22" ht="12.2" customHeight="1">
      <c r="A301" s="710"/>
      <c r="B301" s="711"/>
      <c r="C301" s="709" t="str">
        <f>Texte!A4279</f>
        <v>Pouletmist</v>
      </c>
      <c r="D301" s="2348">
        <v>0</v>
      </c>
      <c r="E301" s="2349">
        <v>0.8</v>
      </c>
      <c r="F301" s="2349">
        <v>0</v>
      </c>
      <c r="G301" s="2349">
        <f t="shared" si="22"/>
        <v>0</v>
      </c>
      <c r="H301" s="2349">
        <f t="shared" si="23"/>
        <v>6.6666666666666666E-2</v>
      </c>
      <c r="I301" s="2349">
        <f t="shared" si="24"/>
        <v>0</v>
      </c>
      <c r="J301" s="708">
        <v>28</v>
      </c>
      <c r="K301" s="708">
        <v>0</v>
      </c>
      <c r="L301" s="2349">
        <v>6.6699999999999995E-2</v>
      </c>
      <c r="M301" s="2349">
        <v>6.6699999999999995E-2</v>
      </c>
      <c r="N301" s="708"/>
      <c r="O301" s="708"/>
      <c r="P301" s="708"/>
      <c r="Q301" s="708"/>
      <c r="R301" s="708"/>
      <c r="S301" s="708"/>
      <c r="T301" s="708"/>
      <c r="U301" s="708"/>
      <c r="V301" s="708"/>
    </row>
    <row r="302" spans="1:22" ht="12.2" customHeight="1">
      <c r="A302" s="710"/>
      <c r="B302" s="711"/>
      <c r="C302" s="709" t="str">
        <f>Texte!A4280</f>
        <v>Pouletmist in Gülle</v>
      </c>
      <c r="D302" s="2348">
        <v>0</v>
      </c>
      <c r="E302" s="2349">
        <v>0</v>
      </c>
      <c r="F302" s="2349">
        <v>0.8</v>
      </c>
      <c r="G302" s="2349">
        <f t="shared" si="22"/>
        <v>0</v>
      </c>
      <c r="H302" s="2349">
        <f t="shared" si="23"/>
        <v>0</v>
      </c>
      <c r="I302" s="2349">
        <f t="shared" si="24"/>
        <v>6.6666666666666666E-2</v>
      </c>
      <c r="J302" s="708">
        <v>0</v>
      </c>
      <c r="K302" s="708">
        <v>28</v>
      </c>
      <c r="L302" s="2349">
        <v>6.6699999999999995E-2</v>
      </c>
      <c r="M302" s="2349">
        <v>6.6699999999999995E-2</v>
      </c>
      <c r="N302" s="708"/>
      <c r="O302" s="708"/>
      <c r="P302" s="708"/>
      <c r="Q302" s="708"/>
      <c r="R302" s="708"/>
      <c r="S302" s="708"/>
      <c r="T302" s="708"/>
      <c r="U302" s="708"/>
      <c r="V302" s="708"/>
    </row>
    <row r="303" spans="1:22" ht="12.2" customHeight="1">
      <c r="A303" s="710" t="e">
        <f>C303:F306</f>
        <v>#VALUE!</v>
      </c>
      <c r="B303" s="711">
        <f>Tierb!A76</f>
        <v>730</v>
      </c>
      <c r="C303" s="709"/>
      <c r="D303" s="2348"/>
      <c r="E303" s="2349"/>
      <c r="F303" s="2349"/>
      <c r="G303" s="2349"/>
      <c r="H303" s="2349"/>
      <c r="I303" s="2349"/>
      <c r="J303" s="708"/>
      <c r="K303" s="708"/>
      <c r="L303" s="2349"/>
      <c r="M303" s="2349"/>
      <c r="N303" s="708"/>
      <c r="O303" s="708"/>
      <c r="P303" s="708"/>
      <c r="Q303" s="708"/>
      <c r="R303" s="708"/>
      <c r="S303" s="708"/>
      <c r="T303" s="708"/>
      <c r="U303" s="708"/>
      <c r="V303" s="708"/>
    </row>
    <row r="304" spans="1:22" ht="12.2" customHeight="1">
      <c r="A304" s="710"/>
      <c r="B304" s="711"/>
      <c r="C304" s="709" t="str">
        <f>Texte!A4282</f>
        <v>Freiland</v>
      </c>
      <c r="D304" s="2348">
        <v>0</v>
      </c>
      <c r="E304" s="2349">
        <v>0</v>
      </c>
      <c r="F304" s="2349">
        <v>0</v>
      </c>
      <c r="G304" s="2349">
        <f t="shared" si="22"/>
        <v>0</v>
      </c>
      <c r="H304" s="2349">
        <f t="shared" si="23"/>
        <v>0</v>
      </c>
      <c r="I304" s="2349">
        <f t="shared" si="24"/>
        <v>0</v>
      </c>
      <c r="J304" s="708"/>
      <c r="K304" s="708"/>
      <c r="L304" s="2349"/>
      <c r="M304" s="2349"/>
      <c r="N304" s="708"/>
      <c r="O304" s="708"/>
      <c r="P304" s="708"/>
      <c r="Q304" s="708"/>
      <c r="R304" s="708"/>
      <c r="S304" s="708"/>
      <c r="T304" s="708"/>
      <c r="U304" s="708"/>
      <c r="V304" s="708"/>
    </row>
    <row r="305" spans="1:22" ht="12.2" customHeight="1">
      <c r="A305" s="710"/>
      <c r="B305" s="711"/>
      <c r="C305" s="709" t="str">
        <f>Texte!A4283</f>
        <v>Trutenmist</v>
      </c>
      <c r="D305" s="2348">
        <v>0</v>
      </c>
      <c r="E305" s="2349">
        <v>3</v>
      </c>
      <c r="F305" s="2349">
        <v>0</v>
      </c>
      <c r="G305" s="2349">
        <f t="shared" si="22"/>
        <v>0</v>
      </c>
      <c r="H305" s="2349">
        <f t="shared" si="23"/>
        <v>0.25</v>
      </c>
      <c r="I305" s="2349">
        <f t="shared" si="24"/>
        <v>0</v>
      </c>
      <c r="J305" s="708">
        <v>29</v>
      </c>
      <c r="K305" s="708">
        <v>0</v>
      </c>
      <c r="L305" s="2349">
        <v>0.04</v>
      </c>
      <c r="M305" s="2349">
        <v>0.04</v>
      </c>
      <c r="N305" s="708"/>
      <c r="O305" s="708"/>
      <c r="P305" s="708"/>
      <c r="Q305" s="708"/>
      <c r="R305" s="708"/>
      <c r="S305" s="708"/>
      <c r="T305" s="708"/>
      <c r="U305" s="708"/>
      <c r="V305" s="708"/>
    </row>
    <row r="306" spans="1:22" ht="12.2" customHeight="1">
      <c r="A306" s="710"/>
      <c r="B306" s="711"/>
      <c r="C306" s="709" t="str">
        <f>Texte!A4284</f>
        <v>Trutenmist in Gülle</v>
      </c>
      <c r="D306" s="2348">
        <v>0</v>
      </c>
      <c r="E306" s="2349">
        <v>0</v>
      </c>
      <c r="F306" s="2349">
        <v>3</v>
      </c>
      <c r="G306" s="2349">
        <f t="shared" si="22"/>
        <v>0</v>
      </c>
      <c r="H306" s="2349">
        <f t="shared" si="23"/>
        <v>0</v>
      </c>
      <c r="I306" s="2349">
        <f t="shared" si="24"/>
        <v>0.25</v>
      </c>
      <c r="J306" s="708">
        <v>0</v>
      </c>
      <c r="K306" s="708">
        <v>29</v>
      </c>
      <c r="L306" s="2349">
        <v>0.04</v>
      </c>
      <c r="M306" s="2349">
        <v>0.04</v>
      </c>
      <c r="N306" s="708"/>
      <c r="O306" s="708"/>
      <c r="P306" s="708"/>
      <c r="Q306" s="708"/>
      <c r="R306" s="708"/>
      <c r="S306" s="708"/>
      <c r="T306" s="708"/>
      <c r="U306" s="708"/>
      <c r="V306" s="708"/>
    </row>
    <row r="307" spans="1:22" ht="12.2" customHeight="1">
      <c r="A307" s="710" t="e">
        <f>C307:F310</f>
        <v>#VALUE!</v>
      </c>
      <c r="B307" s="711">
        <f>Tierb!A77</f>
        <v>740</v>
      </c>
      <c r="C307" s="709"/>
      <c r="D307" s="2348"/>
      <c r="E307" s="2349"/>
      <c r="F307" s="2349"/>
      <c r="G307" s="2349"/>
      <c r="H307" s="2349"/>
      <c r="I307" s="2349"/>
      <c r="J307" s="708"/>
      <c r="K307" s="708"/>
      <c r="L307" s="2349"/>
      <c r="M307" s="2349"/>
      <c r="N307" s="708"/>
      <c r="O307" s="708"/>
      <c r="P307" s="708"/>
      <c r="Q307" s="708"/>
      <c r="R307" s="708"/>
      <c r="S307" s="708"/>
      <c r="T307" s="708"/>
      <c r="U307" s="708"/>
      <c r="V307" s="708"/>
    </row>
    <row r="308" spans="1:22" ht="12.2" customHeight="1">
      <c r="A308" s="710"/>
      <c r="B308" s="711"/>
      <c r="C308" s="709" t="str">
        <f>Texte!A4282</f>
        <v>Freiland</v>
      </c>
      <c r="D308" s="2348">
        <v>0</v>
      </c>
      <c r="E308" s="2349">
        <v>0</v>
      </c>
      <c r="F308" s="2349">
        <v>0</v>
      </c>
      <c r="G308" s="2349">
        <f t="shared" si="22"/>
        <v>0</v>
      </c>
      <c r="H308" s="2349">
        <f t="shared" si="23"/>
        <v>0</v>
      </c>
      <c r="I308" s="2349">
        <f t="shared" si="24"/>
        <v>0</v>
      </c>
      <c r="J308" s="708"/>
      <c r="K308" s="708"/>
      <c r="L308" s="2349"/>
      <c r="M308" s="2349"/>
      <c r="N308" s="708"/>
      <c r="O308" s="708"/>
      <c r="P308" s="708"/>
      <c r="Q308" s="708"/>
      <c r="R308" s="708"/>
      <c r="S308" s="708"/>
      <c r="T308" s="708"/>
      <c r="U308" s="708"/>
      <c r="V308" s="708"/>
    </row>
    <row r="309" spans="1:22" ht="12.2" customHeight="1">
      <c r="A309" s="710"/>
      <c r="B309" s="711"/>
      <c r="C309" s="709" t="str">
        <f>Texte!A4283</f>
        <v>Trutenmist</v>
      </c>
      <c r="D309" s="2348">
        <v>0</v>
      </c>
      <c r="E309" s="2349">
        <v>0.86</v>
      </c>
      <c r="F309" s="2349">
        <v>0</v>
      </c>
      <c r="G309" s="2349">
        <f t="shared" si="22"/>
        <v>0</v>
      </c>
      <c r="H309" s="2349">
        <f t="shared" si="23"/>
        <v>7.166666666666667E-2</v>
      </c>
      <c r="I309" s="2349">
        <f t="shared" si="24"/>
        <v>0</v>
      </c>
      <c r="J309" s="708">
        <v>29</v>
      </c>
      <c r="K309" s="708">
        <v>0</v>
      </c>
      <c r="L309" s="2349">
        <v>0.04</v>
      </c>
      <c r="M309" s="2349">
        <v>0.04</v>
      </c>
      <c r="N309" s="708"/>
      <c r="O309" s="708"/>
      <c r="P309" s="708"/>
      <c r="Q309" s="708"/>
      <c r="R309" s="708"/>
      <c r="S309" s="708"/>
      <c r="T309" s="708"/>
      <c r="U309" s="708"/>
      <c r="V309" s="708"/>
    </row>
    <row r="310" spans="1:22" ht="12.2" customHeight="1">
      <c r="A310" s="710"/>
      <c r="B310" s="711"/>
      <c r="C310" s="709" t="str">
        <f>Texte!A4284</f>
        <v>Trutenmist in Gülle</v>
      </c>
      <c r="D310" s="2348">
        <v>0</v>
      </c>
      <c r="E310" s="2349">
        <v>0</v>
      </c>
      <c r="F310" s="2349">
        <v>0.86</v>
      </c>
      <c r="G310" s="2349">
        <f t="shared" si="22"/>
        <v>0</v>
      </c>
      <c r="H310" s="2349">
        <f t="shared" si="23"/>
        <v>0</v>
      </c>
      <c r="I310" s="2349">
        <f t="shared" si="24"/>
        <v>7.166666666666667E-2</v>
      </c>
      <c r="J310" s="708">
        <v>0</v>
      </c>
      <c r="K310" s="708">
        <v>29</v>
      </c>
      <c r="L310" s="2349">
        <v>0.04</v>
      </c>
      <c r="M310" s="2349">
        <v>0.04</v>
      </c>
      <c r="N310" s="708"/>
      <c r="O310" s="708"/>
      <c r="P310" s="708"/>
      <c r="Q310" s="708"/>
      <c r="R310" s="708"/>
      <c r="S310" s="708"/>
      <c r="T310" s="708"/>
      <c r="U310" s="708"/>
      <c r="V310" s="708"/>
    </row>
    <row r="311" spans="1:22" ht="12.2" customHeight="1">
      <c r="A311" s="710" t="e">
        <f>C311:F314</f>
        <v>#VALUE!</v>
      </c>
      <c r="B311" s="711">
        <f>Tierb!A78</f>
        <v>750</v>
      </c>
      <c r="C311" s="709"/>
      <c r="D311" s="2348"/>
      <c r="E311" s="2349"/>
      <c r="F311" s="2349"/>
      <c r="G311" s="2349"/>
      <c r="H311" s="2349"/>
      <c r="I311" s="2349"/>
      <c r="J311" s="708"/>
      <c r="K311" s="708"/>
      <c r="L311" s="2349"/>
      <c r="M311" s="2349"/>
      <c r="N311" s="708"/>
      <c r="O311" s="708"/>
      <c r="P311" s="708"/>
      <c r="Q311" s="708"/>
      <c r="R311" s="708"/>
      <c r="S311" s="708"/>
      <c r="T311" s="708"/>
      <c r="U311" s="708"/>
      <c r="V311" s="708"/>
    </row>
    <row r="312" spans="1:22" ht="12.2" customHeight="1">
      <c r="A312" s="710"/>
      <c r="B312" s="711"/>
      <c r="C312" s="709" t="str">
        <f>Texte!A4282</f>
        <v>Freiland</v>
      </c>
      <c r="D312" s="2348">
        <v>0</v>
      </c>
      <c r="E312" s="2349">
        <v>0</v>
      </c>
      <c r="F312" s="2349">
        <v>0</v>
      </c>
      <c r="G312" s="2349">
        <f t="shared" si="22"/>
        <v>0</v>
      </c>
      <c r="H312" s="2349">
        <f t="shared" si="23"/>
        <v>0</v>
      </c>
      <c r="I312" s="2349">
        <f t="shared" si="24"/>
        <v>0</v>
      </c>
      <c r="J312" s="708"/>
      <c r="K312" s="708"/>
      <c r="L312" s="2349"/>
      <c r="M312" s="2349"/>
      <c r="N312" s="708"/>
      <c r="O312" s="708"/>
      <c r="P312" s="708"/>
      <c r="Q312" s="708"/>
      <c r="R312" s="708"/>
      <c r="S312" s="708"/>
      <c r="T312" s="708"/>
      <c r="U312" s="708"/>
      <c r="V312" s="708"/>
    </row>
    <row r="313" spans="1:22" ht="12.2" customHeight="1">
      <c r="A313" s="710"/>
      <c r="B313" s="711"/>
      <c r="C313" s="709" t="str">
        <f>Texte!A4283</f>
        <v>Trutenmist</v>
      </c>
      <c r="D313" s="2348">
        <v>0</v>
      </c>
      <c r="E313" s="2349">
        <v>4.93</v>
      </c>
      <c r="F313" s="2349">
        <v>0</v>
      </c>
      <c r="G313" s="2349">
        <f t="shared" si="22"/>
        <v>0</v>
      </c>
      <c r="H313" s="2349">
        <f t="shared" si="23"/>
        <v>0.41083333333333333</v>
      </c>
      <c r="I313" s="2349">
        <f t="shared" si="24"/>
        <v>0</v>
      </c>
      <c r="J313" s="708">
        <v>29</v>
      </c>
      <c r="K313" s="708">
        <v>0</v>
      </c>
      <c r="L313" s="2349">
        <v>0.04</v>
      </c>
      <c r="M313" s="2349">
        <v>0.04</v>
      </c>
      <c r="N313" s="708"/>
      <c r="O313" s="708"/>
      <c r="P313" s="708"/>
      <c r="Q313" s="708"/>
      <c r="R313" s="708"/>
      <c r="S313" s="708"/>
      <c r="T313" s="708"/>
      <c r="U313" s="708"/>
      <c r="V313" s="708"/>
    </row>
    <row r="314" spans="1:22" ht="12.2" customHeight="1">
      <c r="A314" s="710"/>
      <c r="B314" s="711"/>
      <c r="C314" s="709" t="str">
        <f>Texte!A4284</f>
        <v>Trutenmist in Gülle</v>
      </c>
      <c r="D314" s="2348">
        <v>0</v>
      </c>
      <c r="E314" s="2349">
        <v>0</v>
      </c>
      <c r="F314" s="2349">
        <v>4.93</v>
      </c>
      <c r="G314" s="2349">
        <f t="shared" si="22"/>
        <v>0</v>
      </c>
      <c r="H314" s="2349">
        <f t="shared" si="23"/>
        <v>0</v>
      </c>
      <c r="I314" s="2349">
        <f t="shared" si="24"/>
        <v>0.41083333333333333</v>
      </c>
      <c r="J314" s="708">
        <v>0</v>
      </c>
      <c r="K314" s="708">
        <v>29</v>
      </c>
      <c r="L314" s="2349">
        <v>0.04</v>
      </c>
      <c r="M314" s="2349">
        <v>0.04</v>
      </c>
      <c r="N314" s="708"/>
      <c r="O314" s="708"/>
      <c r="P314" s="708"/>
      <c r="Q314" s="708"/>
      <c r="R314" s="708"/>
      <c r="S314" s="708"/>
      <c r="T314" s="708"/>
      <c r="U314" s="708"/>
      <c r="V314" s="708"/>
    </row>
    <row r="315" spans="1:22" ht="12.2" customHeight="1">
      <c r="A315" s="710" t="e">
        <f>C315:F320</f>
        <v>#VALUE!</v>
      </c>
      <c r="B315" s="711">
        <f>Tierb!A79</f>
        <v>760</v>
      </c>
      <c r="C315" s="709"/>
      <c r="D315" s="2348"/>
      <c r="E315" s="2349"/>
      <c r="F315" s="2349"/>
      <c r="G315" s="2349"/>
      <c r="H315" s="2349"/>
      <c r="I315" s="2349"/>
      <c r="J315" s="708"/>
      <c r="K315" s="708"/>
      <c r="L315" s="2349"/>
      <c r="M315" s="2349"/>
      <c r="N315" s="708"/>
      <c r="O315" s="708"/>
      <c r="P315" s="708"/>
      <c r="Q315" s="708"/>
      <c r="R315" s="708"/>
      <c r="S315" s="708"/>
      <c r="T315" s="708"/>
      <c r="U315" s="708"/>
      <c r="V315" s="708"/>
    </row>
    <row r="316" spans="1:22" ht="12.2" customHeight="1">
      <c r="A316" s="710"/>
      <c r="B316" s="711"/>
      <c r="C316" s="709" t="str">
        <f>Texte!A4286</f>
        <v>Freiland</v>
      </c>
      <c r="D316" s="3369"/>
      <c r="E316" s="3370"/>
      <c r="F316" s="3370"/>
      <c r="G316" s="2349">
        <f t="shared" si="22"/>
        <v>0</v>
      </c>
      <c r="H316" s="2349">
        <f t="shared" si="23"/>
        <v>0</v>
      </c>
      <c r="I316" s="2349">
        <f t="shared" si="24"/>
        <v>0</v>
      </c>
      <c r="J316" s="708"/>
      <c r="K316" s="708"/>
      <c r="L316" s="2349"/>
      <c r="M316" s="2349"/>
      <c r="N316" s="708"/>
      <c r="O316" s="708"/>
      <c r="P316" s="708"/>
      <c r="Q316" s="708"/>
      <c r="R316" s="708"/>
      <c r="S316" s="708"/>
      <c r="T316" s="708"/>
      <c r="U316" s="708"/>
      <c r="V316" s="708"/>
    </row>
    <row r="317" spans="1:22" ht="12.2" customHeight="1">
      <c r="A317" s="710"/>
      <c r="B317" s="711"/>
      <c r="C317" s="709" t="str">
        <f>Texte!A4287</f>
        <v>Geflügelmist (Bodenhaltung, Kotgrube)</v>
      </c>
      <c r="D317" s="3369"/>
      <c r="E317" s="3370"/>
      <c r="F317" s="3370"/>
      <c r="G317" s="2349">
        <f t="shared" si="22"/>
        <v>0</v>
      </c>
      <c r="H317" s="2349">
        <f t="shared" si="23"/>
        <v>0</v>
      </c>
      <c r="I317" s="2349">
        <f t="shared" si="24"/>
        <v>0</v>
      </c>
      <c r="J317" s="708">
        <v>24</v>
      </c>
      <c r="K317" s="708">
        <v>0</v>
      </c>
      <c r="L317" s="2349">
        <v>0.02</v>
      </c>
      <c r="M317" s="2349">
        <v>0.02</v>
      </c>
      <c r="N317" s="708"/>
      <c r="O317" s="708"/>
      <c r="P317" s="708"/>
      <c r="Q317" s="708"/>
      <c r="R317" s="708"/>
      <c r="S317" s="708"/>
      <c r="T317" s="708"/>
      <c r="U317" s="708"/>
      <c r="V317" s="708"/>
    </row>
    <row r="318" spans="1:22" ht="12.2" customHeight="1">
      <c r="A318" s="710"/>
      <c r="B318" s="711"/>
      <c r="C318" s="709" t="str">
        <f>Texte!A4288</f>
        <v>Geflügelkot (Kotband)</v>
      </c>
      <c r="D318" s="3369"/>
      <c r="E318" s="3370"/>
      <c r="F318" s="3370"/>
      <c r="G318" s="2349">
        <f t="shared" si="22"/>
        <v>0</v>
      </c>
      <c r="H318" s="2349">
        <f t="shared" si="23"/>
        <v>0</v>
      </c>
      <c r="I318" s="2349">
        <f t="shared" si="24"/>
        <v>0</v>
      </c>
      <c r="J318" s="708">
        <v>25</v>
      </c>
      <c r="K318" s="708">
        <v>0</v>
      </c>
      <c r="L318" s="2349">
        <v>0.02</v>
      </c>
      <c r="M318" s="2349">
        <v>0.02</v>
      </c>
      <c r="N318" s="708"/>
      <c r="O318" s="708"/>
      <c r="P318" s="708"/>
      <c r="Q318" s="708"/>
      <c r="R318" s="708"/>
      <c r="S318" s="708"/>
      <c r="T318" s="708"/>
      <c r="U318" s="708"/>
      <c r="V318" s="708"/>
    </row>
    <row r="319" spans="1:22" ht="12.2" customHeight="1">
      <c r="A319" s="710"/>
      <c r="B319" s="711"/>
      <c r="C319" s="709" t="str">
        <f>Texte!A4289</f>
        <v>Geflügelmist (Bodenhaltung, Kotgrube) in Gülle</v>
      </c>
      <c r="D319" s="3369"/>
      <c r="E319" s="3370"/>
      <c r="F319" s="3370"/>
      <c r="G319" s="2349">
        <f t="shared" si="22"/>
        <v>0</v>
      </c>
      <c r="H319" s="2349">
        <f t="shared" si="23"/>
        <v>0</v>
      </c>
      <c r="I319" s="2349">
        <f t="shared" si="24"/>
        <v>0</v>
      </c>
      <c r="J319" s="708">
        <v>0</v>
      </c>
      <c r="K319" s="708">
        <v>24</v>
      </c>
      <c r="L319" s="2349">
        <v>0.02</v>
      </c>
      <c r="M319" s="2349">
        <v>0.02</v>
      </c>
      <c r="N319" s="708"/>
      <c r="O319" s="708"/>
      <c r="P319" s="708"/>
      <c r="Q319" s="708"/>
      <c r="R319" s="708"/>
      <c r="S319" s="708"/>
      <c r="T319" s="708"/>
      <c r="U319" s="708"/>
      <c r="V319" s="708"/>
    </row>
    <row r="320" spans="1:22" ht="12.2" customHeight="1">
      <c r="A320" s="710"/>
      <c r="B320" s="711"/>
      <c r="C320" s="709" t="str">
        <f>Texte!A4290</f>
        <v>Geflügelkot (Kotband) in Gülle</v>
      </c>
      <c r="D320" s="3369"/>
      <c r="E320" s="3370"/>
      <c r="F320" s="3370"/>
      <c r="G320" s="2349">
        <f t="shared" si="22"/>
        <v>0</v>
      </c>
      <c r="H320" s="2349">
        <f t="shared" si="23"/>
        <v>0</v>
      </c>
      <c r="I320" s="2349">
        <f t="shared" si="24"/>
        <v>0</v>
      </c>
      <c r="J320" s="708">
        <v>0</v>
      </c>
      <c r="K320" s="708">
        <v>25</v>
      </c>
      <c r="L320" s="2349">
        <v>0.02</v>
      </c>
      <c r="M320" s="2349">
        <v>0.02</v>
      </c>
      <c r="N320" s="708"/>
      <c r="O320" s="708"/>
      <c r="P320" s="708"/>
      <c r="Q320" s="708"/>
      <c r="R320" s="708"/>
      <c r="S320" s="708"/>
      <c r="T320" s="708"/>
      <c r="U320" s="708"/>
      <c r="V320" s="708"/>
    </row>
  </sheetData>
  <phoneticPr fontId="65" type="noConversion"/>
  <pageMargins left="0.78740157499999996" right="0.78740157499999996" top="0.984251969" bottom="0.984251969" header="0.4921259845" footer="0.4921259845"/>
  <pageSetup paperSize="9" orientation="portrait" r:id="rId1"/>
  <headerFooter alignWithMargins="0">
    <oddHeader>&amp;A</oddHeader>
    <oddFooter>Seite &amp;P&amp;R&amp;"Arial,Standard"&amp;9Seite &amp;P&amp;L&amp;"Arial,Fett"&amp;11AGRIDEA &amp;"Arial,Standard"&amp;9 Nachweis Version 9.9</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5">
    <tabColor indexed="31"/>
    <pageSetUpPr fitToPage="1"/>
  </sheetPr>
  <dimension ref="A1:M46"/>
  <sheetViews>
    <sheetView showRowColHeaders="0"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30.7109375" customWidth="1"/>
    <col min="3" max="3" width="5.7109375" style="1183" customWidth="1"/>
    <col min="4" max="9" width="10.7109375" customWidth="1"/>
    <col min="13" max="13" width="58.5703125" customWidth="1"/>
  </cols>
  <sheetData>
    <row r="1" spans="1:13">
      <c r="A1" s="872"/>
      <c r="B1" s="874"/>
      <c r="C1" s="1727"/>
      <c r="D1" s="874"/>
      <c r="E1" s="874"/>
      <c r="F1" s="874"/>
      <c r="G1" s="874"/>
      <c r="H1" s="874"/>
      <c r="I1" s="874"/>
      <c r="J1" s="674"/>
      <c r="K1" s="674"/>
      <c r="L1" s="674"/>
      <c r="M1" s="2502"/>
    </row>
    <row r="2" spans="1:13" ht="20.25">
      <c r="A2" s="1"/>
      <c r="B2" s="1190" t="str">
        <f>Q!F75</f>
        <v>Gehaltstabelle Hofdünger</v>
      </c>
      <c r="C2" s="1181"/>
      <c r="D2" s="2"/>
      <c r="E2" s="2"/>
      <c r="F2" s="2"/>
      <c r="G2" s="2"/>
      <c r="H2" s="2"/>
      <c r="I2" s="2"/>
      <c r="J2" s="674"/>
      <c r="K2" s="674"/>
      <c r="L2" s="674"/>
      <c r="M2" s="2502"/>
    </row>
    <row r="3" spans="1:13" ht="6" customHeight="1">
      <c r="A3" s="1"/>
      <c r="B3" s="1180"/>
      <c r="C3" s="1181"/>
      <c r="D3" s="2"/>
      <c r="E3" s="2"/>
      <c r="F3" s="2"/>
      <c r="G3" s="2"/>
      <c r="H3" s="2"/>
      <c r="I3" s="2"/>
      <c r="J3" s="674"/>
      <c r="K3" s="674"/>
      <c r="L3" s="674"/>
      <c r="M3" s="2502"/>
    </row>
    <row r="4" spans="1:13" ht="15">
      <c r="A4" s="1"/>
      <c r="B4" s="1"/>
      <c r="C4" s="394"/>
      <c r="D4" s="914" t="str">
        <f>Texte!A4293</f>
        <v>Gehalte (kg pro m³ unverdünnter Gülle bzw. kg pro t Mist)</v>
      </c>
      <c r="E4" s="914"/>
      <c r="F4" s="914"/>
      <c r="G4" s="914"/>
      <c r="H4" s="914"/>
      <c r="I4" s="914"/>
      <c r="J4" s="914" t="str">
        <f>Texte!A4294</f>
        <v>N-Verfügbarkeit</v>
      </c>
      <c r="K4" s="914"/>
      <c r="L4" s="674"/>
      <c r="M4" s="2502" t="s">
        <v>11980</v>
      </c>
    </row>
    <row r="5" spans="1:13" ht="15">
      <c r="A5" s="1"/>
      <c r="B5" s="1782" t="str">
        <f>Texte!A4295</f>
        <v>Tierart / Hofdüngertyp</v>
      </c>
      <c r="C5" s="1783" t="str">
        <f>Texte!A4297</f>
        <v>Dung-</v>
      </c>
      <c r="D5" s="379"/>
      <c r="E5" s="379"/>
      <c r="F5" s="379"/>
      <c r="G5" s="379"/>
      <c r="H5" s="379"/>
      <c r="I5" s="1706"/>
      <c r="J5" s="379"/>
      <c r="K5" s="1706"/>
      <c r="L5" s="674"/>
      <c r="M5" s="2502" t="s">
        <v>11979</v>
      </c>
    </row>
    <row r="6" spans="1:13" ht="18">
      <c r="A6" s="1"/>
      <c r="B6" s="734">
        <f>Texte!A4296</f>
        <v>0</v>
      </c>
      <c r="C6" s="1784" t="str">
        <f>Texte!A4298</f>
        <v>typ</v>
      </c>
      <c r="D6" s="1785" t="str">
        <f>Texte!A4301</f>
        <v>Nges</v>
      </c>
      <c r="E6" s="1786" t="str">
        <f>Texte!A4302</f>
        <v>Nverf</v>
      </c>
      <c r="F6" s="1786"/>
      <c r="G6" s="1785" t="s">
        <v>7078</v>
      </c>
      <c r="H6" s="1785" t="s">
        <v>7079</v>
      </c>
      <c r="I6" s="1785" t="s">
        <v>7031</v>
      </c>
      <c r="J6" s="1786" t="str">
        <f>Texte!A4303</f>
        <v>Nverf in % von Nges</v>
      </c>
      <c r="K6" s="1787"/>
      <c r="L6" s="674"/>
      <c r="M6" s="2502"/>
    </row>
    <row r="7" spans="1:13" ht="13.7" customHeight="1">
      <c r="A7" s="80"/>
      <c r="B7" s="80"/>
      <c r="C7" s="1788" t="str">
        <f>Texte!A4299</f>
        <v>Index</v>
      </c>
      <c r="D7" s="1789"/>
      <c r="E7" s="1790" t="str">
        <f>Texte!A4306</f>
        <v>Acker</v>
      </c>
      <c r="F7" s="1790" t="str">
        <f>Texte!A4307</f>
        <v>Futter</v>
      </c>
      <c r="G7" s="1789"/>
      <c r="H7" s="1789"/>
      <c r="I7" s="1789"/>
      <c r="J7" s="1790" t="str">
        <f>Texte!A4306</f>
        <v>Acker</v>
      </c>
      <c r="K7" s="1790" t="str">
        <f>Texte!A4307</f>
        <v>Futter</v>
      </c>
      <c r="L7" s="674"/>
      <c r="M7" s="2502"/>
    </row>
    <row r="8" spans="1:13" ht="12.75">
      <c r="A8" s="1"/>
      <c r="B8" s="43" t="str">
        <f>Texte!A4308</f>
        <v>Milchvieh / Aufzucht</v>
      </c>
      <c r="C8" s="562"/>
      <c r="D8" s="1791"/>
      <c r="E8" s="1791"/>
      <c r="F8" s="1791"/>
      <c r="G8" s="1791"/>
      <c r="H8" s="1791"/>
      <c r="I8" s="1791"/>
      <c r="J8" s="1791"/>
      <c r="K8" s="1791"/>
      <c r="L8" s="674"/>
      <c r="M8" s="2502"/>
    </row>
    <row r="9" spans="1:13" ht="12.75">
      <c r="A9" s="1"/>
      <c r="B9" s="109" t="str">
        <f>Texte!A4309</f>
        <v>Vollgülle</v>
      </c>
      <c r="C9" s="462">
        <v>2</v>
      </c>
      <c r="D9" s="1792">
        <v>3.9</v>
      </c>
      <c r="E9" s="1792">
        <v>2.2000000000000002</v>
      </c>
      <c r="F9" s="1792">
        <v>2.7</v>
      </c>
      <c r="G9" s="1792">
        <v>1.7</v>
      </c>
      <c r="H9" s="1792">
        <v>7.5</v>
      </c>
      <c r="I9" s="2063">
        <v>0.61</v>
      </c>
      <c r="J9" s="1792">
        <v>45</v>
      </c>
      <c r="K9" s="1792">
        <v>55</v>
      </c>
      <c r="L9" s="674"/>
      <c r="M9" s="2502"/>
    </row>
    <row r="10" spans="1:13" ht="12.75">
      <c r="A10" s="1"/>
      <c r="B10" s="109" t="str">
        <f>Texte!A4310</f>
        <v>Gülle kotarm</v>
      </c>
      <c r="C10" s="462">
        <v>3</v>
      </c>
      <c r="D10" s="1792">
        <v>4.5</v>
      </c>
      <c r="E10" s="1792">
        <v>2.9</v>
      </c>
      <c r="F10" s="1792">
        <v>3.8</v>
      </c>
      <c r="G10" s="1792">
        <v>1.1000000000000001</v>
      </c>
      <c r="H10" s="1792">
        <v>11</v>
      </c>
      <c r="I10" s="2063">
        <v>0.57999999999999996</v>
      </c>
      <c r="J10" s="1792">
        <v>60</v>
      </c>
      <c r="K10" s="1792">
        <v>70</v>
      </c>
      <c r="L10" s="674"/>
      <c r="M10" s="2502"/>
    </row>
    <row r="11" spans="1:13" ht="12.75">
      <c r="A11" s="1"/>
      <c r="B11" s="109" t="str">
        <f>Texte!A4311</f>
        <v>Stapelmist</v>
      </c>
      <c r="C11" s="462">
        <v>4</v>
      </c>
      <c r="D11" s="1792">
        <v>4.5</v>
      </c>
      <c r="E11" s="1792">
        <v>0.9</v>
      </c>
      <c r="F11" s="1792">
        <v>1.8</v>
      </c>
      <c r="G11" s="1792">
        <v>3</v>
      </c>
      <c r="H11" s="1792">
        <v>6.1</v>
      </c>
      <c r="I11" s="2063">
        <v>0.93</v>
      </c>
      <c r="J11" s="1792">
        <v>15</v>
      </c>
      <c r="K11" s="1792">
        <v>20</v>
      </c>
      <c r="L11" s="674"/>
      <c r="M11" s="2502"/>
    </row>
    <row r="12" spans="1:13" ht="12.75">
      <c r="A12" s="1"/>
      <c r="B12" s="109" t="str">
        <f>Texte!A4312</f>
        <v>Laufstallmist</v>
      </c>
      <c r="C12" s="462">
        <v>5</v>
      </c>
      <c r="D12" s="1792">
        <v>4.9000000000000004</v>
      </c>
      <c r="E12" s="1792">
        <v>1.2</v>
      </c>
      <c r="F12" s="1792">
        <v>2.5</v>
      </c>
      <c r="G12" s="1792">
        <v>2.2000000000000002</v>
      </c>
      <c r="H12" s="1792">
        <v>10</v>
      </c>
      <c r="I12" s="2063">
        <v>0.82</v>
      </c>
      <c r="J12" s="1792">
        <v>20</v>
      </c>
      <c r="K12" s="1792">
        <v>25</v>
      </c>
      <c r="L12" s="674"/>
      <c r="M12" s="2502"/>
    </row>
    <row r="13" spans="1:13" ht="12.75">
      <c r="A13" s="1"/>
      <c r="B13" s="43" t="str">
        <f>Texte!A4313</f>
        <v>Rindviehmast über 160-tägig</v>
      </c>
      <c r="C13" s="562"/>
      <c r="D13" s="1793"/>
      <c r="E13" s="1794"/>
      <c r="F13" s="1794"/>
      <c r="G13" s="1794"/>
      <c r="H13" s="1794"/>
      <c r="I13" s="2064"/>
      <c r="J13" s="1794"/>
      <c r="K13" s="1794"/>
      <c r="L13" s="674"/>
      <c r="M13" s="2502"/>
    </row>
    <row r="14" spans="1:13" ht="12.75">
      <c r="A14" s="1182"/>
      <c r="B14" s="109" t="str">
        <f>Texte!A4317</f>
        <v>Vollgülle</v>
      </c>
      <c r="C14" s="462">
        <v>7</v>
      </c>
      <c r="D14" s="1792">
        <v>3.4</v>
      </c>
      <c r="E14" s="1792">
        <v>1.5</v>
      </c>
      <c r="F14" s="1792">
        <v>1.9</v>
      </c>
      <c r="G14" s="1792">
        <v>1.4</v>
      </c>
      <c r="H14" s="1792">
        <v>3.5</v>
      </c>
      <c r="I14" s="2063">
        <v>0.6</v>
      </c>
      <c r="J14" s="1792">
        <v>45</v>
      </c>
      <c r="K14" s="1792">
        <v>55</v>
      </c>
      <c r="L14" s="674"/>
      <c r="M14" s="2502"/>
    </row>
    <row r="15" spans="1:13" ht="12.75">
      <c r="A15" s="1"/>
      <c r="B15" s="109" t="str">
        <f>Texte!A4318</f>
        <v>Laufstallmist</v>
      </c>
      <c r="C15" s="462">
        <v>8</v>
      </c>
      <c r="D15" s="1792">
        <v>4.5</v>
      </c>
      <c r="E15" s="1792">
        <v>0.9</v>
      </c>
      <c r="F15" s="1792">
        <v>1.1000000000000001</v>
      </c>
      <c r="G15" s="1792">
        <v>1.8</v>
      </c>
      <c r="H15" s="1792">
        <v>7.1</v>
      </c>
      <c r="I15" s="2063">
        <v>0.8</v>
      </c>
      <c r="J15" s="1792">
        <v>20</v>
      </c>
      <c r="K15" s="1792">
        <v>25</v>
      </c>
      <c r="L15" s="674"/>
      <c r="M15" s="2502"/>
    </row>
    <row r="16" spans="1:13" ht="12.75">
      <c r="A16" s="1"/>
      <c r="B16" s="43" t="str">
        <f>Texte!A4319</f>
        <v>Kälber</v>
      </c>
      <c r="C16" s="562"/>
      <c r="D16" s="1793"/>
      <c r="E16" s="1794"/>
      <c r="F16" s="1794"/>
      <c r="G16" s="1794"/>
      <c r="H16" s="1794"/>
      <c r="I16" s="2064"/>
      <c r="J16" s="1794"/>
      <c r="K16" s="1794"/>
      <c r="L16" s="674"/>
      <c r="M16" s="2502"/>
    </row>
    <row r="17" spans="1:13" ht="12.75">
      <c r="A17" s="1182"/>
      <c r="B17" s="109" t="str">
        <f>Texte!A4320</f>
        <v>Kälbermist</v>
      </c>
      <c r="C17" s="462">
        <v>10</v>
      </c>
      <c r="D17" s="1792">
        <v>5</v>
      </c>
      <c r="E17" s="1792">
        <v>1.3</v>
      </c>
      <c r="F17" s="1792">
        <v>2.5</v>
      </c>
      <c r="G17" s="1792">
        <v>2.5</v>
      </c>
      <c r="H17" s="1792">
        <v>5.7</v>
      </c>
      <c r="I17" s="2063">
        <v>0.89</v>
      </c>
      <c r="J17" s="1792">
        <v>20</v>
      </c>
      <c r="K17" s="1792">
        <v>25</v>
      </c>
      <c r="L17" s="674"/>
      <c r="M17" s="2502"/>
    </row>
    <row r="18" spans="1:13" ht="12.75">
      <c r="A18" s="1"/>
      <c r="B18" s="43" t="str">
        <f>Texte!A4321</f>
        <v>Pferde</v>
      </c>
      <c r="C18" s="562"/>
      <c r="D18" s="1792"/>
      <c r="E18" s="1792"/>
      <c r="F18" s="1792"/>
      <c r="G18" s="1792"/>
      <c r="H18" s="1792"/>
      <c r="I18" s="2063"/>
      <c r="J18" s="1792"/>
      <c r="K18" s="1792"/>
      <c r="L18" s="674"/>
      <c r="M18" s="2502"/>
    </row>
    <row r="19" spans="1:13" ht="12.75">
      <c r="A19" s="1"/>
      <c r="B19" s="109" t="str">
        <f>Texte!A4322</f>
        <v>Pferdemist frisch</v>
      </c>
      <c r="C19" s="462">
        <v>12</v>
      </c>
      <c r="D19" s="1792">
        <v>4.4000000000000004</v>
      </c>
      <c r="E19" s="1792">
        <v>0.3</v>
      </c>
      <c r="F19" s="1792">
        <v>0.8</v>
      </c>
      <c r="G19" s="1792">
        <v>2.5</v>
      </c>
      <c r="H19" s="1792">
        <v>9.8000000000000007</v>
      </c>
      <c r="I19" s="2063">
        <v>0.6</v>
      </c>
      <c r="J19" s="1792">
        <v>10</v>
      </c>
      <c r="K19" s="1792">
        <v>15</v>
      </c>
      <c r="L19" s="674"/>
      <c r="M19" s="2502"/>
    </row>
    <row r="20" spans="1:13" ht="12.75">
      <c r="A20" s="1"/>
      <c r="B20" s="109" t="str">
        <f>Texte!A4323</f>
        <v>Pferdemist</v>
      </c>
      <c r="C20" s="462">
        <v>13</v>
      </c>
      <c r="D20" s="1792">
        <v>6.8</v>
      </c>
      <c r="E20" s="1792">
        <v>0.7</v>
      </c>
      <c r="F20" s="1792">
        <v>1.8</v>
      </c>
      <c r="G20" s="1792">
        <v>5</v>
      </c>
      <c r="H20" s="1792">
        <v>19.5</v>
      </c>
      <c r="I20" s="2063">
        <v>1.3</v>
      </c>
      <c r="J20" s="1792">
        <v>10</v>
      </c>
      <c r="K20" s="1792">
        <v>15</v>
      </c>
      <c r="L20" s="674"/>
      <c r="M20" s="2502"/>
    </row>
    <row r="21" spans="1:13" ht="12.75">
      <c r="A21" s="1"/>
      <c r="B21" s="43" t="str">
        <f>Texte!A4324</f>
        <v>Schafe / Ziegen</v>
      </c>
      <c r="C21" s="562"/>
      <c r="D21" s="1792"/>
      <c r="E21" s="1792"/>
      <c r="F21" s="1792"/>
      <c r="G21" s="1792"/>
      <c r="H21" s="1792"/>
      <c r="I21" s="2063"/>
      <c r="J21" s="1792"/>
      <c r="K21" s="1792"/>
      <c r="L21" s="674"/>
      <c r="M21" s="2502"/>
    </row>
    <row r="22" spans="1:13" ht="12.75">
      <c r="A22" s="1"/>
      <c r="B22" s="109" t="str">
        <f>Texte!A4325</f>
        <v>Schaf- / Ziegenmist</v>
      </c>
      <c r="C22" s="462">
        <v>15</v>
      </c>
      <c r="D22" s="1792">
        <v>8.1999999999999993</v>
      </c>
      <c r="E22" s="1792">
        <v>3.3</v>
      </c>
      <c r="F22" s="1792">
        <v>4.9000000000000004</v>
      </c>
      <c r="G22" s="1792">
        <v>3.7</v>
      </c>
      <c r="H22" s="1792">
        <v>17</v>
      </c>
      <c r="I22" s="2063">
        <v>1.3</v>
      </c>
      <c r="J22" s="1792">
        <v>30</v>
      </c>
      <c r="K22" s="1792">
        <v>40</v>
      </c>
      <c r="L22" s="674"/>
      <c r="M22" s="2502"/>
    </row>
    <row r="23" spans="1:13" ht="12.75">
      <c r="A23" s="1"/>
      <c r="B23" s="43" t="str">
        <f>Texte!A4326</f>
        <v>Kaninchen</v>
      </c>
      <c r="C23" s="562"/>
      <c r="D23" s="1792"/>
      <c r="E23" s="1792"/>
      <c r="F23" s="1792"/>
      <c r="G23" s="1792"/>
      <c r="H23" s="1792"/>
      <c r="I23" s="2063"/>
      <c r="J23" s="1792"/>
      <c r="K23" s="1792"/>
      <c r="L23" s="674"/>
      <c r="M23" s="2502"/>
    </row>
    <row r="24" spans="1:13" ht="12.75">
      <c r="A24" s="1"/>
      <c r="B24" s="109" t="str">
        <f>Texte!A4327</f>
        <v>Zibbenmist</v>
      </c>
      <c r="C24" s="462">
        <v>17</v>
      </c>
      <c r="D24" s="1792">
        <v>18</v>
      </c>
      <c r="E24" s="1792">
        <v>6.3</v>
      </c>
      <c r="F24" s="1792">
        <v>10.8</v>
      </c>
      <c r="G24" s="1792">
        <v>4.5999999999999996</v>
      </c>
      <c r="H24" s="1792">
        <v>17</v>
      </c>
      <c r="I24" s="2063">
        <v>0.01</v>
      </c>
      <c r="J24" s="1792">
        <v>35</v>
      </c>
      <c r="K24" s="1792">
        <v>60</v>
      </c>
      <c r="L24" s="674"/>
      <c r="M24" s="2502"/>
    </row>
    <row r="25" spans="1:13" ht="12.75">
      <c r="A25" s="1"/>
      <c r="B25" s="109" t="str">
        <f>Texte!A4328</f>
        <v>Jungtiermist</v>
      </c>
      <c r="C25" s="462">
        <v>18</v>
      </c>
      <c r="D25" s="1792">
        <v>29</v>
      </c>
      <c r="E25" s="1792">
        <v>10.199999999999999</v>
      </c>
      <c r="F25" s="1792">
        <v>17.399999999999999</v>
      </c>
      <c r="G25" s="1792">
        <v>7.6</v>
      </c>
      <c r="H25" s="1792">
        <v>24</v>
      </c>
      <c r="I25" s="2063">
        <v>0.01</v>
      </c>
      <c r="J25" s="1792">
        <v>35</v>
      </c>
      <c r="K25" s="1792">
        <v>60</v>
      </c>
      <c r="L25" s="674"/>
      <c r="M25" s="2502"/>
    </row>
    <row r="26" spans="1:13" ht="12.75">
      <c r="A26" s="1"/>
      <c r="B26" s="43" t="str">
        <f>Texte!A4329</f>
        <v>Schweine</v>
      </c>
      <c r="C26" s="562"/>
      <c r="D26" s="1792"/>
      <c r="E26" s="1792"/>
      <c r="F26" s="1792"/>
      <c r="G26" s="1792"/>
      <c r="H26" s="1792"/>
      <c r="I26" s="2063"/>
      <c r="J26" s="1792"/>
      <c r="K26" s="1792"/>
      <c r="L26" s="674"/>
      <c r="M26" s="2502"/>
    </row>
    <row r="27" spans="1:13" ht="12.75">
      <c r="A27" s="1"/>
      <c r="B27" s="109" t="str">
        <f>Texte!A4330</f>
        <v>Schweinegülle Mast</v>
      </c>
      <c r="C27" s="462">
        <v>20</v>
      </c>
      <c r="D27" s="1792">
        <v>6.5</v>
      </c>
      <c r="E27" s="1792">
        <v>3.3</v>
      </c>
      <c r="F27" s="1792">
        <v>4.5999999999999996</v>
      </c>
      <c r="G27" s="1792">
        <v>3.2</v>
      </c>
      <c r="H27" s="1792">
        <v>3.6</v>
      </c>
      <c r="I27" s="2063">
        <v>0.88</v>
      </c>
      <c r="J27" s="1792">
        <v>50</v>
      </c>
      <c r="K27" s="1792">
        <v>60</v>
      </c>
      <c r="L27" s="674"/>
      <c r="M27" s="2502"/>
    </row>
    <row r="28" spans="1:13" ht="12.75">
      <c r="A28" s="1"/>
      <c r="B28" s="109" t="str">
        <f>Texte!A4331</f>
        <v>Schweinegülle Zucht</v>
      </c>
      <c r="C28" s="462">
        <v>21</v>
      </c>
      <c r="D28" s="1792">
        <v>4.7</v>
      </c>
      <c r="E28" s="1792">
        <v>2.4</v>
      </c>
      <c r="F28" s="1792">
        <v>3.4</v>
      </c>
      <c r="G28" s="1792">
        <v>2.7</v>
      </c>
      <c r="H28" s="1792">
        <v>3</v>
      </c>
      <c r="I28" s="2063">
        <v>0.56000000000000005</v>
      </c>
      <c r="J28" s="1792">
        <v>50</v>
      </c>
      <c r="K28" s="1792">
        <v>60</v>
      </c>
      <c r="L28" s="674"/>
      <c r="M28" s="2502"/>
    </row>
    <row r="29" spans="1:13" ht="12.75">
      <c r="A29" s="1"/>
      <c r="B29" s="109" t="str">
        <f>Texte!A4332</f>
        <v>Schweinemist</v>
      </c>
      <c r="C29" s="462">
        <v>22</v>
      </c>
      <c r="D29" s="1792">
        <v>8.8000000000000007</v>
      </c>
      <c r="E29" s="1792">
        <v>3.5</v>
      </c>
      <c r="F29" s="1792">
        <v>5.3</v>
      </c>
      <c r="G29" s="1792">
        <v>6.6</v>
      </c>
      <c r="H29" s="1792">
        <v>7.3</v>
      </c>
      <c r="I29" s="2063">
        <v>1.5</v>
      </c>
      <c r="J29" s="1792">
        <v>35</v>
      </c>
      <c r="K29" s="1792">
        <v>60</v>
      </c>
      <c r="L29" s="674"/>
      <c r="M29" s="2502"/>
    </row>
    <row r="30" spans="1:13" ht="12.75">
      <c r="A30" s="1"/>
      <c r="B30" s="43" t="str">
        <f>Texte!A4333</f>
        <v>Geflügel</v>
      </c>
      <c r="C30" s="562"/>
      <c r="D30" s="1793"/>
      <c r="E30" s="1794"/>
      <c r="F30" s="1794"/>
      <c r="G30" s="1794"/>
      <c r="H30" s="1794"/>
      <c r="I30" s="2064"/>
      <c r="J30" s="1794"/>
      <c r="K30" s="1794"/>
      <c r="L30" s="674"/>
      <c r="M30" s="2502"/>
    </row>
    <row r="31" spans="1:13" ht="12.75">
      <c r="A31" s="1"/>
      <c r="B31" s="109" t="str">
        <f>Texte!A4334</f>
        <v>Hennenkot (Kotband)</v>
      </c>
      <c r="C31" s="462">
        <v>24</v>
      </c>
      <c r="D31" s="1792">
        <v>21</v>
      </c>
      <c r="E31" s="1792">
        <v>8.4</v>
      </c>
      <c r="F31" s="1792">
        <v>13</v>
      </c>
      <c r="G31" s="1792">
        <v>17</v>
      </c>
      <c r="H31" s="1792">
        <v>11</v>
      </c>
      <c r="I31" s="2063">
        <v>2.4</v>
      </c>
      <c r="J31" s="1792">
        <v>40</v>
      </c>
      <c r="K31" s="1792">
        <v>60</v>
      </c>
      <c r="L31" s="674"/>
      <c r="M31" s="2502"/>
    </row>
    <row r="32" spans="1:13" ht="12.75">
      <c r="A32" s="1"/>
      <c r="B32" s="109" t="str">
        <f>Texte!A4335</f>
        <v>Hennenmist (Kotgrube, Bodenhaltung)</v>
      </c>
      <c r="C32" s="462">
        <v>25</v>
      </c>
      <c r="D32" s="1792">
        <v>21</v>
      </c>
      <c r="E32" s="1792">
        <v>11</v>
      </c>
      <c r="F32" s="1792">
        <v>16</v>
      </c>
      <c r="G32" s="1792">
        <v>30</v>
      </c>
      <c r="H32" s="1792">
        <v>20</v>
      </c>
      <c r="I32" s="2063">
        <v>4.3</v>
      </c>
      <c r="J32" s="1792">
        <v>35</v>
      </c>
      <c r="K32" s="1792">
        <v>60</v>
      </c>
      <c r="L32" s="674"/>
      <c r="M32" s="2502"/>
    </row>
    <row r="33" spans="1:13" ht="12.75">
      <c r="A33" s="1"/>
      <c r="B33" s="109" t="str">
        <f>Texte!A4336</f>
        <v>Junghennenmist (Kotband)</v>
      </c>
      <c r="C33" s="462">
        <v>26</v>
      </c>
      <c r="D33" s="1792">
        <v>26</v>
      </c>
      <c r="E33" s="1792">
        <v>8.4</v>
      </c>
      <c r="F33" s="1792">
        <v>13</v>
      </c>
      <c r="G33" s="1792">
        <v>17</v>
      </c>
      <c r="H33" s="1792">
        <v>11</v>
      </c>
      <c r="I33" s="2063">
        <v>2.4</v>
      </c>
      <c r="J33" s="1792">
        <v>40</v>
      </c>
      <c r="K33" s="1792">
        <v>60</v>
      </c>
      <c r="L33" s="674"/>
      <c r="M33" s="2502"/>
    </row>
    <row r="34" spans="1:13" ht="12.75">
      <c r="A34" s="1"/>
      <c r="B34" s="109" t="str">
        <f>Texte!A4337</f>
        <v>Junghennenmist (Kotgrube, Bodenhaltung)</v>
      </c>
      <c r="C34" s="462">
        <v>27</v>
      </c>
      <c r="D34" s="1792">
        <v>26</v>
      </c>
      <c r="E34" s="1792">
        <v>11</v>
      </c>
      <c r="F34" s="1792">
        <v>16</v>
      </c>
      <c r="G34" s="1792">
        <v>30</v>
      </c>
      <c r="H34" s="1792">
        <v>20</v>
      </c>
      <c r="I34" s="2063">
        <v>4.3</v>
      </c>
      <c r="J34" s="1792">
        <v>35</v>
      </c>
      <c r="K34" s="1792">
        <v>60</v>
      </c>
      <c r="L34" s="674"/>
      <c r="M34" s="2502"/>
    </row>
    <row r="35" spans="1:13" ht="12.75">
      <c r="A35" s="1"/>
      <c r="B35" s="109" t="str">
        <f>Texte!A4338</f>
        <v>Pouletmist</v>
      </c>
      <c r="C35" s="462">
        <v>28</v>
      </c>
      <c r="D35" s="1792">
        <v>32</v>
      </c>
      <c r="E35" s="1792">
        <v>13</v>
      </c>
      <c r="F35" s="1792">
        <v>19</v>
      </c>
      <c r="G35" s="1792">
        <v>17</v>
      </c>
      <c r="H35" s="1792">
        <v>28</v>
      </c>
      <c r="I35" s="2063">
        <v>5.5</v>
      </c>
      <c r="J35" s="1792">
        <v>35</v>
      </c>
      <c r="K35" s="1792">
        <v>60</v>
      </c>
      <c r="L35" s="674"/>
      <c r="M35" s="2502"/>
    </row>
    <row r="36" spans="1:13" ht="12.75">
      <c r="B36" s="109" t="str">
        <f>Texte!A4339</f>
        <v>Trutenmist</v>
      </c>
      <c r="C36" s="462">
        <v>29</v>
      </c>
      <c r="D36" s="1792">
        <v>28</v>
      </c>
      <c r="E36" s="1792">
        <v>12</v>
      </c>
      <c r="F36" s="1792">
        <v>18</v>
      </c>
      <c r="G36" s="1792">
        <v>23</v>
      </c>
      <c r="H36" s="1792">
        <v>13</v>
      </c>
      <c r="I36" s="2063">
        <v>6</v>
      </c>
      <c r="J36" s="1792">
        <v>35</v>
      </c>
      <c r="K36" s="1792">
        <v>60</v>
      </c>
      <c r="L36" s="674"/>
      <c r="M36" s="2502"/>
    </row>
    <row r="37" spans="1:13" ht="12.75">
      <c r="A37" s="1"/>
      <c r="B37" s="43" t="str">
        <f>Texte!A4315</f>
        <v>Mutterkuhkälber bis 160-tägig</v>
      </c>
      <c r="C37" s="462"/>
      <c r="D37" s="1792"/>
      <c r="E37" s="1792"/>
      <c r="F37" s="1792"/>
      <c r="G37" s="1792"/>
      <c r="H37" s="1792"/>
      <c r="I37" s="2063"/>
      <c r="J37" s="1792"/>
      <c r="K37" s="1792"/>
      <c r="L37" s="674"/>
      <c r="M37" s="2502"/>
    </row>
    <row r="38" spans="1:13" ht="12.75">
      <c r="A38" s="1"/>
      <c r="B38" s="109" t="str">
        <f>Texte!$A$4317</f>
        <v>Vollgülle</v>
      </c>
      <c r="C38" s="462">
        <v>31</v>
      </c>
      <c r="D38" s="1792">
        <v>4.5</v>
      </c>
      <c r="E38" s="1792">
        <v>2.0249999999999999</v>
      </c>
      <c r="F38" s="1792">
        <v>2.4750000000000001</v>
      </c>
      <c r="G38" s="1792">
        <v>2</v>
      </c>
      <c r="H38" s="1792">
        <v>4.7</v>
      </c>
      <c r="I38" s="2063">
        <v>0.23</v>
      </c>
      <c r="J38" s="1792">
        <v>45</v>
      </c>
      <c r="K38" s="1792">
        <v>55</v>
      </c>
      <c r="L38" s="674"/>
      <c r="M38" s="2502"/>
    </row>
    <row r="39" spans="1:13" ht="12.75">
      <c r="A39" s="1"/>
      <c r="B39" s="109" t="str">
        <f>Texte!$A$4318</f>
        <v>Laufstallmist</v>
      </c>
      <c r="C39" s="462">
        <v>32</v>
      </c>
      <c r="D39" s="1792">
        <v>5.4</v>
      </c>
      <c r="E39" s="1792">
        <v>1.08</v>
      </c>
      <c r="F39" s="1792">
        <v>1.35</v>
      </c>
      <c r="G39" s="1792">
        <v>2.4</v>
      </c>
      <c r="H39" s="1792">
        <v>7.9</v>
      </c>
      <c r="I39" s="2063">
        <v>0.36</v>
      </c>
      <c r="J39" s="1792">
        <v>20</v>
      </c>
      <c r="K39" s="1792">
        <v>25</v>
      </c>
      <c r="L39" s="674"/>
      <c r="M39" s="2502"/>
    </row>
    <row r="40" spans="1:13" ht="12.75">
      <c r="A40" s="1"/>
      <c r="B40" s="43" t="str">
        <f>Texte!A4316</f>
        <v>Mutterkuhkälber über 160-tägig</v>
      </c>
      <c r="C40" s="462"/>
      <c r="D40" s="1792"/>
      <c r="E40" s="1792"/>
      <c r="F40" s="1792"/>
      <c r="G40" s="1792"/>
      <c r="H40" s="1792"/>
      <c r="I40" s="2063"/>
      <c r="J40" s="1792"/>
      <c r="K40" s="1792"/>
      <c r="L40" s="674"/>
      <c r="M40" s="2502"/>
    </row>
    <row r="41" spans="1:13" ht="12.75">
      <c r="A41" s="1"/>
      <c r="B41" s="109" t="str">
        <f>Texte!$A$4317</f>
        <v>Vollgülle</v>
      </c>
      <c r="C41" s="462">
        <v>34</v>
      </c>
      <c r="D41" s="1792">
        <v>5.3</v>
      </c>
      <c r="E41" s="1792">
        <v>2.3849999999999998</v>
      </c>
      <c r="F41" s="1792">
        <v>2.915</v>
      </c>
      <c r="G41" s="1792">
        <v>2.1</v>
      </c>
      <c r="H41" s="1792">
        <v>10.199999999999999</v>
      </c>
      <c r="I41" s="2063">
        <v>0.57999999999999996</v>
      </c>
      <c r="J41" s="1792">
        <v>45</v>
      </c>
      <c r="K41" s="1792">
        <v>55</v>
      </c>
      <c r="L41" s="674"/>
      <c r="M41" s="2502"/>
    </row>
    <row r="42" spans="1:13" ht="12.75">
      <c r="A42" s="1"/>
      <c r="B42" s="109" t="str">
        <f>Texte!$A$4318</f>
        <v>Laufstallmist</v>
      </c>
      <c r="C42" s="462">
        <v>35</v>
      </c>
      <c r="D42" s="1792">
        <v>6.1</v>
      </c>
      <c r="E42" s="1792">
        <v>1.22</v>
      </c>
      <c r="F42" s="1792">
        <v>1.5249999999999999</v>
      </c>
      <c r="G42" s="1792">
        <v>2.2999999999999998</v>
      </c>
      <c r="H42" s="1792">
        <v>12.5</v>
      </c>
      <c r="I42" s="2063">
        <v>0.69</v>
      </c>
      <c r="J42" s="1792">
        <v>20</v>
      </c>
      <c r="K42" s="1792">
        <v>25</v>
      </c>
      <c r="L42" s="674"/>
      <c r="M42" s="2502"/>
    </row>
    <row r="43" spans="1:13" ht="12.75">
      <c r="A43" s="1"/>
      <c r="B43" s="43" t="str">
        <f>Texte!A4314</f>
        <v>Rindviehmast bis 160-tägig</v>
      </c>
      <c r="C43" s="462"/>
      <c r="D43" s="1792"/>
      <c r="E43" s="1792"/>
      <c r="F43" s="1792"/>
      <c r="G43" s="1792"/>
      <c r="H43" s="1792"/>
      <c r="I43" s="2063"/>
      <c r="J43" s="1792"/>
      <c r="K43" s="1792"/>
      <c r="L43" s="674"/>
      <c r="M43" s="2502"/>
    </row>
    <row r="44" spans="1:13" ht="12.75">
      <c r="A44" s="1"/>
      <c r="B44" s="109" t="str">
        <f>Texte!$A$4317</f>
        <v>Vollgülle</v>
      </c>
      <c r="C44" s="462">
        <v>37</v>
      </c>
      <c r="D44" s="1792">
        <v>4.2</v>
      </c>
      <c r="E44" s="1792">
        <v>1.89</v>
      </c>
      <c r="F44" s="1792">
        <v>2.31</v>
      </c>
      <c r="G44" s="1792">
        <v>1.8</v>
      </c>
      <c r="H44" s="1792">
        <v>3.4</v>
      </c>
      <c r="I44" s="2063">
        <v>0.8</v>
      </c>
      <c r="J44" s="1792">
        <v>45</v>
      </c>
      <c r="K44" s="1792">
        <v>55</v>
      </c>
      <c r="L44" s="674"/>
      <c r="M44" s="2502"/>
    </row>
    <row r="45" spans="1:13" ht="12.75">
      <c r="A45" s="1"/>
      <c r="B45" s="109" t="str">
        <f>Texte!$A$4318</f>
        <v>Laufstallmist</v>
      </c>
      <c r="C45" s="462">
        <v>38</v>
      </c>
      <c r="D45" s="1792">
        <v>5.5</v>
      </c>
      <c r="E45" s="1792">
        <v>1.1000000000000001</v>
      </c>
      <c r="F45" s="1792">
        <v>1.375</v>
      </c>
      <c r="G45" s="1792">
        <v>2.5</v>
      </c>
      <c r="H45" s="1792">
        <v>8.1</v>
      </c>
      <c r="I45" s="2063">
        <v>1</v>
      </c>
      <c r="J45" s="1792">
        <v>20</v>
      </c>
      <c r="K45" s="1792">
        <v>25</v>
      </c>
      <c r="L45" s="674"/>
      <c r="M45" s="2502"/>
    </row>
    <row r="46" spans="1:13">
      <c r="M46" s="2502"/>
    </row>
  </sheetData>
  <phoneticPr fontId="0" type="noConversion"/>
  <pageMargins left="0.9" right="0.38" top="0.55118110236220463" bottom="0.39" header="0" footer="0.19685039370078738"/>
  <pageSetup paperSize="9" orientation="landscape" r:id="rId1"/>
  <headerFooter alignWithMargins="0">
    <oddFooter>&amp;CSeite &amp;P &amp;R&amp;"Arial,Standard"&amp;9Seite &amp;P&amp;L&amp;"Arial,Fett"&amp;11AGRIDEA &amp;"Arial,Standard"&amp;9 Nachweis Version 9.9</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4">
    <tabColor indexed="31"/>
  </sheetPr>
  <dimension ref="A1:H25"/>
  <sheetViews>
    <sheetView showRowColHeaders="0" workbookViewId="0">
      <selection activeCell="B7" sqref="B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 customWidth="1"/>
    <col min="3" max="3" width="58.5703125" customWidth="1"/>
    <col min="4" max="4" width="17.5703125" customWidth="1"/>
  </cols>
  <sheetData>
    <row r="1" spans="1:8" s="872" customFormat="1" ht="12.75">
      <c r="B1" s="874"/>
      <c r="C1" s="874"/>
      <c r="D1" s="874"/>
      <c r="E1" s="1721"/>
      <c r="F1" s="1721"/>
      <c r="G1" s="874"/>
      <c r="H1" s="874"/>
    </row>
    <row r="2" spans="1:8" s="872" customFormat="1" ht="20.25">
      <c r="A2" s="1"/>
      <c r="B2" s="1180" t="str">
        <f>Q!F76</f>
        <v>Wasserverbrauchstabelle</v>
      </c>
      <c r="C2" s="1"/>
      <c r="D2" s="1"/>
      <c r="E2" s="749"/>
      <c r="F2" s="749"/>
      <c r="G2" s="2"/>
      <c r="H2" s="2"/>
    </row>
    <row r="3" spans="1:8" ht="6" customHeight="1">
      <c r="B3" s="674"/>
      <c r="C3" s="674"/>
      <c r="D3" s="674"/>
      <c r="E3" s="674"/>
      <c r="F3" s="674"/>
      <c r="G3" s="674"/>
      <c r="H3" s="674"/>
    </row>
    <row r="4" spans="1:8" ht="15.75">
      <c r="B4" s="1778" t="str">
        <f>Texte!A4341</f>
        <v>Herkunft des Verdünnungswassers</v>
      </c>
      <c r="C4" s="1778"/>
      <c r="D4" s="1779" t="str">
        <f>Texte!A4342</f>
        <v>Einheit</v>
      </c>
      <c r="E4" s="1780" t="str">
        <f>Texte!A4343</f>
        <v>Wassermenge pro Monat</v>
      </c>
      <c r="F4" s="1780"/>
      <c r="G4" s="1781"/>
      <c r="H4" s="1781"/>
    </row>
    <row r="5" spans="1:8">
      <c r="B5" s="874"/>
      <c r="C5" s="874"/>
      <c r="D5" s="1389"/>
      <c r="E5" s="1089" t="str">
        <f>Texte!A4344</f>
        <v>Sommer</v>
      </c>
      <c r="F5" s="1089"/>
      <c r="G5" s="1089" t="str">
        <f>Texte!A4345</f>
        <v>Winter</v>
      </c>
      <c r="H5" s="1089"/>
    </row>
    <row r="6" spans="1:8">
      <c r="B6" s="874"/>
      <c r="C6" s="874"/>
      <c r="D6" s="874"/>
      <c r="E6" s="1389" t="str">
        <f>Texte!A4346</f>
        <v>Variable</v>
      </c>
      <c r="F6" s="1389" t="str">
        <f>Texte!A4347</f>
        <v>Konstante</v>
      </c>
      <c r="G6" s="1389" t="str">
        <f>Texte!A4346</f>
        <v>Variable</v>
      </c>
      <c r="H6" s="1389" t="str">
        <f>Texte!A4347</f>
        <v>Konstante</v>
      </c>
    </row>
    <row r="7" spans="1:8" ht="13.5">
      <c r="B7" s="874" t="str">
        <f>Texte!A4348</f>
        <v>Mistplatz</v>
      </c>
      <c r="C7" s="874"/>
      <c r="D7" s="125" t="s">
        <v>7080</v>
      </c>
      <c r="E7" s="1722">
        <v>0.1</v>
      </c>
      <c r="F7" s="1722"/>
      <c r="G7" s="1722">
        <v>0.1</v>
      </c>
      <c r="H7" s="1722"/>
    </row>
    <row r="8" spans="1:8" ht="13.5">
      <c r="B8" s="874" t="str">
        <f>Texte!A4349</f>
        <v>Befestigte, nicht überdachte Laufplätze</v>
      </c>
      <c r="C8" s="874"/>
      <c r="D8" s="125" t="s">
        <v>7080</v>
      </c>
      <c r="E8" s="1722">
        <v>0.1</v>
      </c>
      <c r="F8" s="1722"/>
      <c r="G8" s="1722">
        <v>0.1</v>
      </c>
      <c r="H8" s="1722"/>
    </row>
    <row r="9" spans="1:8" ht="13.5">
      <c r="B9" s="874" t="str">
        <f>Texte!A4350</f>
        <v>Nicht überdachte Flachsiloplatten mit vollständiger Entwässerung in Güllengrube</v>
      </c>
      <c r="C9" s="874"/>
      <c r="D9" s="125" t="s">
        <v>7080</v>
      </c>
      <c r="E9" s="1722">
        <v>0.1</v>
      </c>
      <c r="F9" s="1722"/>
      <c r="G9" s="1722">
        <v>0.1</v>
      </c>
      <c r="H9" s="1722"/>
    </row>
    <row r="10" spans="1:8" ht="13.5">
      <c r="B10" s="874" t="str">
        <f>Texte!A4351</f>
        <v>Nicht überdachte Flachsiloplatten mit  Entwässerung über Silosaftrinne</v>
      </c>
      <c r="C10" s="874"/>
      <c r="D10" s="125" t="s">
        <v>7080</v>
      </c>
      <c r="E10" s="1722">
        <v>2.5000000000000001E-2</v>
      </c>
      <c r="F10" s="1722"/>
      <c r="G10" s="1722">
        <v>2.5000000000000001E-2</v>
      </c>
      <c r="H10" s="1722"/>
    </row>
    <row r="11" spans="1:8" ht="13.5">
      <c r="B11" s="874" t="str">
        <f>Texte!A4352</f>
        <v>Weitere in die Güllegrube entwässerte Flächen</v>
      </c>
      <c r="C11" s="874"/>
      <c r="D11" s="125" t="s">
        <v>7080</v>
      </c>
      <c r="E11" s="1722">
        <v>0.1</v>
      </c>
      <c r="F11" s="1722"/>
      <c r="G11" s="1722">
        <v>0.1</v>
      </c>
      <c r="H11" s="1722"/>
    </row>
    <row r="12" spans="1:8">
      <c r="B12" s="874" t="str">
        <f>Texte!A4353</f>
        <v>Reinigung:</v>
      </c>
      <c r="C12" s="874" t="str">
        <f>Texte!A4354</f>
        <v>Milchkammer</v>
      </c>
      <c r="D12" s="125" t="str">
        <f>Texte!A4368</f>
        <v>Anzahl Melkeinheiten</v>
      </c>
      <c r="E12" s="1722">
        <v>0.05</v>
      </c>
      <c r="F12" s="1722">
        <v>0.5</v>
      </c>
      <c r="G12" s="1722">
        <v>0.05</v>
      </c>
      <c r="H12" s="1722">
        <v>0.5</v>
      </c>
    </row>
    <row r="13" spans="1:8">
      <c r="B13" s="874"/>
      <c r="C13" s="874" t="str">
        <f>Texte!A4355</f>
        <v>Kühltank</v>
      </c>
      <c r="D13" s="125" t="str">
        <f>Texte!A4369</f>
        <v>Volumen in Liter</v>
      </c>
      <c r="E13" s="1722">
        <v>1.5E-3</v>
      </c>
      <c r="F13" s="1722"/>
      <c r="G13" s="1722">
        <v>1.5E-3</v>
      </c>
      <c r="H13" s="1722"/>
    </row>
    <row r="14" spans="1:8">
      <c r="B14" s="874"/>
      <c r="C14" s="874" t="str">
        <f>Texte!A4356</f>
        <v>Eimermelkanlage</v>
      </c>
      <c r="D14" s="125" t="str">
        <f>Texte!A4368</f>
        <v>Anzahl Melkeinheiten</v>
      </c>
      <c r="E14" s="1722">
        <v>0.5</v>
      </c>
      <c r="F14" s="1722">
        <v>3</v>
      </c>
      <c r="G14" s="1722">
        <v>0.5</v>
      </c>
      <c r="H14" s="1722">
        <v>3</v>
      </c>
    </row>
    <row r="15" spans="1:8">
      <c r="B15" s="874"/>
      <c r="C15" s="874" t="str">
        <f>Texte!A4357</f>
        <v>Rohrmelkanlage (Anbindestall oder Melkstand)</v>
      </c>
      <c r="D15" s="125" t="str">
        <f>Texte!A4368</f>
        <v>Anzahl Melkeinheiten</v>
      </c>
      <c r="E15" s="1722">
        <v>0.5</v>
      </c>
      <c r="F15" s="1722">
        <v>4</v>
      </c>
      <c r="G15" s="1722">
        <v>0.5</v>
      </c>
      <c r="H15" s="1722">
        <v>4</v>
      </c>
    </row>
    <row r="16" spans="1:8">
      <c r="B16" s="874"/>
      <c r="C16" s="874" t="str">
        <f>Texte!A4358</f>
        <v>Standplätze im Melkstand</v>
      </c>
      <c r="D16" s="125" t="str">
        <f>Texte!A4370</f>
        <v>Anzahl Plätze</v>
      </c>
      <c r="E16" s="1722">
        <v>0.5</v>
      </c>
      <c r="F16" s="1722"/>
      <c r="G16" s="1722">
        <v>0.5</v>
      </c>
      <c r="H16" s="1722"/>
    </row>
    <row r="17" spans="2:8">
      <c r="B17" s="874"/>
      <c r="C17" s="874" t="str">
        <f>Texte!A4359</f>
        <v>Automatisches Melksystem (AMS)</v>
      </c>
      <c r="D17" s="125" t="str">
        <f>Texte!A4371</f>
        <v>Einheit</v>
      </c>
      <c r="E17" s="1722">
        <v>25</v>
      </c>
      <c r="F17" s="1722"/>
      <c r="G17" s="1722">
        <v>25</v>
      </c>
      <c r="H17" s="1722"/>
    </row>
    <row r="18" spans="2:8">
      <c r="B18" s="874" t="str">
        <f>Texte!A4360</f>
        <v>Haushalt:</v>
      </c>
      <c r="C18" s="874" t="str">
        <f>Texte!A4361</f>
        <v>normale Verhältnisse (Waschmasch., Dusche/Bad, WC)</v>
      </c>
      <c r="D18" s="125" t="str">
        <f>Texte!A4372</f>
        <v>Einwohner</v>
      </c>
      <c r="E18" s="1722">
        <v>5</v>
      </c>
      <c r="F18" s="1722"/>
      <c r="G18" s="1722">
        <v>5</v>
      </c>
      <c r="H18" s="1722"/>
    </row>
    <row r="19" spans="2:8">
      <c r="B19" s="874"/>
      <c r="C19" s="874" t="str">
        <f>Texte!A4362</f>
        <v>einfache sanitäre Einrichtungen</v>
      </c>
      <c r="D19" s="125" t="str">
        <f>Texte!A4372</f>
        <v>Einwohner</v>
      </c>
      <c r="E19" s="1722">
        <v>3.5</v>
      </c>
      <c r="F19" s="1722"/>
      <c r="G19" s="1722">
        <v>3.5</v>
      </c>
      <c r="H19" s="1722"/>
    </row>
    <row r="20" spans="2:8">
      <c r="B20" s="874"/>
      <c r="C20" s="874" t="str">
        <f>Texte!A4363</f>
        <v>Sonderfälle: dauernd deutlich geringerer Abwasseranfall</v>
      </c>
      <c r="D20" s="125" t="str">
        <f>Texte!A4372</f>
        <v>Einwohner</v>
      </c>
      <c r="E20" s="1722">
        <v>2</v>
      </c>
      <c r="F20" s="1722"/>
      <c r="G20" s="1722">
        <v>2</v>
      </c>
      <c r="H20" s="1722"/>
    </row>
    <row r="21" spans="2:8">
      <c r="B21" s="874" t="str">
        <f>Texte!A4364</f>
        <v>Restauration:</v>
      </c>
      <c r="C21" s="874" t="str">
        <f>Texte!A4365</f>
        <v>Gastronomie, Partyraum</v>
      </c>
      <c r="D21" s="125" t="str">
        <f>Texte!A4373</f>
        <v>Sitzplatz</v>
      </c>
      <c r="E21" s="1722">
        <v>1.6</v>
      </c>
      <c r="F21" s="1722"/>
      <c r="G21" s="1722">
        <v>1.6</v>
      </c>
      <c r="H21" s="1722"/>
    </row>
    <row r="22" spans="2:8">
      <c r="B22" s="874"/>
      <c r="C22" s="874" t="str">
        <f>Texte!A4366</f>
        <v>Ferien auf dem Bauernhof</v>
      </c>
      <c r="D22" s="125" t="str">
        <f>Texte!A4374</f>
        <v>Bett</v>
      </c>
      <c r="E22" s="1722">
        <v>5</v>
      </c>
      <c r="F22" s="1722"/>
      <c r="G22" s="1722">
        <v>5</v>
      </c>
      <c r="H22" s="1722"/>
    </row>
    <row r="23" spans="2:8">
      <c r="B23" s="874"/>
      <c r="C23" s="874" t="str">
        <f>Texte!A4367</f>
        <v>Schlaf im Stroh</v>
      </c>
      <c r="D23" s="125" t="str">
        <f>Texte!A4375</f>
        <v>Schlafplatz</v>
      </c>
      <c r="E23" s="1722">
        <v>2.2000000000000002</v>
      </c>
      <c r="F23" s="1722"/>
      <c r="G23" s="1722">
        <v>2.2000000000000002</v>
      </c>
      <c r="H23" s="1722"/>
    </row>
    <row r="24" spans="2:8">
      <c r="B24" s="674"/>
      <c r="C24" s="674"/>
      <c r="D24" s="674"/>
      <c r="E24" s="674"/>
      <c r="F24" s="674"/>
      <c r="G24" s="674"/>
      <c r="H24" s="674"/>
    </row>
    <row r="25" spans="2:8">
      <c r="B25" s="674"/>
      <c r="C25" s="674"/>
      <c r="D25" s="674"/>
      <c r="E25" s="674"/>
      <c r="F25" s="674"/>
      <c r="G25" s="674"/>
      <c r="H25" s="674"/>
    </row>
  </sheetData>
  <phoneticPr fontId="0" type="noConversion"/>
  <pageMargins left="0.39370078740157477" right="0.59055118110236215" top="0.55118110236220463" bottom="0.35433070866141736" header="0" footer="0.19685039370078738"/>
  <pageSetup paperSize="9" orientation="landscape" r:id="rId1"/>
  <headerFooter alignWithMargins="0">
    <oddFooter>&amp;CSeite &amp;S&amp;R&amp;"Arial,Standard"&amp;9Seite &amp;P&amp;L&amp;"Arial,Fett"&amp;11AGRIDEA &amp;"Arial,Standard"&amp;9 Nachweis Version 9.9</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6">
    <tabColor indexed="31"/>
    <pageSetUpPr fitToPage="1"/>
  </sheetPr>
  <dimension ref="A1:DI305"/>
  <sheetViews>
    <sheetView showRowColHeaders="0" workbookViewId="0">
      <selection activeCell="B6" sqref="B6"/>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51.85546875" customWidth="1"/>
    <col min="3" max="3" width="44.42578125" customWidth="1"/>
    <col min="4" max="4" width="35" customWidth="1"/>
    <col min="5" max="5" width="19.7109375" customWidth="1"/>
    <col min="6" max="6" width="20.7109375" customWidth="1"/>
    <col min="7" max="7" width="12.7109375" customWidth="1"/>
    <col min="8" max="8" width="27.42578125" customWidth="1"/>
    <col min="9" max="9" width="13.85546875" customWidth="1"/>
    <col min="10" max="10" width="32" customWidth="1"/>
    <col min="11" max="11" width="23" customWidth="1"/>
    <col min="12" max="12" width="24.42578125" customWidth="1"/>
    <col min="13" max="13" width="16.85546875" customWidth="1"/>
    <col min="14" max="14" width="11.28515625" customWidth="1"/>
    <col min="15" max="15" width="19" customWidth="1"/>
    <col min="16" max="16" width="22.42578125" customWidth="1"/>
    <col min="17" max="17" width="19" customWidth="1"/>
    <col min="18" max="18" width="28.5703125" customWidth="1"/>
    <col min="19" max="19" width="18.42578125" customWidth="1"/>
    <col min="20" max="20" width="14" customWidth="1"/>
    <col min="21" max="21" width="16.28515625" customWidth="1"/>
    <col min="22" max="22" width="19.42578125" customWidth="1"/>
    <col min="23" max="23" width="10" customWidth="1"/>
    <col min="24" max="24" width="16.28515625" customWidth="1"/>
    <col min="25" max="25" width="21.28515625" customWidth="1"/>
    <col min="26" max="26" width="17.28515625" customWidth="1"/>
    <col min="27" max="27" width="19.28515625" customWidth="1"/>
    <col min="28" max="28" width="16.85546875" customWidth="1"/>
    <col min="29" max="29" width="16.5703125" customWidth="1"/>
    <col min="30" max="30" width="16.28515625" customWidth="1"/>
    <col min="31" max="31" width="12.85546875" customWidth="1"/>
    <col min="32" max="32" width="17.7109375" customWidth="1"/>
    <col min="33" max="33" width="15" customWidth="1"/>
    <col min="35" max="35" width="12.28515625" customWidth="1"/>
    <col min="36" max="36" width="12.140625" customWidth="1"/>
    <col min="37" max="37" width="11.5703125" customWidth="1"/>
  </cols>
  <sheetData>
    <row r="1" spans="2:113" ht="18">
      <c r="B1" s="582" t="str">
        <f>Q!F78</f>
        <v>Koeffizienten- &amp; Klick-Tabellen</v>
      </c>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row>
    <row r="2" spans="2:113" ht="13.7" customHeight="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T2" s="2061" t="s">
        <v>12135</v>
      </c>
      <c r="AU2">
        <f>Allg!Erntejahr</f>
        <v>2026</v>
      </c>
      <c r="AV2" s="921" t="s">
        <v>5444</v>
      </c>
      <c r="AW2" s="921">
        <v>2023</v>
      </c>
      <c r="AX2" s="921" t="s">
        <v>5445</v>
      </c>
      <c r="AY2" s="921">
        <v>2024</v>
      </c>
      <c r="BO2" s="921" t="str">
        <f>"&lt; " &amp; TEXT(AY2, 0)</f>
        <v>&lt; 2024</v>
      </c>
      <c r="CI2" s="921" t="str">
        <f>"&gt;= " &amp; TEXT(AY2, 0)</f>
        <v>&gt;= 2024</v>
      </c>
    </row>
    <row r="3" spans="2:113" ht="65.25" customHeight="1">
      <c r="B3" s="1"/>
      <c r="C3" s="2" t="str">
        <f>Texte!A4878</f>
        <v>Förderlimiten</v>
      </c>
      <c r="D3" s="2"/>
      <c r="E3" s="2" t="str">
        <f>Texte!A4881</f>
        <v>Hochstamm</v>
      </c>
      <c r="F3" s="2" t="str">
        <f>Texte!A4883</f>
        <v>Extensiv</v>
      </c>
      <c r="G3" s="2" t="str">
        <f>Texte!A4885</f>
        <v xml:space="preserve">wenig intensiv </v>
      </c>
      <c r="H3" s="2" t="str">
        <f>Texte!A4887</f>
        <v>Hecken, Feld- und Ufergehölze</v>
      </c>
      <c r="I3" s="2" t="str">
        <f>Texte!A4889</f>
        <v>Buntbrache</v>
      </c>
      <c r="J3" s="2" t="str">
        <f>Texte!A4891</f>
        <v>Rotationsbrache</v>
      </c>
      <c r="K3" s="2" t="str">
        <f>Texte!A4893</f>
        <v>Säume auf</v>
      </c>
      <c r="L3" s="2" t="str">
        <f>Texte!A4895</f>
        <v>Ackerschon-</v>
      </c>
      <c r="M3" s="2" t="str">
        <f>Texte!A4897</f>
        <v>Extensoprod.</v>
      </c>
      <c r="N3" s="23" t="str">
        <f>Texte!A4899</f>
        <v>Hangbeiträge</v>
      </c>
      <c r="O3" s="23"/>
      <c r="P3" s="23" t="str">
        <f>Texte!A4900</f>
        <v>Hangbeiträge für steile Rebflächen</v>
      </c>
      <c r="Q3" s="23"/>
      <c r="R3" s="23"/>
      <c r="S3" s="23" t="str">
        <f>Texte!A4901</f>
        <v>Anbaubeiträge</v>
      </c>
      <c r="T3" s="23"/>
      <c r="U3" s="23"/>
      <c r="V3" s="23"/>
      <c r="W3" s="23" t="str">
        <f>Texte!A4913</f>
        <v>Qualitätsbeiträge</v>
      </c>
      <c r="X3" s="23"/>
      <c r="Y3" s="23"/>
      <c r="Z3" s="23"/>
      <c r="AA3" s="23"/>
      <c r="AB3" s="23" t="str">
        <f>Texte!A4920</f>
        <v>Vernetzungsbeiträge</v>
      </c>
      <c r="AC3" s="23"/>
      <c r="AD3" s="23"/>
      <c r="AE3" s="23"/>
      <c r="AF3" s="23"/>
      <c r="AG3" s="23"/>
      <c r="AH3" s="717" t="str">
        <f>Texte!A4902</f>
        <v>Beiträge für die Haltung rauhfutterverzehrender Nutztiere</v>
      </c>
      <c r="AI3" s="717"/>
      <c r="AJ3" s="715" t="str">
        <f>Texte!A4903</f>
        <v>Beiträge für Tierhaltung unter erschwerten Bedingungen in HZ und BG</v>
      </c>
      <c r="AK3" s="23"/>
      <c r="AL3" s="23"/>
      <c r="AM3" s="23"/>
      <c r="AN3" s="2"/>
      <c r="AO3" s="2"/>
      <c r="AP3" s="2" t="str">
        <f>Texte!A4905</f>
        <v>Familienzulagen</v>
      </c>
      <c r="AQ3" s="2"/>
      <c r="AR3" s="2"/>
      <c r="AT3" s="672" t="str">
        <f>Texte!A4938</f>
        <v>Biodiversitätsbeitrag (Qualitätstufe 1)</v>
      </c>
      <c r="AU3" s="672"/>
      <c r="AV3" s="672"/>
      <c r="AX3" s="672"/>
      <c r="AY3" s="672"/>
      <c r="AZ3" s="672"/>
      <c r="BG3" t="str">
        <f>Texte!A4939</f>
        <v>Biodiversitätsbeitrag (Qualitätstufe 2)</v>
      </c>
      <c r="BJ3" s="672"/>
      <c r="BK3" s="672"/>
      <c r="BN3" s="672"/>
      <c r="BO3" s="672" t="str">
        <f>AT3</f>
        <v>Biodiversitätsbeitrag (Qualitätstufe 1)</v>
      </c>
      <c r="BP3" s="672"/>
      <c r="BQ3" s="672"/>
      <c r="BR3" s="672"/>
      <c r="BS3" s="672"/>
      <c r="BT3" s="672"/>
      <c r="BU3" s="672"/>
      <c r="BV3" s="672"/>
      <c r="BW3" s="672"/>
      <c r="BX3" s="672"/>
      <c r="BY3" s="672"/>
      <c r="BZ3" s="672"/>
      <c r="CA3" s="672" t="str">
        <f t="shared" ref="BY3:CC4" si="0">BG3</f>
        <v>Biodiversitätsbeitrag (Qualitätstufe 2)</v>
      </c>
      <c r="CB3" s="672"/>
      <c r="CC3" s="672"/>
      <c r="CD3" s="672"/>
      <c r="CE3" s="672"/>
      <c r="CF3" s="672"/>
      <c r="CG3" s="672"/>
      <c r="CH3" s="672"/>
      <c r="CI3" s="672" t="str">
        <f>AT3</f>
        <v>Biodiversitätsbeitrag (Qualitätstufe 1)</v>
      </c>
      <c r="CJ3" s="672"/>
      <c r="CK3" s="672"/>
      <c r="CL3" s="672"/>
      <c r="CM3" s="672"/>
      <c r="CN3" s="672"/>
      <c r="CO3" s="672"/>
      <c r="CP3" s="672"/>
      <c r="CQ3" s="672"/>
      <c r="CR3" s="672"/>
      <c r="CS3" s="672"/>
      <c r="CT3" s="672"/>
      <c r="CU3" s="672" t="str">
        <f>BG3</f>
        <v>Biodiversitätsbeitrag (Qualitätstufe 2)</v>
      </c>
      <c r="CX3" s="672"/>
      <c r="CY3" s="672"/>
      <c r="DA3" s="672"/>
      <c r="DC3" t="s">
        <v>6952</v>
      </c>
      <c r="DE3" s="1006" t="s">
        <v>5565</v>
      </c>
      <c r="DG3" s="1009" t="str">
        <f>Texte!A2522</f>
        <v>Produktionserschwernisbeitrag</v>
      </c>
      <c r="DH3" t="s">
        <v>1662</v>
      </c>
    </row>
    <row r="4" spans="2:113" ht="90" customHeight="1">
      <c r="B4" s="1" t="str">
        <f>Texte!A4954</f>
        <v>Zoneneinteilung</v>
      </c>
      <c r="C4" s="715" t="str">
        <f>Texte!A4879</f>
        <v>maximal GVE pro ha Grünland</v>
      </c>
      <c r="D4" s="715" t="str">
        <f>Texte!A4880</f>
        <v>maximal GVE pro ha Mais oder Futterrüben</v>
      </c>
      <c r="E4" s="961" t="str">
        <f>Texte!A4882</f>
        <v>Feldobstbäume</v>
      </c>
      <c r="F4" s="961" t="str">
        <f>Texte!A4884</f>
        <v xml:space="preserve">genutzte Wiesen, Streue </v>
      </c>
      <c r="G4" s="961" t="str">
        <f>Texte!A4886</f>
        <v>genutzte Wiesen</v>
      </c>
      <c r="H4" s="961" t="str">
        <f>Texte!A4888</f>
        <v>mit Krautsaum</v>
      </c>
      <c r="I4" s="1">
        <f>Texte!A4890</f>
        <v>0</v>
      </c>
      <c r="J4" s="961">
        <f>Texte!A4892</f>
        <v>0</v>
      </c>
      <c r="K4" s="961" t="str">
        <f>Texte!A4894</f>
        <v>Ackerfläche</v>
      </c>
      <c r="L4" s="716" t="str">
        <f>Texte!A4896</f>
        <v xml:space="preserve"> -streifen</v>
      </c>
      <c r="M4" s="961" t="str">
        <f>Texte!A4898</f>
        <v>Getreide und Raps</v>
      </c>
      <c r="N4" s="2" t="s">
        <v>4366</v>
      </c>
      <c r="O4" s="2" t="s">
        <v>475</v>
      </c>
      <c r="P4" s="2" t="s">
        <v>476</v>
      </c>
      <c r="Q4" s="2" t="s">
        <v>477</v>
      </c>
      <c r="R4" s="2" t="str">
        <f>Texte!A4906</f>
        <v>Terrassen</v>
      </c>
      <c r="S4" s="639" t="str">
        <f>IF(Allg!Erntejahr&lt;2008,"",Texte!A4907)</f>
        <v>Zuckerrüben</v>
      </c>
      <c r="T4" s="639" t="str">
        <f>Texte!A4908</f>
        <v>Ackerbohnen, Eiweisserbsen, Lupinen</v>
      </c>
      <c r="U4" s="639" t="str">
        <f>IF(Allg!Erntejahr&lt;2008,Texte!A4909,Texte!A4910)</f>
        <v>Raps, Soja, Sonnenblumen und Lein</v>
      </c>
      <c r="V4" s="639" t="str">
        <f>IF(Allg!Erntejahr&lt;2008,Texte!A4911,Texte!A4912)</f>
        <v>Faserpflanzen ohne Lein und Hanf</v>
      </c>
      <c r="W4" s="639" t="str">
        <f>Texte!A4914</f>
        <v>Extensiv und wenig intensiv genutzte Wiesen, Streue</v>
      </c>
      <c r="X4" s="639" t="str">
        <f>Texte!A4915</f>
        <v>Extensiv genutzte Weiden, Waldweiden</v>
      </c>
      <c r="Y4" s="639" t="str">
        <f>Texte!A4916</f>
        <v>Hochstamm-Feldobstbäume</v>
      </c>
      <c r="Z4" s="639" t="str">
        <f>Texte!A4917</f>
        <v>Hecken, Feld- und Ufergehölze</v>
      </c>
      <c r="AA4" s="639" t="str">
        <f>Texte!A4918</f>
        <v>Rebflächen mit natürlicher Artenvielfalt</v>
      </c>
      <c r="AB4" s="639" t="str">
        <f>Texte!A4921</f>
        <v>Extensiv und wenig intensiv genutzte Wiesen, Streue</v>
      </c>
      <c r="AC4" s="639" t="str">
        <f>Texte!A4922</f>
        <v>Extensiv genutzte Weiden, Waldweiden</v>
      </c>
      <c r="AD4" s="639" t="str">
        <f>Texte!A4923</f>
        <v>Hochstamm-Feldobstbäume, standortgerechte Einzelbäume u. Alleen</v>
      </c>
      <c r="AE4" s="639" t="str">
        <f>Texte!A4924</f>
        <v>Hecken, Feld- und Ufergehölze, Rebfächen mit hoher Artenvielfalt, weitere BFF</v>
      </c>
      <c r="AF4" s="639" t="str">
        <f>Texte!A4925</f>
        <v>Ackerschonstreifen, Bunt- u. Rotationsbrachen, Säume auf Ackerflächen</v>
      </c>
      <c r="AG4" s="639"/>
      <c r="AH4" s="639" t="str">
        <f>Texte!A4930</f>
        <v>Rindvieh, Pferde, Bisons, Milchziegen, Milchschafe</v>
      </c>
      <c r="AI4" s="639" t="str">
        <f>Texte!A4931</f>
        <v>Uebrige Ziegen u. Schafe, Hirsche, Lamas, Alpakas</v>
      </c>
      <c r="AJ4" s="961">
        <f>Texte!A4904</f>
        <v>0</v>
      </c>
      <c r="AK4" s="1"/>
      <c r="AL4" s="1"/>
      <c r="AM4" s="1" t="str">
        <f>Texte!A4932</f>
        <v>Flächenziffer</v>
      </c>
      <c r="AN4" s="718" t="str">
        <f>Texte!A4933</f>
        <v>1. und 2. Kind</v>
      </c>
      <c r="AO4" s="718" t="str">
        <f>Texte!A4934</f>
        <v>3. und weitere</v>
      </c>
      <c r="AP4" s="718" t="str">
        <f>Texte!A4935</f>
        <v>ab 2008</v>
      </c>
      <c r="AQ4" s="1009" t="str">
        <f>Texte!A4936</f>
        <v>Kinderzulage ab 2009</v>
      </c>
      <c r="AR4" s="1009" t="str">
        <f>Texte!A4937</f>
        <v>Ausbildungszulage ab 2009</v>
      </c>
      <c r="AT4" s="1009" t="str">
        <f>Texte!A4940</f>
        <v>extensiv genutzte Wiesen</v>
      </c>
      <c r="AU4" s="1009" t="str">
        <f>Texte!A4941</f>
        <v>Streueflächen</v>
      </c>
      <c r="AV4" s="1009" t="str">
        <f>Texte!A4942</f>
        <v>wenig intensiv genutzte Wiesen</v>
      </c>
      <c r="AW4" s="1009" t="str">
        <f>Texte!A4943</f>
        <v>extensive Weiden und Waldweiden</v>
      </c>
      <c r="AX4" s="1009" t="str">
        <f>Texte!A4944</f>
        <v>Hecken, Feld- und Ufergehölze</v>
      </c>
      <c r="AY4" s="1009" t="str">
        <f>Texte!A4945</f>
        <v>Uferwiesen entlang von Fliessgewässern</v>
      </c>
      <c r="AZ4" s="1009" t="str">
        <f>Texte!$A4946</f>
        <v>Hochstamm-Feldobstbäume</v>
      </c>
      <c r="BA4" s="1009" t="str">
        <f>Texte!A4947</f>
        <v>Buntbrache</v>
      </c>
      <c r="BB4" s="1009" t="str">
        <f>Texte!A4948</f>
        <v>Rotationsbrache</v>
      </c>
      <c r="BC4" s="1009" t="str">
        <f>Texte!A4949</f>
        <v>Ackerschonstreifen</v>
      </c>
      <c r="BD4" s="1009" t="str">
        <f>BDB!C36</f>
        <v>Getreide in weiter Reihe</v>
      </c>
      <c r="BE4" s="1009" t="str">
        <f>Texte!A4950</f>
        <v>Nützlingsstreifen</v>
      </c>
      <c r="BF4" s="1009" t="str">
        <f>Texte!A4951</f>
        <v>Saum auf Ackerfläche</v>
      </c>
      <c r="BG4" s="1009" t="str">
        <f>Texte!A4940</f>
        <v>extensiv genutzte Wiesen</v>
      </c>
      <c r="BH4" s="1009" t="str">
        <f>Texte!A4941</f>
        <v>Streueflächen</v>
      </c>
      <c r="BI4" s="1009" t="str">
        <f>Texte!A4942</f>
        <v>wenig intensiv genutzte Wiesen</v>
      </c>
      <c r="BJ4" s="1009" t="str">
        <f>BR4</f>
        <v>extensive Weiden und Waldweiden</v>
      </c>
      <c r="BK4" s="1009" t="str">
        <f>Texte!A4944</f>
        <v>Hecken, Feld- und Ufergehölze</v>
      </c>
      <c r="BL4" s="1009" t="str">
        <f>Texte!A4952</f>
        <v>Rebflächen mit natürlicher Artenvielfalt</v>
      </c>
      <c r="BM4" s="1009" t="str">
        <f>Texte!A4953</f>
        <v>Artenr. Grün- und Streuefl. im SömGeb.</v>
      </c>
      <c r="BN4" s="1009" t="str">
        <f>Texte!$A4946</f>
        <v>Hochstamm-Feldobstbäume</v>
      </c>
      <c r="BO4" s="1009" t="str">
        <f>AT4</f>
        <v>extensiv genutzte Wiesen</v>
      </c>
      <c r="BP4" s="1009" t="str">
        <f t="shared" ref="BP4:BX4" si="1">AU4</f>
        <v>Streueflächen</v>
      </c>
      <c r="BQ4" s="1009" t="str">
        <f t="shared" si="1"/>
        <v>wenig intensiv genutzte Wiesen</v>
      </c>
      <c r="BR4" s="1009" t="str">
        <f t="shared" si="1"/>
        <v>extensive Weiden und Waldweiden</v>
      </c>
      <c r="BS4" s="1009" t="str">
        <f t="shared" si="1"/>
        <v>Hecken, Feld- und Ufergehölze</v>
      </c>
      <c r="BT4" s="1009" t="str">
        <f t="shared" si="1"/>
        <v>Uferwiesen entlang von Fliessgewässern</v>
      </c>
      <c r="BU4" s="1009" t="str">
        <f t="shared" si="1"/>
        <v>Hochstamm-Feldobstbäume</v>
      </c>
      <c r="BV4" s="1009" t="str">
        <f t="shared" si="1"/>
        <v>Buntbrache</v>
      </c>
      <c r="BW4" s="1009" t="str">
        <f t="shared" si="1"/>
        <v>Rotationsbrache</v>
      </c>
      <c r="BX4" s="1009" t="str">
        <f t="shared" si="1"/>
        <v>Ackerschonstreifen</v>
      </c>
      <c r="BY4" s="1009" t="str">
        <f t="shared" si="0"/>
        <v>Nützlingsstreifen</v>
      </c>
      <c r="BZ4" s="1009" t="str">
        <f t="shared" si="0"/>
        <v>Saum auf Ackerfläche</v>
      </c>
      <c r="CA4" s="1009" t="str">
        <f t="shared" si="0"/>
        <v>extensiv genutzte Wiesen</v>
      </c>
      <c r="CB4" s="1009" t="str">
        <f t="shared" si="0"/>
        <v>Streueflächen</v>
      </c>
      <c r="CC4" s="1009" t="str">
        <f t="shared" si="0"/>
        <v>wenig intensiv genutzte Wiesen</v>
      </c>
      <c r="CD4" s="1009" t="str">
        <f>BR4</f>
        <v>extensive Weiden und Waldweiden</v>
      </c>
      <c r="CE4" s="1009" t="str">
        <f>Texte!A4944</f>
        <v>Hecken, Feld- und Ufergehölze</v>
      </c>
      <c r="CF4" s="1009" t="str">
        <f>BL4</f>
        <v>Rebflächen mit natürlicher Artenvielfalt</v>
      </c>
      <c r="CG4" s="1009" t="str">
        <f>Texte!$A4946</f>
        <v>Hochstamm-Feldobstbäume</v>
      </c>
      <c r="CH4" s="1009" t="str">
        <f>BM4</f>
        <v>Artenr. Grün- und Streuefl. im SömGeb.</v>
      </c>
      <c r="CI4" s="1009" t="str">
        <f>BO4</f>
        <v>extensiv genutzte Wiesen</v>
      </c>
      <c r="CJ4" s="1009" t="str">
        <f t="shared" ref="CJ4:CW4" si="2">BP4</f>
        <v>Streueflächen</v>
      </c>
      <c r="CK4" s="1009" t="str">
        <f t="shared" si="2"/>
        <v>wenig intensiv genutzte Wiesen</v>
      </c>
      <c r="CL4" s="1009" t="str">
        <f t="shared" si="2"/>
        <v>extensive Weiden und Waldweiden</v>
      </c>
      <c r="CM4" s="1009" t="str">
        <f t="shared" si="2"/>
        <v>Hecken, Feld- und Ufergehölze</v>
      </c>
      <c r="CN4" s="1009" t="str">
        <f t="shared" si="2"/>
        <v>Uferwiesen entlang von Fliessgewässern</v>
      </c>
      <c r="CO4" s="1009" t="str">
        <f t="shared" si="2"/>
        <v>Hochstamm-Feldobstbäume</v>
      </c>
      <c r="CP4" s="1009" t="str">
        <f t="shared" si="2"/>
        <v>Buntbrache</v>
      </c>
      <c r="CQ4" s="1009" t="str">
        <f t="shared" si="2"/>
        <v>Rotationsbrache</v>
      </c>
      <c r="CR4" s="1009" t="str">
        <f t="shared" si="2"/>
        <v>Ackerschonstreifen</v>
      </c>
      <c r="CS4" s="1009" t="str">
        <f t="shared" si="2"/>
        <v>Nützlingsstreifen</v>
      </c>
      <c r="CT4" s="1009" t="str">
        <f t="shared" si="2"/>
        <v>Saum auf Ackerfläche</v>
      </c>
      <c r="CU4" s="1009" t="str">
        <f t="shared" si="2"/>
        <v>extensiv genutzte Wiesen</v>
      </c>
      <c r="CV4" s="1009" t="str">
        <f t="shared" si="2"/>
        <v>Streueflächen</v>
      </c>
      <c r="CW4" s="1009" t="str">
        <f t="shared" si="2"/>
        <v>wenig intensiv genutzte Wiesen</v>
      </c>
      <c r="CX4" s="1009" t="str">
        <f>BR4</f>
        <v>extensive Weiden und Waldweiden</v>
      </c>
      <c r="CY4" s="1009" t="str">
        <f>BS4</f>
        <v>Hecken, Feld- und Ufergehölze</v>
      </c>
      <c r="CZ4" s="1009" t="str">
        <f>CF4</f>
        <v>Rebflächen mit natürlicher Artenvielfalt</v>
      </c>
      <c r="DA4" s="1009" t="str">
        <f>Texte!$A4946</f>
        <v>Hochstamm-Feldobstbäume</v>
      </c>
      <c r="DB4" s="1009" t="str">
        <f>CH4</f>
        <v>Artenr. Grün- und Streuefl. im SömGeb.</v>
      </c>
      <c r="DE4" s="1009" t="str">
        <f>Texte!A2479</f>
        <v>für Differenzierungen nach Zone</v>
      </c>
      <c r="DH4" s="1009" t="str">
        <f>Texte!A2480</f>
        <v>auf BFF Grünland</v>
      </c>
      <c r="DI4" s="1009" t="str">
        <f>Texte!A2481&amp;" "&amp;Texte!A2482&amp;" "&amp;IF(Texte!A2483 = 0,"",Texte!A2483)</f>
        <v xml:space="preserve">Dauergrünfläche ausser BFF </v>
      </c>
    </row>
    <row r="5" spans="2:113" ht="12.75">
      <c r="B5" s="1" t="s">
        <v>4899</v>
      </c>
      <c r="C5" s="2"/>
      <c r="D5" s="2"/>
      <c r="E5" s="2"/>
      <c r="F5" s="2"/>
      <c r="G5" s="2"/>
      <c r="H5" s="2"/>
      <c r="I5" s="2"/>
      <c r="J5" s="2"/>
      <c r="L5" s="2"/>
      <c r="M5" s="2"/>
      <c r="N5" s="2"/>
      <c r="O5" s="2"/>
      <c r="P5" s="2"/>
      <c r="Q5" s="2"/>
      <c r="R5" s="2"/>
      <c r="S5" s="2"/>
      <c r="T5" s="2"/>
      <c r="U5" s="2"/>
      <c r="V5" s="2"/>
      <c r="W5" s="2"/>
      <c r="X5" s="2"/>
      <c r="Y5" s="2"/>
      <c r="Z5" s="2"/>
      <c r="AA5" s="2"/>
      <c r="AB5" s="2"/>
      <c r="AC5" s="2"/>
      <c r="AD5" s="2"/>
      <c r="AE5" s="2"/>
      <c r="AF5" s="2"/>
      <c r="AG5" s="2"/>
      <c r="AH5" s="2"/>
      <c r="AI5" s="1"/>
      <c r="AJ5" s="1"/>
      <c r="AK5" s="639"/>
      <c r="AL5" s="1"/>
      <c r="AM5" s="1"/>
      <c r="DC5" s="698">
        <v>0</v>
      </c>
      <c r="DH5">
        <v>0.3</v>
      </c>
    </row>
    <row r="6" spans="2:113" ht="12.75">
      <c r="B6" s="1" t="str">
        <f>Texte!A4955</f>
        <v>31 Talzone</v>
      </c>
      <c r="C6" s="2">
        <v>2</v>
      </c>
      <c r="D6" s="2">
        <v>1</v>
      </c>
      <c r="E6" s="2">
        <v>15</v>
      </c>
      <c r="F6" s="2">
        <v>1500</v>
      </c>
      <c r="G6" s="2">
        <f>IF(Allg!Erntejahr&lt;2008,650,300)</f>
        <v>300</v>
      </c>
      <c r="H6" s="2">
        <f>IF(Allg!Erntejahr&lt;2010,1500,2500)</f>
        <v>2500</v>
      </c>
      <c r="I6" s="2">
        <v>2800</v>
      </c>
      <c r="J6" s="2">
        <v>2300</v>
      </c>
      <c r="K6" s="698">
        <v>2300</v>
      </c>
      <c r="L6" s="2">
        <v>1300</v>
      </c>
      <c r="M6" s="2">
        <v>400</v>
      </c>
      <c r="N6" s="2">
        <v>0</v>
      </c>
      <c r="O6" s="2">
        <v>0</v>
      </c>
      <c r="P6" s="2">
        <v>1500</v>
      </c>
      <c r="Q6" s="2">
        <v>3000</v>
      </c>
      <c r="R6" s="2">
        <v>5000</v>
      </c>
      <c r="S6" s="2">
        <v>1900</v>
      </c>
      <c r="T6" s="2">
        <v>1000</v>
      </c>
      <c r="U6" s="2">
        <v>1000</v>
      </c>
      <c r="V6" s="2">
        <v>1000</v>
      </c>
      <c r="W6" s="2">
        <v>1000</v>
      </c>
      <c r="X6" s="2">
        <v>500</v>
      </c>
      <c r="Y6" s="2">
        <v>30</v>
      </c>
      <c r="Z6" s="2">
        <v>2000</v>
      </c>
      <c r="AA6" s="2">
        <v>1000</v>
      </c>
      <c r="AB6" s="2">
        <v>1000</v>
      </c>
      <c r="AC6" s="2">
        <v>500</v>
      </c>
      <c r="AD6" s="2">
        <v>5</v>
      </c>
      <c r="AE6" s="2">
        <v>1000</v>
      </c>
      <c r="AF6" s="2">
        <v>1000</v>
      </c>
      <c r="AG6" s="2"/>
      <c r="AH6" s="2">
        <f t="shared" ref="AH6:AH11" si="3">RauBtr_Rind</f>
        <v>690</v>
      </c>
      <c r="AI6" s="2">
        <f t="shared" ref="AI6:AI11" si="4">RauBtr_übrige</f>
        <v>520</v>
      </c>
      <c r="AJ6" s="2">
        <v>0</v>
      </c>
      <c r="AK6" s="2" t="str">
        <f>Texte!$A$4919</f>
        <v>je ha LN</v>
      </c>
      <c r="AL6" s="296">
        <f>Fläche!$N$38</f>
        <v>137.40760000000003</v>
      </c>
      <c r="AM6" s="2">
        <f>ROUNDDOWN(SUM(Fläche!$N$34:$N$36,Fläche!$E$53)*0.3+SUM(Fläche!$N$10:$N$13,Fläche!$E$52,Fläche!$E$54,Fläche!$E$56)*0.7+SUM(Fläche!$N$17:$N$22,Fläche!$E65)+SUM(Fläche!$E$41,Fläche!$E$60,Fläche!$E$62,Fläche!$E$63,Fläche!$E$66,Fläche!$E$69)*1.5+SUM(Fläche!$N$26,Fläche!$E$9,Fläche!$E$25,SUM(Fläche!$E$44:$E$51),Fläche!$E$59,Fläche!$E$64)*1.7+Fläche!$E$58*2+Fläche!$E$43*3+SUM(Fläche!$E$39,Fläche!$E40,Fläche!$E$42,Fläche!$E$61,Fläche!$N$32,Fläche!$N$33)*4.5+Fläche!$N$39*0.15,0)</f>
        <v>300</v>
      </c>
      <c r="AN6" s="698">
        <v>175</v>
      </c>
      <c r="AO6" s="698">
        <v>180</v>
      </c>
      <c r="AP6" s="698">
        <v>190</v>
      </c>
      <c r="AQ6" s="698">
        <v>200</v>
      </c>
      <c r="AR6" s="698">
        <v>250</v>
      </c>
      <c r="AT6" s="698">
        <f>IF(Allg!Erntejahr&gt;YearOld,CI6,BO6)</f>
        <v>780</v>
      </c>
      <c r="AU6" s="698">
        <f>IF(Allg!Erntejahr&gt;YearOld,CJ6,BP6)</f>
        <v>1440</v>
      </c>
      <c r="AV6" s="698">
        <f>IF(Allg!Erntejahr&gt;YearOld,CK6,BQ6)</f>
        <v>300</v>
      </c>
      <c r="AW6" s="698">
        <f>IF(Allg!Erntejahr&gt;YearOld,CL6,BR6)</f>
        <v>300</v>
      </c>
      <c r="AX6" s="698">
        <f>IF(Allg!Erntejahr&gt;YearOld,CM6,BS6)</f>
        <v>2160</v>
      </c>
      <c r="AY6" s="698">
        <f>IF(Allg!Erntejahr&gt;YearOld,CN6,BT6)</f>
        <v>300</v>
      </c>
      <c r="AZ6" s="698">
        <f>IF(Allg!Erntejahr&gt;YearOld,CO6,BU6)</f>
        <v>13.5</v>
      </c>
      <c r="BA6" s="698">
        <f>IF(Allg!Erntejahr&gt;YearOld,CP6,BV6)</f>
        <v>3800</v>
      </c>
      <c r="BB6" s="698">
        <f>IF(Allg!Erntejahr&gt;YearOld,CQ6,BW6)</f>
        <v>3300</v>
      </c>
      <c r="BC6" s="698">
        <f>IF(Allg!Erntejahr&gt;YearOld,CR6,BX6)</f>
        <v>2300</v>
      </c>
      <c r="BD6" s="698">
        <v>300</v>
      </c>
      <c r="BE6" s="698">
        <f>IF(Allg!Erntejahr&gt;YearOld,CS6,BY6)</f>
        <v>2500</v>
      </c>
      <c r="BF6" s="698">
        <f>IF(Allg!Erntejahr&gt;YearOld,CT6,BZ6)</f>
        <v>3300</v>
      </c>
      <c r="BG6" s="698">
        <f>IF(Allg!Erntejahr&gt;YearOld,CU6,CA6)</f>
        <v>1920</v>
      </c>
      <c r="BH6" s="698">
        <f>IF(Allg!Erntejahr&gt;YearOld,CV6,CB6)</f>
        <v>2060</v>
      </c>
      <c r="BI6" s="698">
        <f>IF(Allg!Erntejahr&gt;YearOld,CW6,CC6)</f>
        <v>1540</v>
      </c>
      <c r="BJ6" s="698">
        <f>IF(Allg!Erntejahr&gt;YearOld,CX6,CD6)</f>
        <v>700</v>
      </c>
      <c r="BK6" s="698">
        <f>IF(Allg!Erntejahr&gt;YearOld,CY6,CE6)</f>
        <v>2840</v>
      </c>
      <c r="BL6" s="698">
        <f>IF(Allg!Erntejahr&gt;YearOld,CZ6,CF6)</f>
        <v>1100</v>
      </c>
      <c r="BM6" s="698">
        <f>IF(Allg!Erntejahr&gt;YearOld,DB6,CH6)</f>
        <v>0</v>
      </c>
      <c r="BN6" s="698">
        <f>IF(Allg!Erntejahr&gt;YearOld,DA6,CG6)</f>
        <v>31.5</v>
      </c>
      <c r="BO6" s="698">
        <v>1080</v>
      </c>
      <c r="BP6" s="698">
        <v>1440</v>
      </c>
      <c r="BQ6" s="698">
        <v>450</v>
      </c>
      <c r="BR6" s="698">
        <v>450</v>
      </c>
      <c r="BS6" s="698">
        <v>2160</v>
      </c>
      <c r="BT6" s="698">
        <v>450</v>
      </c>
      <c r="BU6" s="698">
        <v>13.5</v>
      </c>
      <c r="BV6" s="698">
        <v>3800</v>
      </c>
      <c r="BW6" s="698">
        <v>3300</v>
      </c>
      <c r="BX6" s="698">
        <v>2300</v>
      </c>
      <c r="BY6" s="698">
        <v>2500</v>
      </c>
      <c r="BZ6" s="698">
        <v>3300</v>
      </c>
      <c r="CA6" s="698">
        <v>1920</v>
      </c>
      <c r="CB6" s="698">
        <v>2060</v>
      </c>
      <c r="CC6" s="698">
        <v>1200</v>
      </c>
      <c r="CD6" s="698">
        <v>700</v>
      </c>
      <c r="CE6" s="698">
        <v>2840</v>
      </c>
      <c r="CF6" s="698">
        <v>1100</v>
      </c>
      <c r="CG6" s="698">
        <v>31.5</v>
      </c>
      <c r="CH6" s="698"/>
      <c r="CI6" s="698">
        <v>780</v>
      </c>
      <c r="CJ6" s="698">
        <v>1440</v>
      </c>
      <c r="CK6" s="698">
        <v>300</v>
      </c>
      <c r="CL6" s="698">
        <v>300</v>
      </c>
      <c r="CM6" s="698">
        <v>2160</v>
      </c>
      <c r="CN6" s="698">
        <v>300</v>
      </c>
      <c r="CO6" s="698">
        <v>13.5</v>
      </c>
      <c r="CP6" s="698">
        <v>3800</v>
      </c>
      <c r="CQ6" s="698">
        <v>3300</v>
      </c>
      <c r="CR6" s="698">
        <v>2300</v>
      </c>
      <c r="CS6" s="698">
        <v>2500</v>
      </c>
      <c r="CT6" s="698">
        <v>3300</v>
      </c>
      <c r="CU6" s="698">
        <v>1920</v>
      </c>
      <c r="CV6" s="698">
        <v>2060</v>
      </c>
      <c r="CW6" s="698">
        <v>1540</v>
      </c>
      <c r="CX6" s="698">
        <v>700</v>
      </c>
      <c r="CY6" s="698">
        <v>2840</v>
      </c>
      <c r="CZ6" s="698">
        <v>1100</v>
      </c>
      <c r="DA6" s="698">
        <v>31.5</v>
      </c>
      <c r="DB6" s="698"/>
      <c r="DC6" s="698">
        <v>1</v>
      </c>
      <c r="DE6" s="698">
        <v>1</v>
      </c>
      <c r="DG6">
        <v>0</v>
      </c>
      <c r="DH6">
        <f t="shared" ref="DH6:DH11" si="5">DI6*$DH$5</f>
        <v>0.3</v>
      </c>
      <c r="DI6">
        <v>1</v>
      </c>
    </row>
    <row r="7" spans="2:113" ht="12.75">
      <c r="B7" s="1" t="str">
        <f>Texte!A4956</f>
        <v>41 Hügelzone</v>
      </c>
      <c r="C7" s="2">
        <v>1.6</v>
      </c>
      <c r="D7" s="2">
        <v>0.8</v>
      </c>
      <c r="E7" s="2">
        <v>15</v>
      </c>
      <c r="F7" s="2">
        <v>1200</v>
      </c>
      <c r="G7" s="2">
        <f>IF(Allg!Erntejahr&lt;2008,650,300)</f>
        <v>300</v>
      </c>
      <c r="H7" s="2">
        <f>IF(Allg!Erntejahr&lt;2010,1200,2500)</f>
        <v>2500</v>
      </c>
      <c r="I7" s="2">
        <v>2800</v>
      </c>
      <c r="J7" s="2">
        <v>2300</v>
      </c>
      <c r="K7" s="698">
        <v>2300</v>
      </c>
      <c r="L7" s="2">
        <v>1300</v>
      </c>
      <c r="M7" s="2">
        <v>400</v>
      </c>
      <c r="N7" s="2">
        <f>AJ25</f>
        <v>410</v>
      </c>
      <c r="O7" s="2">
        <f>AK25</f>
        <v>620</v>
      </c>
      <c r="P7" s="2">
        <v>1500</v>
      </c>
      <c r="Q7" s="2">
        <v>3000</v>
      </c>
      <c r="R7" s="2">
        <v>5000</v>
      </c>
      <c r="S7" s="2">
        <v>1900</v>
      </c>
      <c r="T7" s="2">
        <v>1000</v>
      </c>
      <c r="U7" s="2">
        <v>1000</v>
      </c>
      <c r="V7" s="2">
        <v>1000</v>
      </c>
      <c r="W7" s="2">
        <v>1000</v>
      </c>
      <c r="X7" s="2">
        <v>500</v>
      </c>
      <c r="Y7" s="2">
        <v>30</v>
      </c>
      <c r="Z7" s="2">
        <v>2000</v>
      </c>
      <c r="AA7" s="2">
        <v>1000</v>
      </c>
      <c r="AB7" s="2">
        <v>1000</v>
      </c>
      <c r="AC7" s="2">
        <v>500</v>
      </c>
      <c r="AD7" s="2">
        <v>5</v>
      </c>
      <c r="AE7" s="2">
        <v>1000</v>
      </c>
      <c r="AF7" s="2">
        <v>1000</v>
      </c>
      <c r="AG7" s="2"/>
      <c r="AH7" s="2">
        <f t="shared" si="3"/>
        <v>690</v>
      </c>
      <c r="AI7" s="2">
        <f t="shared" si="4"/>
        <v>520</v>
      </c>
      <c r="AJ7" s="2">
        <v>300</v>
      </c>
      <c r="AK7" s="2" t="str">
        <f>$AK$6</f>
        <v>je ha LN</v>
      </c>
      <c r="AL7" s="296">
        <f>Fläche!$N$38</f>
        <v>137.40760000000003</v>
      </c>
      <c r="AM7" s="2">
        <f>ROUNDDOWN(SUM(Fläche!$N$34:$N$36,Fläche!$E$53)*0.3+SUM(Fläche!$N$10:$N$13,Fläche!$E$52,Fläche!$E$54,Fläche!$E$56,Fläche!$E65)*0.7+SUM(Fläche!$N$17:$N$22)+SUM(Fläche!$E$41,Fläche!$E$60,Fläche!$E$62,Fläche!$E$63,Fläche!$E$66,Fläche!$E$69)*1.5+SUM(Fläche!$N$26,Fläche!$E$9,Fläche!$E$25,SUM(Fläche!$E$44:$E$51),Fläche!$E$59,Fläche!$E$64)*1.7+Fläche!$E$58*2+Fläche!$E$43*3+SUM(Fläche!$E$39,Fläche!$E40,Fläche!$E$42,Fläche!$E$61,Fläche!$N$32,Fläche!$N$33)*4.5+Fläche!$N$39*0.15,0)</f>
        <v>300</v>
      </c>
      <c r="AN7" s="698">
        <v>175</v>
      </c>
      <c r="AO7" s="698">
        <v>180</v>
      </c>
      <c r="AP7" s="698">
        <v>190</v>
      </c>
      <c r="AQ7" s="698">
        <v>200</v>
      </c>
      <c r="AR7" s="698">
        <v>250</v>
      </c>
      <c r="AT7" s="698">
        <f>IF(Allg!Erntejahr&gt;YearOld,CI7,BO7)</f>
        <v>560</v>
      </c>
      <c r="AU7" s="698">
        <f>IF(Allg!Erntejahr&gt;YearOld,CJ7,BP7)</f>
        <v>1220</v>
      </c>
      <c r="AV7" s="698">
        <f>IF(Allg!Erntejahr&gt;YearOld,CK7,BQ7)</f>
        <v>300</v>
      </c>
      <c r="AW7" s="698">
        <f>IF(Allg!Erntejahr&gt;YearOld,CL7,BR7)</f>
        <v>300</v>
      </c>
      <c r="AX7" s="698">
        <f>IF(Allg!Erntejahr&gt;YearOld,CM7,BS7)</f>
        <v>2160</v>
      </c>
      <c r="AY7" s="698">
        <f>IF(Allg!Erntejahr&gt;YearOld,CN7,BT7)</f>
        <v>300</v>
      </c>
      <c r="AZ7" s="698">
        <f>IF(Allg!Erntejahr&gt;YearOld,CO7,BU7)</f>
        <v>13.5</v>
      </c>
      <c r="BA7" s="698">
        <f>IF(Allg!Erntejahr&gt;YearOld,CP7,BV7)</f>
        <v>3800</v>
      </c>
      <c r="BB7" s="698">
        <f>IF(Allg!Erntejahr&gt;YearOld,CQ7,BW7)</f>
        <v>3300</v>
      </c>
      <c r="BC7" s="698">
        <f>IF(Allg!Erntejahr&gt;YearOld,CR7,BX7)</f>
        <v>2300</v>
      </c>
      <c r="BD7" s="698">
        <v>300</v>
      </c>
      <c r="BE7" s="698">
        <f>IF(Allg!Erntejahr&gt;YearOld,CS7,BY7)</f>
        <v>2500</v>
      </c>
      <c r="BF7" s="698">
        <f>IF(Allg!Erntejahr&gt;YearOld,CT7,BZ7)</f>
        <v>3300</v>
      </c>
      <c r="BG7" s="698">
        <f>IF(Allg!Erntejahr&gt;YearOld,CU7,CA7)</f>
        <v>1840</v>
      </c>
      <c r="BH7" s="698">
        <f>IF(Allg!Erntejahr&gt;YearOld,CV7,CB7)</f>
        <v>1980</v>
      </c>
      <c r="BI7" s="698">
        <f>IF(Allg!Erntejahr&gt;YearOld,CW7,CC7)</f>
        <v>1470</v>
      </c>
      <c r="BJ7" s="698">
        <f>IF(Allg!Erntejahr&gt;YearOld,CX7,CD7)</f>
        <v>700</v>
      </c>
      <c r="BK7" s="698">
        <f>IF(Allg!Erntejahr&gt;YearOld,CY7,CE7)</f>
        <v>2840</v>
      </c>
      <c r="BL7" s="698">
        <f>IF(Allg!Erntejahr&gt;YearOld,CZ7,CF7)</f>
        <v>1100</v>
      </c>
      <c r="BM7" s="698">
        <f>IF(Allg!Erntejahr&gt;YearOld,DB7,CH7)</f>
        <v>0</v>
      </c>
      <c r="BN7" s="698">
        <f>IF(Allg!Erntejahr&gt;YearOld,DA7,CG7)</f>
        <v>31.5</v>
      </c>
      <c r="BO7" s="698">
        <v>860</v>
      </c>
      <c r="BP7" s="698">
        <v>1220</v>
      </c>
      <c r="BQ7" s="698">
        <v>450</v>
      </c>
      <c r="BR7" s="698">
        <v>450</v>
      </c>
      <c r="BS7" s="698">
        <v>2160</v>
      </c>
      <c r="BT7" s="698">
        <v>450</v>
      </c>
      <c r="BU7" s="698">
        <v>13.5</v>
      </c>
      <c r="BV7" s="698">
        <v>3800</v>
      </c>
      <c r="BW7" s="698">
        <v>3300</v>
      </c>
      <c r="BX7" s="698">
        <v>2300</v>
      </c>
      <c r="BY7" s="698">
        <v>2500</v>
      </c>
      <c r="BZ7" s="698">
        <v>3300</v>
      </c>
      <c r="CA7" s="698">
        <v>1840</v>
      </c>
      <c r="CB7" s="698">
        <v>1980</v>
      </c>
      <c r="CC7" s="698">
        <v>1200</v>
      </c>
      <c r="CD7" s="698">
        <v>700</v>
      </c>
      <c r="CE7" s="698">
        <v>2840</v>
      </c>
      <c r="CF7" s="698">
        <v>1100</v>
      </c>
      <c r="CG7" s="698">
        <v>31.5</v>
      </c>
      <c r="CH7" s="698"/>
      <c r="CI7" s="698">
        <v>560</v>
      </c>
      <c r="CJ7" s="698">
        <v>1220</v>
      </c>
      <c r="CK7" s="698">
        <v>300</v>
      </c>
      <c r="CL7" s="698">
        <v>300</v>
      </c>
      <c r="CM7" s="698">
        <v>2160</v>
      </c>
      <c r="CN7" s="698">
        <v>300</v>
      </c>
      <c r="CO7" s="698">
        <v>13.5</v>
      </c>
      <c r="CP7" s="698">
        <v>3800</v>
      </c>
      <c r="CQ7" s="698">
        <v>3300</v>
      </c>
      <c r="CR7" s="698">
        <v>2300</v>
      </c>
      <c r="CS7" s="698">
        <v>2500</v>
      </c>
      <c r="CT7" s="698">
        <v>3300</v>
      </c>
      <c r="CU7" s="698">
        <v>1840</v>
      </c>
      <c r="CV7" s="698">
        <v>1980</v>
      </c>
      <c r="CW7" s="698">
        <v>1470</v>
      </c>
      <c r="CX7" s="698">
        <v>700</v>
      </c>
      <c r="CY7" s="698">
        <v>2840</v>
      </c>
      <c r="CZ7" s="698">
        <v>1100</v>
      </c>
      <c r="DA7" s="698">
        <v>31.5</v>
      </c>
      <c r="DB7" s="698"/>
      <c r="DC7" s="698">
        <v>1</v>
      </c>
      <c r="DE7" s="698">
        <v>2</v>
      </c>
      <c r="DG7">
        <v>390</v>
      </c>
      <c r="DH7">
        <f t="shared" si="5"/>
        <v>0.24</v>
      </c>
      <c r="DI7">
        <v>0.8</v>
      </c>
    </row>
    <row r="8" spans="2:113" ht="12.75">
      <c r="B8" s="1" t="str">
        <f>Texte!A4957</f>
        <v>51 Bergzone I</v>
      </c>
      <c r="C8" s="2">
        <v>1.4</v>
      </c>
      <c r="D8" s="2">
        <v>0.7</v>
      </c>
      <c r="E8" s="2">
        <v>15</v>
      </c>
      <c r="F8" s="2">
        <v>700</v>
      </c>
      <c r="G8" s="2">
        <f>IF(Allg!Erntejahr&lt;2008,450,300)</f>
        <v>300</v>
      </c>
      <c r="H8" s="2">
        <f>IF(Allg!Erntejahr&lt;2010,700,2100)</f>
        <v>2100</v>
      </c>
      <c r="I8" s="2">
        <v>0</v>
      </c>
      <c r="J8" s="2">
        <v>0</v>
      </c>
      <c r="K8" s="2">
        <v>2300</v>
      </c>
      <c r="L8" s="2">
        <v>1300</v>
      </c>
      <c r="M8" s="2">
        <v>400</v>
      </c>
      <c r="N8" s="2">
        <f>AJ25</f>
        <v>410</v>
      </c>
      <c r="O8" s="2">
        <f>AK25</f>
        <v>620</v>
      </c>
      <c r="P8" s="2">
        <v>1500</v>
      </c>
      <c r="Q8" s="2">
        <v>3000</v>
      </c>
      <c r="R8" s="2">
        <v>5000</v>
      </c>
      <c r="S8" s="2">
        <v>1900</v>
      </c>
      <c r="T8" s="2">
        <v>1000</v>
      </c>
      <c r="U8" s="2">
        <v>1000</v>
      </c>
      <c r="V8" s="2">
        <v>1000</v>
      </c>
      <c r="W8" s="2">
        <v>1000</v>
      </c>
      <c r="X8" s="2">
        <v>500</v>
      </c>
      <c r="Y8" s="2">
        <v>30</v>
      </c>
      <c r="Z8" s="2">
        <v>2000</v>
      </c>
      <c r="AA8" s="2">
        <v>1000</v>
      </c>
      <c r="AB8" s="2">
        <v>1000</v>
      </c>
      <c r="AC8" s="2">
        <v>500</v>
      </c>
      <c r="AD8" s="2">
        <v>5</v>
      </c>
      <c r="AE8" s="2">
        <v>1000</v>
      </c>
      <c r="AF8" s="2">
        <v>1000</v>
      </c>
      <c r="AG8" s="2"/>
      <c r="AH8" s="2">
        <f t="shared" si="3"/>
        <v>690</v>
      </c>
      <c r="AI8" s="2">
        <f t="shared" si="4"/>
        <v>520</v>
      </c>
      <c r="AJ8" s="2">
        <v>480</v>
      </c>
      <c r="AK8" s="2" t="str">
        <f>$AK$6</f>
        <v>je ha LN</v>
      </c>
      <c r="AL8" s="296">
        <f>Fläche!$N$38</f>
        <v>137.40760000000003</v>
      </c>
      <c r="AM8" s="2">
        <f>ROUNDDOWN((Tierb!$G$9+Tierb!$G$17+Tierb!$G$52)*0.55+(Tierb!$G$13+Tierb!$G$14+Tierb!$G$16+Tierb!$G$53)*0.35+(Tierb!$G$15+Tierb!$G$28+Tierb!$G$29)*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8" s="698">
        <v>195</v>
      </c>
      <c r="AO8" s="698">
        <v>200</v>
      </c>
      <c r="AP8" s="698">
        <v>210</v>
      </c>
      <c r="AQ8" s="698">
        <v>220</v>
      </c>
      <c r="AR8" s="698">
        <v>270</v>
      </c>
      <c r="AT8" s="698">
        <f>IF(Allg!Erntejahr&gt;YearOld,CI8,BO8)</f>
        <v>300</v>
      </c>
      <c r="AU8" s="698">
        <f>IF(Allg!Erntejahr&gt;YearOld,CJ8,BP8)</f>
        <v>860</v>
      </c>
      <c r="AV8" s="698">
        <f>IF(Allg!Erntejahr&gt;YearOld,CK8,BQ8)</f>
        <v>300</v>
      </c>
      <c r="AW8" s="698">
        <f>IF(Allg!Erntejahr&gt;YearOld,CL8,BR8)</f>
        <v>300</v>
      </c>
      <c r="AX8" s="698">
        <f>IF(Allg!Erntejahr&gt;YearOld,CM8,BS8)</f>
        <v>2160</v>
      </c>
      <c r="AY8" s="698">
        <f>IF(Allg!Erntejahr&gt;YearOld,CN8,BT8)</f>
        <v>300</v>
      </c>
      <c r="AZ8" s="698">
        <f>IF(Allg!Erntejahr&gt;YearOld,CO8,BU8)</f>
        <v>13.5</v>
      </c>
      <c r="BA8" s="698">
        <f>IF(Allg!Erntejahr&gt;YearOld,CP8,BV8)</f>
        <v>0</v>
      </c>
      <c r="BB8" s="698">
        <f>IF(Allg!Erntejahr&gt;YearOld,CQ8,BW8)</f>
        <v>0</v>
      </c>
      <c r="BC8" s="698">
        <f>IF(Allg!Erntejahr&gt;YearOld,CR8,BX8)</f>
        <v>2300</v>
      </c>
      <c r="BD8" s="698">
        <v>300</v>
      </c>
      <c r="BE8" s="698">
        <f>IF(Allg!Erntejahr&gt;YearOld,CS8,BY8)</f>
        <v>0</v>
      </c>
      <c r="BF8" s="698">
        <f>IF(Allg!Erntejahr&gt;YearOld,CT8,BZ8)</f>
        <v>3300</v>
      </c>
      <c r="BG8" s="698">
        <f>IF(Allg!Erntejahr&gt;YearOld,CU8,CA8)</f>
        <v>1700</v>
      </c>
      <c r="BH8" s="698">
        <f>IF(Allg!Erntejahr&gt;YearOld,CV8,CB8)</f>
        <v>1840</v>
      </c>
      <c r="BI8" s="698">
        <f>IF(Allg!Erntejahr&gt;YearOld,CW8,CC8)</f>
        <v>1360</v>
      </c>
      <c r="BJ8" s="698">
        <f>IF(Allg!Erntejahr&gt;YearOld,CX8,CD8)</f>
        <v>700</v>
      </c>
      <c r="BK8" s="698">
        <f>IF(Allg!Erntejahr&gt;YearOld,CY8,CE8)</f>
        <v>2840</v>
      </c>
      <c r="BL8" s="698">
        <f>IF(Allg!Erntejahr&gt;YearOld,CZ8,CF8)</f>
        <v>1100</v>
      </c>
      <c r="BM8" s="698">
        <f>IF(Allg!Erntejahr&gt;YearOld,DB8,CH8)</f>
        <v>0</v>
      </c>
      <c r="BN8" s="698">
        <f>IF(Allg!Erntejahr&gt;YearOld,DA8,CG8)</f>
        <v>31.5</v>
      </c>
      <c r="BO8" s="698">
        <v>500</v>
      </c>
      <c r="BP8" s="698">
        <v>860</v>
      </c>
      <c r="BQ8" s="698">
        <v>450</v>
      </c>
      <c r="BR8" s="698">
        <v>450</v>
      </c>
      <c r="BS8" s="698">
        <v>2160</v>
      </c>
      <c r="BT8" s="698">
        <v>450</v>
      </c>
      <c r="BU8" s="698">
        <v>13.5</v>
      </c>
      <c r="BV8" s="698">
        <v>0</v>
      </c>
      <c r="BW8" s="698">
        <v>0</v>
      </c>
      <c r="BX8" s="698">
        <v>2300</v>
      </c>
      <c r="BY8" s="698">
        <v>0</v>
      </c>
      <c r="BZ8" s="698">
        <v>3300</v>
      </c>
      <c r="CA8" s="698">
        <v>1700</v>
      </c>
      <c r="CB8" s="698">
        <v>1840</v>
      </c>
      <c r="CC8" s="698">
        <v>1200</v>
      </c>
      <c r="CD8" s="698">
        <v>700</v>
      </c>
      <c r="CE8" s="698">
        <v>2840</v>
      </c>
      <c r="CF8" s="698">
        <v>1100</v>
      </c>
      <c r="CG8" s="698">
        <v>31.5</v>
      </c>
      <c r="CH8" s="698"/>
      <c r="CI8" s="698">
        <v>300</v>
      </c>
      <c r="CJ8" s="698">
        <v>860</v>
      </c>
      <c r="CK8" s="698">
        <v>300</v>
      </c>
      <c r="CL8" s="698">
        <v>300</v>
      </c>
      <c r="CM8" s="698">
        <v>2160</v>
      </c>
      <c r="CN8" s="698">
        <v>300</v>
      </c>
      <c r="CO8" s="698">
        <v>13.5</v>
      </c>
      <c r="CP8" s="698">
        <v>0</v>
      </c>
      <c r="CQ8" s="698">
        <v>0</v>
      </c>
      <c r="CR8" s="698">
        <v>2300</v>
      </c>
      <c r="CS8" s="698">
        <v>0</v>
      </c>
      <c r="CT8" s="698">
        <v>3300</v>
      </c>
      <c r="CU8" s="698">
        <v>1700</v>
      </c>
      <c r="CV8" s="698">
        <v>1840</v>
      </c>
      <c r="CW8" s="698">
        <v>1360</v>
      </c>
      <c r="CX8" s="698">
        <v>700</v>
      </c>
      <c r="CY8" s="698">
        <v>2840</v>
      </c>
      <c r="CZ8" s="698">
        <v>1100</v>
      </c>
      <c r="DA8" s="698">
        <v>31.5</v>
      </c>
      <c r="DB8" s="698"/>
      <c r="DC8" s="698">
        <v>2</v>
      </c>
      <c r="DE8" s="698">
        <v>3</v>
      </c>
      <c r="DG8">
        <v>510</v>
      </c>
      <c r="DH8">
        <f t="shared" si="5"/>
        <v>0.21</v>
      </c>
      <c r="DI8">
        <v>0.7</v>
      </c>
    </row>
    <row r="9" spans="2:113" ht="13.7" customHeight="1">
      <c r="B9" s="1" t="str">
        <f>Texte!A4958</f>
        <v>52 Bergzone II</v>
      </c>
      <c r="C9" s="2">
        <v>1.1000000000000001</v>
      </c>
      <c r="D9" s="2">
        <v>0.55000000000000004</v>
      </c>
      <c r="E9" s="2">
        <v>15</v>
      </c>
      <c r="F9" s="2">
        <v>700</v>
      </c>
      <c r="G9" s="2">
        <f>IF(Allg!Erntejahr&lt;2008,450,300)</f>
        <v>300</v>
      </c>
      <c r="H9" s="2">
        <f>IF(Allg!Erntejahr&lt;2010,700,2100)</f>
        <v>2100</v>
      </c>
      <c r="I9" s="2">
        <v>0</v>
      </c>
      <c r="J9" s="2">
        <v>0</v>
      </c>
      <c r="K9" s="2">
        <v>2300</v>
      </c>
      <c r="L9" s="2">
        <v>1300</v>
      </c>
      <c r="M9" s="2">
        <v>400</v>
      </c>
      <c r="N9" s="2">
        <f>AJ25</f>
        <v>410</v>
      </c>
      <c r="O9" s="2">
        <f>AK25</f>
        <v>620</v>
      </c>
      <c r="P9" s="2">
        <v>1500</v>
      </c>
      <c r="Q9" s="2">
        <v>3000</v>
      </c>
      <c r="R9" s="2">
        <v>5000</v>
      </c>
      <c r="S9" s="2">
        <v>1900</v>
      </c>
      <c r="T9" s="2">
        <v>1000</v>
      </c>
      <c r="U9" s="2">
        <v>1000</v>
      </c>
      <c r="V9" s="2">
        <v>1000</v>
      </c>
      <c r="W9" s="2">
        <v>1000</v>
      </c>
      <c r="X9" s="2">
        <v>500</v>
      </c>
      <c r="Y9" s="2">
        <v>30</v>
      </c>
      <c r="Z9" s="2">
        <v>2000</v>
      </c>
      <c r="AA9" s="2">
        <v>1000</v>
      </c>
      <c r="AB9" s="2">
        <v>1000</v>
      </c>
      <c r="AC9" s="2">
        <v>500</v>
      </c>
      <c r="AD9" s="2">
        <v>5</v>
      </c>
      <c r="AE9" s="2">
        <v>1000</v>
      </c>
      <c r="AF9" s="2">
        <v>1000</v>
      </c>
      <c r="AG9" s="2"/>
      <c r="AH9" s="2">
        <f t="shared" si="3"/>
        <v>690</v>
      </c>
      <c r="AI9" s="2">
        <f t="shared" si="4"/>
        <v>520</v>
      </c>
      <c r="AJ9" s="2">
        <v>730</v>
      </c>
      <c r="AK9" s="2" t="str">
        <f>$AK$6</f>
        <v>je ha LN</v>
      </c>
      <c r="AL9" s="296">
        <f>Fläche!$N$38</f>
        <v>137.40760000000003</v>
      </c>
      <c r="AM9" s="2">
        <f>ROUNDDOWN((Tierb!$G$9+Tierb!$G$17+Tierb!$G$52)*0.55+(Tierb!$G$13+Tierb!$G$14+Tierb!$G$16+Tierb!$G$53)*0.35+(Tierb!$G$15+Tierb!$G$29+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9" s="698">
        <v>195</v>
      </c>
      <c r="AO9" s="698">
        <v>200</v>
      </c>
      <c r="AP9" s="698">
        <v>210</v>
      </c>
      <c r="AQ9" s="698">
        <v>220</v>
      </c>
      <c r="AR9" s="698">
        <v>270</v>
      </c>
      <c r="AT9" s="698">
        <f>IF(Allg!Erntejahr&gt;YearOld,CI9,BO9)</f>
        <v>300</v>
      </c>
      <c r="AU9" s="698">
        <f>IF(Allg!Erntejahr&gt;YearOld,CJ9,BP9)</f>
        <v>860</v>
      </c>
      <c r="AV9" s="698">
        <f>IF(Allg!Erntejahr&gt;YearOld,CK9,BQ9)</f>
        <v>300</v>
      </c>
      <c r="AW9" s="698">
        <f>IF(Allg!Erntejahr&gt;YearOld,CL9,BR9)</f>
        <v>300</v>
      </c>
      <c r="AX9" s="698">
        <f>IF(Allg!Erntejahr&gt;YearOld,CM9,BS9)</f>
        <v>2160</v>
      </c>
      <c r="AY9" s="698">
        <f>IF(Allg!Erntejahr&gt;YearOld,CN9,BT9)</f>
        <v>300</v>
      </c>
      <c r="AZ9" s="698">
        <f>IF(Allg!Erntejahr&gt;YearOld,CO9,BU9)</f>
        <v>13.5</v>
      </c>
      <c r="BA9" s="698">
        <f>IF(Allg!Erntejahr&gt;YearOld,CP9,BV9)</f>
        <v>0</v>
      </c>
      <c r="BB9" s="698">
        <f>IF(Allg!Erntejahr&gt;YearOld,CQ9,BW9)</f>
        <v>0</v>
      </c>
      <c r="BC9" s="698">
        <f>IF(Allg!Erntejahr&gt;YearOld,CR9,BX9)</f>
        <v>2300</v>
      </c>
      <c r="BD9" s="698">
        <v>300</v>
      </c>
      <c r="BE9" s="698">
        <f>IF(Allg!Erntejahr&gt;YearOld,CS9,BY9)</f>
        <v>0</v>
      </c>
      <c r="BF9" s="698">
        <f>IF(Allg!Erntejahr&gt;YearOld,CT9,BZ9)</f>
        <v>3300</v>
      </c>
      <c r="BG9" s="698">
        <f>IF(Allg!Erntejahr&gt;YearOld,CU9,CA9)</f>
        <v>1700</v>
      </c>
      <c r="BH9" s="698">
        <f>IF(Allg!Erntejahr&gt;YearOld,CV9,CB9)</f>
        <v>1840</v>
      </c>
      <c r="BI9" s="698">
        <f>IF(Allg!Erntejahr&gt;YearOld,CW9,CC9)</f>
        <v>1360</v>
      </c>
      <c r="BJ9" s="698">
        <f>IF(Allg!Erntejahr&gt;YearOld,CX9,CD9)</f>
        <v>700</v>
      </c>
      <c r="BK9" s="698">
        <f>IF(Allg!Erntejahr&gt;YearOld,CY9,CE9)</f>
        <v>2840</v>
      </c>
      <c r="BL9" s="698">
        <f>IF(Allg!Erntejahr&gt;YearOld,CZ9,CF9)</f>
        <v>1100</v>
      </c>
      <c r="BM9" s="698">
        <f>IF(Allg!Erntejahr&gt;YearOld,DB9,CH9)</f>
        <v>0</v>
      </c>
      <c r="BN9" s="698">
        <f>IF(Allg!Erntejahr&gt;YearOld,DA9,CG9)</f>
        <v>31.5</v>
      </c>
      <c r="BO9" s="698">
        <v>500</v>
      </c>
      <c r="BP9" s="698">
        <v>860</v>
      </c>
      <c r="BQ9" s="698">
        <v>450</v>
      </c>
      <c r="BR9" s="698">
        <v>450</v>
      </c>
      <c r="BS9" s="698">
        <v>2160</v>
      </c>
      <c r="BT9" s="698">
        <v>450</v>
      </c>
      <c r="BU9" s="698">
        <v>13.5</v>
      </c>
      <c r="BV9" s="698">
        <v>0</v>
      </c>
      <c r="BW9" s="698">
        <v>0</v>
      </c>
      <c r="BX9" s="698">
        <v>2300</v>
      </c>
      <c r="BY9" s="698">
        <v>0</v>
      </c>
      <c r="BZ9" s="698">
        <v>3300</v>
      </c>
      <c r="CA9" s="698">
        <v>1700</v>
      </c>
      <c r="CB9" s="698">
        <v>1840</v>
      </c>
      <c r="CC9" s="698">
        <v>1200</v>
      </c>
      <c r="CD9" s="698">
        <v>700</v>
      </c>
      <c r="CE9" s="698">
        <v>2840</v>
      </c>
      <c r="CF9" s="698">
        <v>1100</v>
      </c>
      <c r="CG9" s="698">
        <v>31.5</v>
      </c>
      <c r="CH9" s="698"/>
      <c r="CI9" s="698">
        <v>300</v>
      </c>
      <c r="CJ9" s="698">
        <v>860</v>
      </c>
      <c r="CK9" s="698">
        <v>300</v>
      </c>
      <c r="CL9" s="698">
        <v>300</v>
      </c>
      <c r="CM9" s="698">
        <v>2160</v>
      </c>
      <c r="CN9" s="698">
        <v>300</v>
      </c>
      <c r="CO9" s="698">
        <v>13.5</v>
      </c>
      <c r="CP9" s="698">
        <v>0</v>
      </c>
      <c r="CQ9" s="698">
        <v>0</v>
      </c>
      <c r="CR9" s="698">
        <v>2300</v>
      </c>
      <c r="CS9" s="698">
        <v>0</v>
      </c>
      <c r="CT9" s="698">
        <v>3300</v>
      </c>
      <c r="CU9" s="698">
        <v>1700</v>
      </c>
      <c r="CV9" s="698">
        <v>1840</v>
      </c>
      <c r="CW9" s="698">
        <v>1360</v>
      </c>
      <c r="CX9" s="698">
        <v>700</v>
      </c>
      <c r="CY9" s="698">
        <v>2840</v>
      </c>
      <c r="CZ9" s="698">
        <v>1100</v>
      </c>
      <c r="DA9" s="698">
        <v>31.5</v>
      </c>
      <c r="DB9" s="698"/>
      <c r="DC9" s="698">
        <v>2</v>
      </c>
      <c r="DE9" s="698">
        <v>4</v>
      </c>
      <c r="DG9">
        <v>550</v>
      </c>
      <c r="DH9">
        <f t="shared" si="5"/>
        <v>0.18</v>
      </c>
      <c r="DI9">
        <v>0.6</v>
      </c>
    </row>
    <row r="10" spans="2:113" ht="12.75">
      <c r="B10" s="1" t="str">
        <f>Texte!A4959</f>
        <v>53 Bergzone III</v>
      </c>
      <c r="C10" s="2">
        <v>0.9</v>
      </c>
      <c r="D10" s="2">
        <v>0.45</v>
      </c>
      <c r="E10" s="2">
        <v>15</v>
      </c>
      <c r="F10" s="2">
        <v>450</v>
      </c>
      <c r="G10" s="2">
        <v>300</v>
      </c>
      <c r="H10" s="2">
        <f>IF(Allg!Erntejahr&lt;2010,450,1900)</f>
        <v>1900</v>
      </c>
      <c r="I10" s="2">
        <v>0</v>
      </c>
      <c r="J10" s="2">
        <v>0</v>
      </c>
      <c r="K10" s="698"/>
      <c r="L10" s="2">
        <v>1300</v>
      </c>
      <c r="M10" s="2">
        <v>400</v>
      </c>
      <c r="N10" s="2">
        <f>AJ25</f>
        <v>410</v>
      </c>
      <c r="O10" s="2">
        <f>AK25</f>
        <v>620</v>
      </c>
      <c r="P10" s="2">
        <v>1500</v>
      </c>
      <c r="Q10" s="2">
        <v>3000</v>
      </c>
      <c r="R10" s="2">
        <v>5000</v>
      </c>
      <c r="S10" s="2">
        <v>1900</v>
      </c>
      <c r="T10" s="2">
        <v>1000</v>
      </c>
      <c r="U10" s="2">
        <v>1000</v>
      </c>
      <c r="V10" s="2">
        <v>1000</v>
      </c>
      <c r="W10" s="2">
        <v>700</v>
      </c>
      <c r="X10" s="2">
        <v>300</v>
      </c>
      <c r="Y10" s="2">
        <v>30</v>
      </c>
      <c r="Z10" s="2">
        <v>2000</v>
      </c>
      <c r="AA10" s="2">
        <v>1000</v>
      </c>
      <c r="AB10" s="2">
        <v>500</v>
      </c>
      <c r="AC10" s="2">
        <v>300</v>
      </c>
      <c r="AD10" s="2">
        <v>5</v>
      </c>
      <c r="AE10" s="2">
        <v>500</v>
      </c>
      <c r="AF10" s="2">
        <v>500</v>
      </c>
      <c r="AG10" s="2"/>
      <c r="AH10" s="2">
        <f t="shared" si="3"/>
        <v>690</v>
      </c>
      <c r="AI10" s="2">
        <f t="shared" si="4"/>
        <v>520</v>
      </c>
      <c r="AJ10" s="2">
        <v>970</v>
      </c>
      <c r="AK10" s="2" t="str">
        <f>$AK$6</f>
        <v>je ha LN</v>
      </c>
      <c r="AL10" s="296">
        <f>Fläche!$N$38</f>
        <v>137.40760000000003</v>
      </c>
      <c r="AM10" s="2">
        <f>ROUNDDOWN((Tierb!$G$9+Tierb!$G$17+Tierb!$G$52)*0.55+(Tierb!$G$13+Tierb!$G$14+Tierb!$G$16+Tierb!$G$53)*0.35+(Tierb!$G$15+Tierb!$G$29+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10" s="698">
        <v>195</v>
      </c>
      <c r="AO10" s="698">
        <v>200</v>
      </c>
      <c r="AP10" s="698">
        <v>210</v>
      </c>
      <c r="AQ10" s="698">
        <v>220</v>
      </c>
      <c r="AR10" s="698">
        <v>270</v>
      </c>
      <c r="AT10" s="698">
        <v>300</v>
      </c>
      <c r="AU10" s="698">
        <f>IF(Allg!Erntejahr&gt;YearOld,CJ10,BP10)</f>
        <v>680</v>
      </c>
      <c r="AV10" s="698">
        <f>IF(Allg!Erntejahr&gt;YearOld,CK10,BQ10)</f>
        <v>300</v>
      </c>
      <c r="AW10" s="698">
        <f>IF(Allg!Erntejahr&gt;YearOld,CL10,BR10)</f>
        <v>300</v>
      </c>
      <c r="AX10" s="698">
        <f>IF(Allg!Erntejahr&gt;YearOld,CM10,BS10)</f>
        <v>2160</v>
      </c>
      <c r="AY10" s="698">
        <f>IF(Allg!Erntejahr&gt;YearOld,CN10,BT10)</f>
        <v>300</v>
      </c>
      <c r="AZ10" s="698">
        <f>IF(Allg!Erntejahr&gt;YearOld,CO10,BU10)</f>
        <v>13.5</v>
      </c>
      <c r="BA10" s="698">
        <f>IF(Allg!Erntejahr&gt;YearOld,CP10,BV10)</f>
        <v>0</v>
      </c>
      <c r="BB10" s="698">
        <f>IF(Allg!Erntejahr&gt;YearOld,CQ10,BW10)</f>
        <v>0</v>
      </c>
      <c r="BC10" s="698">
        <f>IF(Allg!Erntejahr&gt;YearOld,CR10,BX10)</f>
        <v>2300</v>
      </c>
      <c r="BD10" s="698">
        <v>300</v>
      </c>
      <c r="BE10" s="698">
        <f>IF(Allg!Erntejahr&gt;YearOld,CS10,BY10)</f>
        <v>0</v>
      </c>
      <c r="BF10" s="698">
        <f>IF(Allg!Erntejahr&gt;YearOld,CT10,BZ10)</f>
        <v>0</v>
      </c>
      <c r="BG10" s="698">
        <f>IF(Allg!Erntejahr&gt;YearOld,CU10,CA10)</f>
        <v>1100</v>
      </c>
      <c r="BH10" s="698">
        <f>IF(Allg!Erntejahr&gt;YearOld,CV10,CB10)</f>
        <v>1770</v>
      </c>
      <c r="BI10" s="698">
        <f>IF(Allg!Erntejahr&gt;YearOld,CW10,CC10)</f>
        <v>1000</v>
      </c>
      <c r="BJ10" s="698">
        <f>IF(Allg!Erntejahr&gt;YearOld,CX10,CD10)</f>
        <v>700</v>
      </c>
      <c r="BK10" s="698">
        <f>IF(Allg!Erntejahr&gt;YearOld,CY10,CE10)</f>
        <v>2840</v>
      </c>
      <c r="BL10" s="698">
        <f>IF(Allg!Erntejahr&gt;YearOld,CZ10,CF10)</f>
        <v>1100</v>
      </c>
      <c r="BM10" s="698">
        <f>IF(Allg!Erntejahr&gt;YearOld,DB10,CH10)</f>
        <v>0</v>
      </c>
      <c r="BN10" s="698">
        <f>IF(Allg!Erntejahr&gt;YearOld,DA10,CG10)</f>
        <v>31.5</v>
      </c>
      <c r="BO10" s="698">
        <v>450</v>
      </c>
      <c r="BP10" s="698">
        <v>680</v>
      </c>
      <c r="BQ10" s="698">
        <v>450</v>
      </c>
      <c r="BR10" s="698">
        <v>450</v>
      </c>
      <c r="BS10" s="698">
        <v>2160</v>
      </c>
      <c r="BT10" s="698">
        <v>450</v>
      </c>
      <c r="BU10" s="698">
        <v>13.5</v>
      </c>
      <c r="BV10" s="698">
        <v>0</v>
      </c>
      <c r="BW10" s="698">
        <v>0</v>
      </c>
      <c r="BX10" s="698">
        <v>2300</v>
      </c>
      <c r="BY10" s="698">
        <v>0</v>
      </c>
      <c r="BZ10" s="698">
        <v>0</v>
      </c>
      <c r="CA10" s="698">
        <v>1100</v>
      </c>
      <c r="CB10" s="698">
        <v>1770</v>
      </c>
      <c r="CC10" s="698">
        <v>1000</v>
      </c>
      <c r="CD10" s="698">
        <v>700</v>
      </c>
      <c r="CE10" s="698">
        <v>2840</v>
      </c>
      <c r="CF10" s="698">
        <v>1100</v>
      </c>
      <c r="CG10" s="698">
        <v>31.5</v>
      </c>
      <c r="CH10" s="698"/>
      <c r="CI10" s="698">
        <v>450</v>
      </c>
      <c r="CJ10" s="698">
        <v>680</v>
      </c>
      <c r="CK10" s="698">
        <v>300</v>
      </c>
      <c r="CL10" s="698">
        <v>300</v>
      </c>
      <c r="CM10" s="698">
        <v>2160</v>
      </c>
      <c r="CN10" s="698">
        <v>300</v>
      </c>
      <c r="CO10" s="698">
        <v>13.5</v>
      </c>
      <c r="CP10" s="698">
        <v>0</v>
      </c>
      <c r="CQ10" s="698">
        <v>0</v>
      </c>
      <c r="CR10" s="698">
        <v>2300</v>
      </c>
      <c r="CS10" s="698">
        <v>0</v>
      </c>
      <c r="CT10" s="698">
        <v>0</v>
      </c>
      <c r="CU10" s="698">
        <v>1100</v>
      </c>
      <c r="CV10" s="698">
        <v>1770</v>
      </c>
      <c r="CW10" s="698">
        <v>1000</v>
      </c>
      <c r="CX10" s="698">
        <v>700</v>
      </c>
      <c r="CY10" s="698">
        <v>2840</v>
      </c>
      <c r="CZ10" s="698">
        <v>1100</v>
      </c>
      <c r="DA10" s="698">
        <v>31.5</v>
      </c>
      <c r="DB10" s="698"/>
      <c r="DC10" s="698">
        <v>2</v>
      </c>
      <c r="DE10" s="698">
        <v>5</v>
      </c>
      <c r="DG10">
        <v>570</v>
      </c>
      <c r="DH10">
        <f t="shared" si="5"/>
        <v>0.15</v>
      </c>
      <c r="DI10">
        <v>0.5</v>
      </c>
    </row>
    <row r="11" spans="2:113" ht="12.75">
      <c r="B11" s="1" t="str">
        <f>Texte!A4960</f>
        <v>54 Bergzone IV</v>
      </c>
      <c r="C11" s="2">
        <v>0.8</v>
      </c>
      <c r="D11" s="2">
        <v>0.4</v>
      </c>
      <c r="E11" s="2">
        <v>15</v>
      </c>
      <c r="F11" s="2">
        <v>450</v>
      </c>
      <c r="G11" s="2">
        <v>300</v>
      </c>
      <c r="H11" s="2">
        <f>IF(Allg!Erntejahr&lt;2010,450,1900)</f>
        <v>1900</v>
      </c>
      <c r="I11" s="2">
        <v>0</v>
      </c>
      <c r="J11" s="2">
        <v>0</v>
      </c>
      <c r="K11" s="698"/>
      <c r="L11" s="2">
        <v>1300</v>
      </c>
      <c r="M11" s="2">
        <v>400</v>
      </c>
      <c r="N11" s="2">
        <f>AJ25</f>
        <v>410</v>
      </c>
      <c r="O11" s="2">
        <f>AK25</f>
        <v>620</v>
      </c>
      <c r="P11" s="2">
        <v>1500</v>
      </c>
      <c r="Q11" s="2">
        <v>3000</v>
      </c>
      <c r="R11" s="2">
        <v>5000</v>
      </c>
      <c r="S11" s="2">
        <v>1900</v>
      </c>
      <c r="T11" s="2">
        <v>1000</v>
      </c>
      <c r="U11" s="2">
        <v>1000</v>
      </c>
      <c r="V11" s="2">
        <v>1000</v>
      </c>
      <c r="W11" s="2">
        <v>700</v>
      </c>
      <c r="X11" s="2">
        <v>300</v>
      </c>
      <c r="Y11" s="2">
        <v>30</v>
      </c>
      <c r="Z11" s="2">
        <v>2000</v>
      </c>
      <c r="AA11" s="2">
        <v>1000</v>
      </c>
      <c r="AB11" s="2">
        <v>500</v>
      </c>
      <c r="AC11" s="2">
        <v>300</v>
      </c>
      <c r="AD11" s="2">
        <v>5</v>
      </c>
      <c r="AE11" s="2">
        <v>500</v>
      </c>
      <c r="AF11" s="2">
        <v>500</v>
      </c>
      <c r="AG11" s="2"/>
      <c r="AH11" s="2">
        <f t="shared" si="3"/>
        <v>690</v>
      </c>
      <c r="AI11" s="2">
        <f t="shared" si="4"/>
        <v>520</v>
      </c>
      <c r="AJ11" s="2">
        <v>1230</v>
      </c>
      <c r="AK11" s="2" t="str">
        <f>$AK$6</f>
        <v>je ha LN</v>
      </c>
      <c r="AL11" s="296">
        <f>Fläche!$N$38</f>
        <v>137.40760000000003</v>
      </c>
      <c r="AM11" s="2">
        <f>ROUNDDOWN((Tierb!$G$9+Tierb!$G$17+Tierb!$G$52)*0.55+(Tierb!$G$13+Tierb!$G$14+Tierb!$G$16+Tierb!$G$53)*0.35+(Tierb!$G$15+Tierb!$G$28+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11" s="698">
        <v>195</v>
      </c>
      <c r="AO11" s="698">
        <v>200</v>
      </c>
      <c r="AP11" s="698">
        <v>210</v>
      </c>
      <c r="AQ11" s="698">
        <v>220</v>
      </c>
      <c r="AR11" s="698">
        <v>270</v>
      </c>
      <c r="AT11" s="698">
        <v>300</v>
      </c>
      <c r="AU11" s="698">
        <f>IF(Allg!Erntejahr&gt;YearOld,CJ11,BP11)</f>
        <v>680</v>
      </c>
      <c r="AV11" s="698">
        <f>IF(Allg!Erntejahr&gt;YearOld,CK11,BQ11)</f>
        <v>300</v>
      </c>
      <c r="AW11" s="698">
        <f>IF(Allg!Erntejahr&gt;YearOld,CL11,BR11)</f>
        <v>300</v>
      </c>
      <c r="AX11" s="698">
        <f>IF(Allg!Erntejahr&gt;YearOld,CM11,BS11)</f>
        <v>2160</v>
      </c>
      <c r="AY11" s="698">
        <f>IF(Allg!Erntejahr&gt;YearOld,CN11,BT11)</f>
        <v>300</v>
      </c>
      <c r="AZ11" s="698">
        <f>IF(Allg!Erntejahr&gt;YearOld,CO11,BU11)</f>
        <v>13.5</v>
      </c>
      <c r="BA11" s="698">
        <f>IF(Allg!Erntejahr&gt;YearOld,CP11,BV11)</f>
        <v>0</v>
      </c>
      <c r="BB11" s="698">
        <f>IF(Allg!Erntejahr&gt;YearOld,CQ11,BW11)</f>
        <v>0</v>
      </c>
      <c r="BC11" s="698">
        <f>IF(Allg!Erntejahr&gt;YearOld,CR11,BX11)</f>
        <v>2300</v>
      </c>
      <c r="BD11" s="698">
        <v>300</v>
      </c>
      <c r="BE11" s="698">
        <f>IF(Allg!Erntejahr&gt;YearOld,CS11,BY11)</f>
        <v>0</v>
      </c>
      <c r="BF11" s="698">
        <f>IF(Allg!Erntejahr&gt;YearOld,CT11,BZ11)</f>
        <v>0</v>
      </c>
      <c r="BG11" s="698">
        <f>IF(Allg!Erntejahr&gt;YearOld,CU11,CA11)</f>
        <v>1100</v>
      </c>
      <c r="BH11" s="698">
        <f>IF(Allg!Erntejahr&gt;YearOld,CV11,CB11)</f>
        <v>1770</v>
      </c>
      <c r="BI11" s="698">
        <f>IF(Allg!Erntejahr&gt;YearOld,CW11,CC11)</f>
        <v>1000</v>
      </c>
      <c r="BJ11" s="698">
        <f>IF(Allg!Erntejahr&gt;YearOld,CX11,CD11)</f>
        <v>700</v>
      </c>
      <c r="BK11" s="698">
        <f>IF(Allg!Erntejahr&gt;YearOld,CY11,CE11)</f>
        <v>2840</v>
      </c>
      <c r="BL11" s="698">
        <f>IF(Allg!Erntejahr&gt;YearOld,CZ11,CF11)</f>
        <v>1100</v>
      </c>
      <c r="BM11" s="698">
        <f>IF(Allg!Erntejahr&gt;YearOld,DB11,CH11)</f>
        <v>150</v>
      </c>
      <c r="BN11" s="698">
        <f>IF(Allg!Erntejahr&gt;YearOld,DA11,CG11)</f>
        <v>31.5</v>
      </c>
      <c r="BO11" s="698">
        <v>450</v>
      </c>
      <c r="BP11" s="698">
        <v>680</v>
      </c>
      <c r="BQ11" s="698">
        <v>450</v>
      </c>
      <c r="BR11" s="698">
        <v>450</v>
      </c>
      <c r="BS11" s="698">
        <v>2160</v>
      </c>
      <c r="BT11" s="698">
        <v>450</v>
      </c>
      <c r="BU11" s="698">
        <v>13.5</v>
      </c>
      <c r="BV11" s="698">
        <v>0</v>
      </c>
      <c r="BW11" s="698">
        <v>0</v>
      </c>
      <c r="BX11" s="698">
        <v>2300</v>
      </c>
      <c r="BY11" s="698">
        <v>0</v>
      </c>
      <c r="BZ11" s="698">
        <v>0</v>
      </c>
      <c r="CA11" s="698">
        <v>1100</v>
      </c>
      <c r="CB11" s="698">
        <v>1770</v>
      </c>
      <c r="CC11" s="698">
        <v>1000</v>
      </c>
      <c r="CD11" s="698">
        <v>700</v>
      </c>
      <c r="CE11" s="698">
        <v>2840</v>
      </c>
      <c r="CF11" s="698">
        <v>1100</v>
      </c>
      <c r="CG11" s="698">
        <v>31.5</v>
      </c>
      <c r="CH11" s="698">
        <v>150</v>
      </c>
      <c r="CI11" s="698">
        <v>450</v>
      </c>
      <c r="CJ11" s="698">
        <v>680</v>
      </c>
      <c r="CK11" s="698">
        <v>300</v>
      </c>
      <c r="CL11" s="698">
        <v>300</v>
      </c>
      <c r="CM11" s="698">
        <v>2160</v>
      </c>
      <c r="CN11" s="698">
        <v>300</v>
      </c>
      <c r="CO11" s="698">
        <v>13.5</v>
      </c>
      <c r="CP11" s="698">
        <v>0</v>
      </c>
      <c r="CQ11" s="698">
        <v>0</v>
      </c>
      <c r="CR11" s="698">
        <v>2300</v>
      </c>
      <c r="CS11" s="698">
        <v>0</v>
      </c>
      <c r="CT11" s="698">
        <v>0</v>
      </c>
      <c r="CU11" s="698">
        <v>1100</v>
      </c>
      <c r="CV11" s="698">
        <v>1770</v>
      </c>
      <c r="CW11" s="698">
        <v>1000</v>
      </c>
      <c r="CX11" s="698">
        <v>700</v>
      </c>
      <c r="CY11" s="698">
        <v>2840</v>
      </c>
      <c r="CZ11" s="698">
        <v>1100</v>
      </c>
      <c r="DA11" s="698">
        <v>31.5</v>
      </c>
      <c r="DB11" s="698">
        <v>150</v>
      </c>
      <c r="DC11" s="698">
        <v>2</v>
      </c>
      <c r="DE11" s="698">
        <v>6</v>
      </c>
      <c r="DG11">
        <v>590</v>
      </c>
      <c r="DH11">
        <f t="shared" si="5"/>
        <v>0.12</v>
      </c>
      <c r="DI11">
        <v>0.4</v>
      </c>
    </row>
    <row r="12" spans="2:113" ht="12.75">
      <c r="B12" s="1" t="str">
        <f>Texte!A4961</f>
        <v>Tabellarische Koeffizienten</v>
      </c>
      <c r="C12" s="2">
        <f>VLOOKUP(Allg!KlickZonenEintlg,$B$5:$AR$11,COLUMN()-1,FALSE)</f>
        <v>2</v>
      </c>
      <c r="D12" s="2">
        <f>VLOOKUP(Allg!KlickZonenEintlg,$B$5:$AR$11,COLUMN()-1,FALSE)</f>
        <v>1</v>
      </c>
      <c r="E12" s="2">
        <f>VLOOKUP(Allg!KlickZonenEintlg,$B$5:$AR$11,COLUMN()-1,FALSE)</f>
        <v>15</v>
      </c>
      <c r="F12" s="2">
        <f>VLOOKUP(Allg!KlickZonenEintlg,$B$5:$AR$11,COLUMN()-1,FALSE)</f>
        <v>1500</v>
      </c>
      <c r="G12" s="2">
        <f>VLOOKUP(Allg!KlickZonenEintlg,$B$5:$AR$11,COLUMN()-1,FALSE)</f>
        <v>300</v>
      </c>
      <c r="H12" s="2">
        <f>VLOOKUP(Allg!KlickZonenEintlg,$B$5:$AR$11,COLUMN()-1,FALSE)</f>
        <v>2500</v>
      </c>
      <c r="I12" s="2">
        <f>VLOOKUP(Allg!KlickZonenEintlg,$B$5:$AR$11,COLUMN()-1,FALSE)</f>
        <v>2800</v>
      </c>
      <c r="J12" s="2">
        <f>VLOOKUP(Allg!KlickZonenEintlg,$B$5:$AR$11,COLUMN()-1,FALSE)</f>
        <v>2300</v>
      </c>
      <c r="K12" s="2">
        <f>VLOOKUP(Allg!KlickZonenEintlg,$B$5:$AR$11,COLUMN()-1,FALSE)</f>
        <v>2300</v>
      </c>
      <c r="L12" s="2">
        <f>VLOOKUP(Allg!KlickZonenEintlg,$B$5:$AR$11,COLUMN()-1,FALSE)</f>
        <v>1300</v>
      </c>
      <c r="M12" s="2">
        <f>VLOOKUP(Allg!KlickZonenEintlg,$B$5:$AR$11,COLUMN()-1,FALSE)</f>
        <v>400</v>
      </c>
      <c r="N12" s="2">
        <f>VLOOKUP(Allg!KlickZonenEintlg,$B$5:$AR$11,COLUMN()-1,FALSE)</f>
        <v>0</v>
      </c>
      <c r="O12" s="2">
        <f>VLOOKUP(Allg!KlickZonenEintlg,$B$5:$AR$11,COLUMN()-1,FALSE)</f>
        <v>0</v>
      </c>
      <c r="P12" s="2">
        <f>VLOOKUP(Allg!KlickZonenEintlg,$B$5:$AR$11,COLUMN()-1,FALSE)</f>
        <v>1500</v>
      </c>
      <c r="Q12" s="2">
        <f>VLOOKUP(Allg!KlickZonenEintlg,$B$5:$AR$11,COLUMN()-1,FALSE)</f>
        <v>3000</v>
      </c>
      <c r="R12" s="2">
        <f>VLOOKUP(Allg!KlickZonenEintlg,$B$5:$AR$11,COLUMN()-1,FALSE)</f>
        <v>5000</v>
      </c>
      <c r="S12" s="2">
        <f>VLOOKUP(Allg!KlickZonenEintlg,$B$5:$AR$11,COLUMN()-1,FALSE)</f>
        <v>1900</v>
      </c>
      <c r="T12" s="2">
        <f>VLOOKUP(Allg!KlickZonenEintlg,$B$5:$AR$11,COLUMN()-1,FALSE)</f>
        <v>1000</v>
      </c>
      <c r="U12" s="2">
        <f>VLOOKUP(Allg!KlickZonenEintlg,$B$5:$AR$11,COLUMN()-1,FALSE)</f>
        <v>1000</v>
      </c>
      <c r="V12" s="2">
        <f>VLOOKUP(Allg!KlickZonenEintlg,$B$5:$AR$11,COLUMN()-1,FALSE)</f>
        <v>1000</v>
      </c>
      <c r="W12" s="2">
        <f>VLOOKUP(Allg!KlickZonenEintlg,$B$5:$AR$11,COLUMN()-1,FALSE)</f>
        <v>1000</v>
      </c>
      <c r="X12" s="2">
        <f>VLOOKUP(Allg!KlickZonenEintlg,$B$5:$AR$11,COLUMN()-1,FALSE)</f>
        <v>500</v>
      </c>
      <c r="Y12" s="2">
        <f>VLOOKUP(Allg!KlickZonenEintlg,$B$5:$AR$11,COLUMN()-1,FALSE)</f>
        <v>30</v>
      </c>
      <c r="Z12" s="2">
        <f>VLOOKUP(Allg!KlickZonenEintlg,$B$5:$AR$11,COLUMN()-1,FALSE)</f>
        <v>2000</v>
      </c>
      <c r="AA12" s="2">
        <f>VLOOKUP(Allg!KlickZonenEintlg,$B$5:$AR$11,COLUMN()-1,FALSE)</f>
        <v>1000</v>
      </c>
      <c r="AB12" s="2">
        <f>VLOOKUP(Allg!KlickZonenEintlg,$B$5:$AR$11,COLUMN()-1,FALSE)</f>
        <v>1000</v>
      </c>
      <c r="AC12" s="2">
        <f>VLOOKUP(Allg!KlickZonenEintlg,$B$5:$AR$11,COLUMN()-1,FALSE)</f>
        <v>500</v>
      </c>
      <c r="AD12" s="2">
        <f>VLOOKUP(Allg!KlickZonenEintlg,$B$5:$AR$11,COLUMN()-1,FALSE)</f>
        <v>5</v>
      </c>
      <c r="AE12" s="2">
        <f>VLOOKUP(Allg!KlickZonenEintlg,$B$5:$AR$11,COLUMN()-1,FALSE)</f>
        <v>1000</v>
      </c>
      <c r="AF12" s="2">
        <f>VLOOKUP(Allg!KlickZonenEintlg,$B$5:$AR$11,COLUMN()-1,FALSE)</f>
        <v>1000</v>
      </c>
      <c r="AG12" s="2"/>
      <c r="AH12" s="2">
        <f>VLOOKUP(Allg!KlickZonenEintlg,$B$5:$AR$11,COLUMN()-1,FALSE)</f>
        <v>690</v>
      </c>
      <c r="AI12" s="2">
        <f>VLOOKUP(Allg!KlickZonenEintlg,$B$5:$AR$11,COLUMN()-1,FALSE)</f>
        <v>520</v>
      </c>
      <c r="AJ12" s="2">
        <f>VLOOKUP(Allg!KlickZonenEintlg,$B$5:$AR$11,COLUMN()-1,FALSE)</f>
        <v>0</v>
      </c>
      <c r="AK12" s="2" t="str">
        <f>VLOOKUP(Allg!KlickZonenEintlg,$B$5:$AR$11,COLUMN()-1,FALSE)</f>
        <v>je ha LN</v>
      </c>
      <c r="AL12" s="2">
        <f>VLOOKUP(Allg!KlickZonenEintlg,$B$5:$AR$11,COLUMN()-1,FALSE)</f>
        <v>137.40760000000003</v>
      </c>
      <c r="AM12" s="2">
        <f>VLOOKUP(Allg!KlickZonenEintlg,$B$5:$AR$11,COLUMN()-1,FALSE)</f>
        <v>300</v>
      </c>
      <c r="AN12" s="2">
        <f>VLOOKUP(Allg!KlickZonenEintlg,$B$5:$AR$11,COLUMN()-1,FALSE)</f>
        <v>175</v>
      </c>
      <c r="AO12" s="2">
        <f>VLOOKUP(Allg!KlickZonenEintlg,$B$5:$AR$11,COLUMN()-1,FALSE)</f>
        <v>180</v>
      </c>
      <c r="AP12" s="2">
        <f>VLOOKUP(Allg!KlickZonenEintlg,$B$5:$AR$11,COLUMN()-1,FALSE)</f>
        <v>190</v>
      </c>
      <c r="AQ12" s="2">
        <f>VLOOKUP(Allg!KlickZonenEintlg,$B$5:$AR$11,COLUMN()-1,FALSE)</f>
        <v>200</v>
      </c>
      <c r="AR12" s="2">
        <f>VLOOKUP(Allg!KlickZonenEintlg,$B$5:$AR$11,COLUMN()-1,FALSE)</f>
        <v>250</v>
      </c>
      <c r="AT12" s="698">
        <f>VLOOKUP(Allg!KlickZonenEintlg,$B$5:$AZ$11,COLUMN()-1,FALSE)</f>
        <v>780</v>
      </c>
      <c r="AU12" s="698">
        <f>VLOOKUP(Allg!KlickZonenEintlg,$B$5:$AZ$11,COLUMN()-1,FALSE)</f>
        <v>1440</v>
      </c>
      <c r="AV12" s="698">
        <f>VLOOKUP(Allg!KlickZonenEintlg,$B$5:$AZ$11,COLUMN()-1,FALSE)</f>
        <v>300</v>
      </c>
      <c r="AW12" s="698">
        <f>VLOOKUP(Allg!KlickZonenEintlg,$B$5:$AZ$11,COLUMN()-1,FALSE)</f>
        <v>300</v>
      </c>
      <c r="AX12" s="698">
        <f>VLOOKUP(Allg!KlickZonenEintlg,$B$5:$AZ$11,COLUMN()-1,FALSE)</f>
        <v>2160</v>
      </c>
      <c r="AY12" s="698">
        <f>VLOOKUP(Allg!KlickZonenEintlg,$B$5:$AZ$11,COLUMN()-1,FALSE)</f>
        <v>300</v>
      </c>
      <c r="AZ12" s="698">
        <f>VLOOKUP(Allg!KlickZonenEintlg,$B$5:$AZ$11,COLUMN()-1,FALSE)</f>
        <v>13.5</v>
      </c>
      <c r="BA12" s="698">
        <f>VLOOKUP(Allg!KlickZonenEintlg,$B$5:$BF$11,COLUMN()-1,FALSE)</f>
        <v>3800</v>
      </c>
      <c r="BB12" s="698">
        <f>VLOOKUP(Allg!KlickZonenEintlg,$B$5:$BF$11,COLUMN()-1,FALSE)</f>
        <v>3300</v>
      </c>
      <c r="BC12" s="698">
        <f>VLOOKUP(Allg!KlickZonenEintlg,$B$5:$BF$11,COLUMN()-1,FALSE)</f>
        <v>2300</v>
      </c>
      <c r="BD12" s="698">
        <v>0</v>
      </c>
      <c r="BE12" s="698">
        <v>0</v>
      </c>
      <c r="BF12" s="698">
        <f>VLOOKUP(Allg!KlickZonenEintlg,$B$5:$BF$11,COLUMN()-1,FALSE)</f>
        <v>3300</v>
      </c>
      <c r="BG12" s="698">
        <f>VLOOKUP(Allg!KlickZonenEintlg,$B$5:$BI$11,COLUMN()-1,FALSE)</f>
        <v>1920</v>
      </c>
      <c r="BI12" s="698">
        <f>VLOOKUP(Allg!KlickZonenEintlg,$B$5:$BI$11,COLUMN()-1,FALSE)</f>
        <v>1540</v>
      </c>
      <c r="BJ12" s="698"/>
      <c r="BK12" s="698"/>
      <c r="BL12" s="698"/>
      <c r="BM12" s="698"/>
      <c r="BN12" s="698"/>
      <c r="BO12" s="698"/>
      <c r="BP12" s="698"/>
      <c r="BQ12" s="698"/>
      <c r="BR12" s="698"/>
      <c r="BS12" s="698"/>
      <c r="BT12" s="698"/>
      <c r="BU12" s="698"/>
      <c r="BV12" s="698"/>
      <c r="BW12" s="698"/>
      <c r="BX12" s="698"/>
      <c r="BY12" s="698"/>
      <c r="BZ12" s="698"/>
      <c r="CA12" s="698"/>
      <c r="CC12" s="698"/>
      <c r="CD12" s="698"/>
      <c r="CE12" s="698"/>
      <c r="CF12" s="698"/>
      <c r="CG12" s="698"/>
      <c r="CH12" s="698"/>
      <c r="CI12" s="698"/>
      <c r="CJ12" s="698"/>
      <c r="CK12" s="698"/>
      <c r="CL12" s="698"/>
      <c r="CM12" s="698"/>
      <c r="CN12" s="698"/>
      <c r="CO12" s="698"/>
      <c r="CP12" s="698"/>
      <c r="CQ12" s="698"/>
      <c r="CR12" s="698"/>
      <c r="CS12" s="698"/>
      <c r="CT12" s="698"/>
      <c r="CU12" s="698"/>
      <c r="CW12" s="698"/>
      <c r="CX12" s="698"/>
      <c r="CY12" s="698"/>
      <c r="CZ12" s="698"/>
      <c r="DA12" s="698"/>
      <c r="DB12" s="698"/>
      <c r="DC12" s="698">
        <f>VLOOKUP(Allg!KlickZonenEintlg,$B$5:$DC$11,COLUMN()-1,FALSE)</f>
        <v>1</v>
      </c>
      <c r="DD12" s="698"/>
      <c r="DE12" s="698">
        <f>VLOOKUP(Allg!KlickZonenEintlg,$B$5:$DE$11,COLUMN()-1,FALSE)</f>
        <v>1</v>
      </c>
    </row>
    <row r="13" spans="2:113" ht="12.75">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row>
    <row r="14" spans="2:113" ht="12.75" customHeight="1">
      <c r="B14" s="1"/>
      <c r="C14" s="1"/>
      <c r="D14" s="1"/>
      <c r="E14" s="1"/>
      <c r="F14" s="1"/>
      <c r="G14" s="1"/>
      <c r="H14" s="1"/>
      <c r="I14" s="1"/>
      <c r="J14" s="1"/>
      <c r="K14" s="1"/>
      <c r="L14" s="1"/>
      <c r="M14" s="1"/>
      <c r="N14" s="1"/>
      <c r="O14" s="1"/>
      <c r="P14" s="1"/>
      <c r="Q14" s="1"/>
      <c r="R14" s="1"/>
      <c r="S14" s="1"/>
      <c r="T14" s="1"/>
      <c r="U14" s="1"/>
      <c r="V14" s="1"/>
      <c r="W14" s="1"/>
      <c r="AA14" s="1"/>
      <c r="AB14" s="23" t="str">
        <f>Texte!A4986</f>
        <v>Beiträge für die Haltung rauhfutterverzehrender Nutztiere</v>
      </c>
      <c r="AC14" s="1"/>
      <c r="AD14" s="1"/>
      <c r="AE14" s="1"/>
      <c r="AF14" s="1"/>
    </row>
    <row r="15" spans="2:113" ht="56.25" customHeight="1">
      <c r="B15" s="1" t="str">
        <f>Texte!A4962</f>
        <v>Anbaumethode</v>
      </c>
      <c r="C15" s="2" t="str">
        <f>Texte!A4967</f>
        <v>Spezialkulturen</v>
      </c>
      <c r="D15" s="715" t="str">
        <f>Texte!A4968</f>
        <v>übrige offene
Ackerflächen</v>
      </c>
      <c r="E15" s="2" t="str">
        <f>Texte!A4969</f>
        <v>übrige LN</v>
      </c>
      <c r="F15" s="2" t="str">
        <f>Texte!A4970</f>
        <v>Flächenbeitrag</v>
      </c>
      <c r="G15" s="715" t="str">
        <f>Texte!A4971</f>
        <v>Beitrag für oAF und Dauerkulturen</v>
      </c>
      <c r="H15" s="715" t="str">
        <f>Texte!A4972</f>
        <v>Anspruch auf übrige DZ</v>
      </c>
      <c r="I15" s="2" t="str">
        <f>Texte!A4973</f>
        <v>Zuschlag SAK</v>
      </c>
      <c r="J15" s="715" t="str">
        <f>Texte!A4974</f>
        <v>Mehrarbeit AK-Bilanz</v>
      </c>
      <c r="K15" t="str">
        <f>Texte!A5059</f>
        <v>Gemeinschaft</v>
      </c>
      <c r="L15" s="2" t="str">
        <f>Texte!A4975</f>
        <v>Flächengrenze</v>
      </c>
      <c r="M15" s="2" t="str">
        <f>Texte!A4976</f>
        <v>Tiergrenze</v>
      </c>
      <c r="N15" s="1" t="str">
        <f>Texte!A4977</f>
        <v>Limite Kostenbeitrag</v>
      </c>
      <c r="P15" s="1"/>
      <c r="Q15" s="1"/>
      <c r="R15" s="1"/>
      <c r="S15" s="2" t="str">
        <f>Texte!A4978</f>
        <v>Beitragsstufen</v>
      </c>
      <c r="T15" s="2" t="str">
        <f>Texte!A4979</f>
        <v>Fläche in ha</v>
      </c>
      <c r="U15" s="2" t="str">
        <f>Texte!A4980</f>
        <v>Tierbestand, GVE</v>
      </c>
      <c r="V15" s="2" t="str">
        <f>Texte!A4981</f>
        <v>Ansatz</v>
      </c>
      <c r="W15" s="2" t="str">
        <f>Texte!A4982</f>
        <v>Flächenstufen</v>
      </c>
      <c r="X15" s="715" t="str">
        <f>Texte!A4983</f>
        <v>Stufen-Quotient Fläche</v>
      </c>
      <c r="Y15" s="2" t="str">
        <f>Texte!A4984</f>
        <v>Tierstufen</v>
      </c>
      <c r="Z15" s="715" t="str">
        <f>Texte!A4985</f>
        <v>Stufen-Quotient Tiere</v>
      </c>
      <c r="AA15" s="1"/>
      <c r="AB15" s="639" t="str">
        <f>Texte!A4987</f>
        <v>Rindvieh, Pferde, Bisons, Milchziegen, Milchschafe</v>
      </c>
      <c r="AC15" s="639" t="str">
        <f>Texte!A4988</f>
        <v>Uebrige Ziegen u. Schafe, Hirsche, Lamas, Alpakas</v>
      </c>
      <c r="AD15" s="935" t="str">
        <f>Texte!A4989</f>
        <v>RGVE mit Abzug für abgelieferte Milch</v>
      </c>
      <c r="AE15" s="359" t="str">
        <f>Texte!A4990</f>
        <v>Flächenbeitrag</v>
      </c>
      <c r="AF15" s="715" t="str">
        <f>Texte!A4991</f>
        <v>Beitrag für oAF und Dauerkulturen</v>
      </c>
      <c r="AG15" s="715" t="str">
        <f>Texte!A4965&amp;" "&amp;Texte!A4967</f>
        <v>Biologischer Landbau Spezialkulturen</v>
      </c>
      <c r="AH15" s="715" t="str">
        <f>Texte!A4965&amp;" "&amp;Texte!A4968</f>
        <v>Biologischer Landbau übrige offene
Ackerflächen</v>
      </c>
      <c r="AI15" s="715" t="str">
        <f>Texte!A4965&amp;" "&amp;Texte!A4969</f>
        <v>Biologischer Landbau übrige LN</v>
      </c>
      <c r="AJ15" s="1009" t="str">
        <f>Texte!A4899&amp; "18-35%"</f>
        <v>Hangbeiträge18-35%</v>
      </c>
      <c r="AK15" s="1009" t="str">
        <f>Texte!A4899&amp; "&gt; 35%"</f>
        <v>Hangbeiträge&gt; 35%</v>
      </c>
      <c r="AM15" s="715" t="str">
        <f>Texte!A4992</f>
        <v>Kürzung der Direktzahlungen in %</v>
      </c>
      <c r="AT15" s="1009"/>
      <c r="AU15" s="1009"/>
      <c r="AV15" s="1009"/>
      <c r="AW15" s="1009"/>
      <c r="AX15" s="1009"/>
      <c r="AY15" s="1009"/>
      <c r="AZ15" s="1009"/>
      <c r="BA15" s="1009"/>
      <c r="BB15" s="1009"/>
      <c r="BC15" s="1009"/>
      <c r="BD15" s="1009"/>
      <c r="BE15" s="1009"/>
      <c r="BF15" s="1009"/>
      <c r="BG15" s="1009"/>
      <c r="BH15" s="1009"/>
      <c r="BI15" s="1009"/>
      <c r="BJ15" s="1009"/>
      <c r="BK15" s="1009"/>
      <c r="BL15" s="1009"/>
      <c r="BM15" s="1009"/>
      <c r="BN15" s="1009"/>
      <c r="BO15" s="1009" t="str">
        <f>CI4</f>
        <v>extensiv genutzte Wiesen</v>
      </c>
      <c r="BP15" s="1009" t="str">
        <f t="shared" ref="BP15:CH15" si="6">CJ4</f>
        <v>Streueflächen</v>
      </c>
      <c r="BQ15" s="1009" t="str">
        <f t="shared" si="6"/>
        <v>wenig intensiv genutzte Wiesen</v>
      </c>
      <c r="BR15" s="1009" t="str">
        <f t="shared" si="6"/>
        <v>extensive Weiden und Waldweiden</v>
      </c>
      <c r="BS15" s="1009" t="str">
        <f t="shared" si="6"/>
        <v>Hecken, Feld- und Ufergehölze</v>
      </c>
      <c r="BT15" s="1009" t="str">
        <f t="shared" si="6"/>
        <v>Uferwiesen entlang von Fliessgewässern</v>
      </c>
      <c r="BU15" s="1009" t="str">
        <f t="shared" si="6"/>
        <v>Hochstamm-Feldobstbäume</v>
      </c>
      <c r="BV15" s="1009" t="str">
        <f t="shared" si="6"/>
        <v>Buntbrache</v>
      </c>
      <c r="BW15" s="1009" t="str">
        <f t="shared" si="6"/>
        <v>Rotationsbrache</v>
      </c>
      <c r="BX15" s="1009" t="str">
        <f t="shared" si="6"/>
        <v>Ackerschonstreifen</v>
      </c>
      <c r="BY15" s="1009" t="str">
        <f t="shared" si="6"/>
        <v>Nützlingsstreifen</v>
      </c>
      <c r="BZ15" s="1009" t="str">
        <f t="shared" si="6"/>
        <v>Saum auf Ackerfläche</v>
      </c>
      <c r="CA15" s="1009" t="str">
        <f t="shared" si="6"/>
        <v>extensiv genutzte Wiesen</v>
      </c>
      <c r="CB15" s="1009" t="str">
        <f t="shared" si="6"/>
        <v>Streueflächen</v>
      </c>
      <c r="CC15" s="1009" t="str">
        <f t="shared" si="6"/>
        <v>wenig intensiv genutzte Wiesen</v>
      </c>
      <c r="CD15" s="1009" t="str">
        <f t="shared" si="6"/>
        <v>extensive Weiden und Waldweiden</v>
      </c>
      <c r="CE15" s="1009" t="str">
        <f t="shared" si="6"/>
        <v>Hecken, Feld- und Ufergehölze</v>
      </c>
      <c r="CF15" s="1009" t="str">
        <f t="shared" si="6"/>
        <v>Rebflächen mit natürlicher Artenvielfalt</v>
      </c>
      <c r="CG15" s="1009" t="str">
        <f t="shared" si="6"/>
        <v>Hochstamm-Feldobstbäume</v>
      </c>
      <c r="CH15" s="1009" t="str">
        <f t="shared" si="6"/>
        <v>Artenr. Grün- und Streuefl. im SömGeb.</v>
      </c>
      <c r="CI15" s="1009"/>
      <c r="CJ15" s="1009"/>
      <c r="CK15" s="1009"/>
      <c r="CL15" s="1009"/>
      <c r="CM15" s="1009"/>
      <c r="CN15" s="1009"/>
      <c r="CO15" s="1009"/>
      <c r="CP15" s="1009"/>
      <c r="CQ15" s="1009"/>
      <c r="CR15" s="1009"/>
      <c r="CS15" s="1009"/>
      <c r="CT15" s="1009"/>
      <c r="CU15" s="1009"/>
      <c r="CV15" s="1009"/>
      <c r="CW15" s="1009"/>
      <c r="CX15" s="1009"/>
      <c r="CY15" s="1009"/>
      <c r="CZ15" s="1009"/>
      <c r="DA15" s="1009"/>
      <c r="DB15" s="1009"/>
    </row>
    <row r="16" spans="2:113" ht="12.75">
      <c r="B16" s="1" t="s">
        <v>4899</v>
      </c>
      <c r="C16" s="2"/>
      <c r="D16" s="2"/>
      <c r="E16" s="2"/>
      <c r="F16" s="2"/>
      <c r="H16" s="2"/>
      <c r="I16" s="2"/>
      <c r="J16" s="2"/>
      <c r="K16" t="s">
        <v>4899</v>
      </c>
      <c r="L16" s="2">
        <v>40</v>
      </c>
      <c r="M16" s="2">
        <v>55</v>
      </c>
      <c r="N16" s="2">
        <v>20</v>
      </c>
      <c r="O16" s="196" t="str">
        <f>1 &amp; Q!txtTo &amp; L16 &amp; " ha"</f>
        <v>1 bis 40 ha</v>
      </c>
      <c r="P16" s="196" t="str">
        <f>"40"&amp;Q!txtTo&amp;"70 ha"</f>
        <v>40 bis 70 ha</v>
      </c>
      <c r="Q16" s="698" t="str">
        <f>"70"&amp;Q!txtTo&amp;"100 ha"</f>
        <v>70 bis 100 ha</v>
      </c>
      <c r="R16" s="1" t="str">
        <f>"100"&amp;Q!txtTo&amp;"130 ha"</f>
        <v>100 bis 130 ha</v>
      </c>
      <c r="S16" s="2">
        <v>1</v>
      </c>
      <c r="T16" s="2" t="str">
        <f>""&amp;Q!txtTo&amp;"40"</f>
        <v xml:space="preserve"> bis 40</v>
      </c>
      <c r="U16" s="2" t="str">
        <f>""&amp;Q!txtTo&amp;"55"</f>
        <v xml:space="preserve"> bis 55</v>
      </c>
      <c r="V16" s="2">
        <v>1</v>
      </c>
      <c r="W16" s="2">
        <v>40</v>
      </c>
      <c r="X16" s="2">
        <v>1</v>
      </c>
      <c r="Y16" s="2">
        <v>55</v>
      </c>
      <c r="Z16" s="2">
        <v>1</v>
      </c>
      <c r="AA16" s="1">
        <v>0</v>
      </c>
      <c r="AB16" s="698">
        <v>690</v>
      </c>
      <c r="AC16" s="2">
        <v>520</v>
      </c>
      <c r="AD16" s="2">
        <v>450</v>
      </c>
      <c r="AE16" s="2">
        <v>1020</v>
      </c>
      <c r="AF16" s="2">
        <v>640</v>
      </c>
      <c r="AG16" s="2">
        <v>1350</v>
      </c>
      <c r="AH16" s="2">
        <v>980</v>
      </c>
      <c r="AI16" s="2">
        <v>200</v>
      </c>
      <c r="AJ16" s="2">
        <v>410</v>
      </c>
      <c r="AK16" s="2">
        <v>620</v>
      </c>
      <c r="AM16" s="243">
        <v>0</v>
      </c>
    </row>
    <row r="17" spans="2:86" ht="12.75">
      <c r="B17" s="1" t="str">
        <f>Texte!A4963</f>
        <v>Ökonachweis: nicht erfüllt</v>
      </c>
      <c r="C17" s="2">
        <v>0</v>
      </c>
      <c r="D17" s="2">
        <v>0</v>
      </c>
      <c r="E17" s="2">
        <v>0</v>
      </c>
      <c r="F17" s="2">
        <v>0</v>
      </c>
      <c r="G17" s="698">
        <v>0</v>
      </c>
      <c r="H17" s="2" t="b">
        <v>0</v>
      </c>
      <c r="I17" s="2"/>
      <c r="J17" s="2">
        <v>0</v>
      </c>
      <c r="K17" t="str">
        <f>Texte!A5060</f>
        <v>keine</v>
      </c>
      <c r="L17" s="2">
        <v>40</v>
      </c>
      <c r="M17" s="2">
        <v>55</v>
      </c>
      <c r="N17" s="2">
        <v>20</v>
      </c>
      <c r="O17" s="196" t="str">
        <f>1 &amp; Q!txtTo &amp; L17 &amp; " ha"</f>
        <v>1 bis 40 ha</v>
      </c>
      <c r="P17" s="196" t="str">
        <f>"40"&amp;Q!txtTo&amp;"70 ha"</f>
        <v>40 bis 70 ha</v>
      </c>
      <c r="Q17" s="2" t="str">
        <f>"70"&amp;Q!txtTo&amp;"100 ha"</f>
        <v>70 bis 100 ha</v>
      </c>
      <c r="R17" s="1" t="str">
        <f>"100"&amp;Q!txtTo&amp;"130 ha"</f>
        <v>100 bis 130 ha</v>
      </c>
      <c r="S17" s="2">
        <v>2</v>
      </c>
      <c r="T17" s="2" t="str">
        <f>"40"&amp;Q!txtTo&amp;"70"</f>
        <v>40 bis 70</v>
      </c>
      <c r="U17" s="2" t="str">
        <f>"55"&amp;Q!txtTo&amp;"100"</f>
        <v>55 bis 100</v>
      </c>
      <c r="V17" s="2">
        <v>0.75</v>
      </c>
      <c r="W17" s="2">
        <v>70</v>
      </c>
      <c r="X17" s="2">
        <f>W17/W16</f>
        <v>1.75</v>
      </c>
      <c r="Y17" s="2">
        <v>100</v>
      </c>
      <c r="Z17" s="2">
        <f>Y17/Y16</f>
        <v>1.8181818181818181</v>
      </c>
      <c r="AA17" s="1">
        <v>2006</v>
      </c>
      <c r="AB17" s="698">
        <v>900</v>
      </c>
      <c r="AC17" s="2">
        <v>400</v>
      </c>
      <c r="AD17" s="2">
        <v>0</v>
      </c>
      <c r="AE17" s="2">
        <v>1200</v>
      </c>
      <c r="AF17" s="2">
        <v>400</v>
      </c>
      <c r="AG17" s="2">
        <v>1200</v>
      </c>
      <c r="AH17" s="2">
        <v>800</v>
      </c>
      <c r="AI17" s="2">
        <v>200</v>
      </c>
      <c r="AJ17" s="2">
        <v>370</v>
      </c>
      <c r="AK17" s="2">
        <v>510</v>
      </c>
      <c r="AM17" s="243">
        <v>0</v>
      </c>
      <c r="BO17" s="698">
        <v>1350</v>
      </c>
      <c r="BP17" s="698">
        <v>1800</v>
      </c>
      <c r="BQ17" s="698">
        <v>450</v>
      </c>
      <c r="BR17" s="698">
        <v>450</v>
      </c>
      <c r="BS17" s="698">
        <v>2700</v>
      </c>
      <c r="BT17" s="698">
        <v>450</v>
      </c>
      <c r="BU17" s="698">
        <v>13.5</v>
      </c>
      <c r="BV17" s="698">
        <v>3800</v>
      </c>
      <c r="BW17" s="698">
        <v>3300</v>
      </c>
      <c r="BX17" s="698">
        <v>2300</v>
      </c>
      <c r="BY17" s="698">
        <v>2500</v>
      </c>
      <c r="BZ17" s="698">
        <v>3300</v>
      </c>
      <c r="CA17" s="698">
        <v>1650</v>
      </c>
      <c r="CB17" s="698">
        <v>1700</v>
      </c>
      <c r="CC17" s="698">
        <v>1200</v>
      </c>
      <c r="CD17" s="698">
        <v>700</v>
      </c>
      <c r="CE17" s="698">
        <v>2300</v>
      </c>
      <c r="CF17" s="698">
        <v>1100</v>
      </c>
      <c r="CG17" s="698">
        <v>31.5</v>
      </c>
      <c r="CH17" s="698"/>
    </row>
    <row r="18" spans="2:86" ht="12.75">
      <c r="B18" s="1" t="str">
        <f>Texte!A4964</f>
        <v>Ökonachweis: erfüllt</v>
      </c>
      <c r="C18" s="2">
        <v>0</v>
      </c>
      <c r="D18" s="2">
        <v>0</v>
      </c>
      <c r="E18" s="2">
        <v>0</v>
      </c>
      <c r="F18" s="2">
        <f>AE25</f>
        <v>1020</v>
      </c>
      <c r="G18" s="698">
        <f>AF25</f>
        <v>640</v>
      </c>
      <c r="H18" s="2" t="b">
        <v>1</v>
      </c>
      <c r="I18" s="2"/>
      <c r="J18" s="2">
        <v>50</v>
      </c>
      <c r="K18" t="str">
        <f>Texte!A5061</f>
        <v>Gemeinschaft / ein Betrieb</v>
      </c>
      <c r="L18" s="2">
        <v>40</v>
      </c>
      <c r="M18" s="2">
        <v>55</v>
      </c>
      <c r="N18" s="2">
        <v>21</v>
      </c>
      <c r="O18" s="196" t="str">
        <f>1 &amp; Q!txtTo &amp; L18 &amp; " ha"</f>
        <v>1 bis 40 ha</v>
      </c>
      <c r="P18" s="196" t="str">
        <f>"40"&amp;Q!txtTo&amp;"70 ha"</f>
        <v>40 bis 70 ha</v>
      </c>
      <c r="Q18" s="2" t="str">
        <f>"70"&amp;Q!txtTo&amp;"100 ha"</f>
        <v>70 bis 100 ha</v>
      </c>
      <c r="R18" s="1" t="str">
        <f>"200"&amp;Q!txtTo&amp;"260 ha"</f>
        <v>200 bis 260 ha</v>
      </c>
      <c r="S18" s="2">
        <v>3</v>
      </c>
      <c r="T18" s="2" t="str">
        <f>"70"&amp;Q!txtTo&amp;"100"</f>
        <v>70 bis 100</v>
      </c>
      <c r="U18" s="2" t="str">
        <f>"100"&amp;Q!txtTo&amp;"145"</f>
        <v>100 bis 145</v>
      </c>
      <c r="V18" s="2">
        <v>0.5</v>
      </c>
      <c r="W18" s="2">
        <v>100</v>
      </c>
      <c r="X18" s="2">
        <f>W18/W16</f>
        <v>2.5</v>
      </c>
      <c r="Y18" s="2">
        <v>145</v>
      </c>
      <c r="Z18" s="2">
        <f>Y18/Y16</f>
        <v>2.6363636363636362</v>
      </c>
      <c r="AA18" s="1">
        <v>2007</v>
      </c>
      <c r="AB18" s="698">
        <v>900</v>
      </c>
      <c r="AC18" s="2">
        <v>400</v>
      </c>
      <c r="AD18" s="2">
        <v>200</v>
      </c>
      <c r="AE18" s="2">
        <v>1150</v>
      </c>
      <c r="AF18" s="2">
        <v>450</v>
      </c>
      <c r="AG18" s="2">
        <v>1200</v>
      </c>
      <c r="AH18" s="2">
        <v>800</v>
      </c>
      <c r="AI18" s="2">
        <v>200</v>
      </c>
      <c r="AJ18" s="2">
        <v>370</v>
      </c>
      <c r="AK18" s="2">
        <v>510</v>
      </c>
      <c r="AM18" s="243">
        <v>0</v>
      </c>
      <c r="BO18" s="698">
        <v>1080</v>
      </c>
      <c r="BP18" s="698">
        <v>1530</v>
      </c>
      <c r="BQ18" s="698">
        <v>450</v>
      </c>
      <c r="BR18" s="698">
        <v>450</v>
      </c>
      <c r="BS18" s="698">
        <v>2700</v>
      </c>
      <c r="BT18" s="698">
        <v>450</v>
      </c>
      <c r="BU18" s="698">
        <v>13.5</v>
      </c>
      <c r="BV18" s="698">
        <v>3800</v>
      </c>
      <c r="BW18" s="698">
        <v>3300</v>
      </c>
      <c r="BX18" s="698">
        <v>2300</v>
      </c>
      <c r="BY18" s="698">
        <v>2500</v>
      </c>
      <c r="BZ18" s="698">
        <v>3300</v>
      </c>
      <c r="CA18" s="698">
        <v>1620</v>
      </c>
      <c r="CB18" s="698">
        <v>1670</v>
      </c>
      <c r="CC18" s="698">
        <v>1200</v>
      </c>
      <c r="CD18" s="698">
        <v>700</v>
      </c>
      <c r="CE18" s="698">
        <v>2300</v>
      </c>
      <c r="CF18" s="698">
        <v>1100</v>
      </c>
      <c r="CG18" s="698">
        <v>31.5</v>
      </c>
      <c r="CH18" s="698"/>
    </row>
    <row r="19" spans="2:86" ht="12.75">
      <c r="B19" s="1" t="str">
        <f>Texte!A4965</f>
        <v>Biologischer Landbau</v>
      </c>
      <c r="C19" s="2">
        <f>AG25</f>
        <v>1350</v>
      </c>
      <c r="D19" s="2">
        <f>AH25</f>
        <v>950</v>
      </c>
      <c r="E19" s="2">
        <f>AI25</f>
        <v>200</v>
      </c>
      <c r="F19" s="2">
        <f>AE25</f>
        <v>1020</v>
      </c>
      <c r="G19" s="698">
        <f>AF25</f>
        <v>640</v>
      </c>
      <c r="H19" s="2" t="b">
        <v>1</v>
      </c>
      <c r="I19" s="2">
        <f>SAK_BioProz</f>
        <v>0.2</v>
      </c>
      <c r="J19" s="2">
        <v>100</v>
      </c>
      <c r="K19" t="str">
        <f>Texte!A5062</f>
        <v>mit 2 Betrieben</v>
      </c>
      <c r="L19" s="2">
        <v>80</v>
      </c>
      <c r="M19" s="2">
        <v>110</v>
      </c>
      <c r="N19" s="2">
        <v>40</v>
      </c>
      <c r="O19" s="196" t="str">
        <f>1 &amp; Q!txtTo &amp; L19 &amp; " ha"</f>
        <v>1 bis 80 ha</v>
      </c>
      <c r="P19" s="196" t="str">
        <f>"80"&amp;Q!txtTo&amp;"140 ha"</f>
        <v>80 bis 140 ha</v>
      </c>
      <c r="Q19" s="2" t="str">
        <f>"140"&amp;Q!txtTo&amp;"200 ha"</f>
        <v>140 bis 200 ha</v>
      </c>
      <c r="R19" s="1" t="str">
        <f>"300"&amp;Q!txtTo&amp;"390 ha"</f>
        <v>300 bis 390 ha</v>
      </c>
      <c r="S19" s="2">
        <v>4</v>
      </c>
      <c r="T19" s="2" t="str">
        <f>"100"&amp;Q!txtTo&amp;"130"</f>
        <v>100 bis 130</v>
      </c>
      <c r="U19" s="2" t="str">
        <f>"145"&amp;Q!txtTo&amp;"190"</f>
        <v>145 bis 190</v>
      </c>
      <c r="V19" s="2">
        <v>0.25</v>
      </c>
      <c r="W19" s="2">
        <v>130</v>
      </c>
      <c r="X19" s="2">
        <f>W19/W16</f>
        <v>3.25</v>
      </c>
      <c r="Y19" s="2">
        <v>190</v>
      </c>
      <c r="Z19" s="2">
        <f>Y19/Y16</f>
        <v>3.4545454545454546</v>
      </c>
      <c r="AA19" s="1">
        <v>2008</v>
      </c>
      <c r="AB19" s="698">
        <v>860</v>
      </c>
      <c r="AC19" s="2">
        <v>400</v>
      </c>
      <c r="AD19" s="2">
        <v>200</v>
      </c>
      <c r="AE19" s="2">
        <v>1080</v>
      </c>
      <c r="AF19" s="2">
        <v>450</v>
      </c>
      <c r="AG19" s="2">
        <v>1200</v>
      </c>
      <c r="AH19" s="2">
        <v>800</v>
      </c>
      <c r="AI19" s="2">
        <v>200</v>
      </c>
      <c r="AJ19" s="2">
        <v>370</v>
      </c>
      <c r="AK19" s="2">
        <v>510</v>
      </c>
      <c r="AM19" s="243">
        <v>0</v>
      </c>
      <c r="BO19" s="698">
        <v>630</v>
      </c>
      <c r="BP19" s="698">
        <v>1080</v>
      </c>
      <c r="BQ19" s="698">
        <v>450</v>
      </c>
      <c r="BR19" s="698">
        <v>450</v>
      </c>
      <c r="BS19" s="698">
        <v>2700</v>
      </c>
      <c r="BT19" s="698">
        <v>450</v>
      </c>
      <c r="BU19" s="698">
        <v>13.5</v>
      </c>
      <c r="BV19" s="698">
        <v>0</v>
      </c>
      <c r="BW19" s="698">
        <v>0</v>
      </c>
      <c r="BX19" s="698">
        <v>2300</v>
      </c>
      <c r="BY19" s="698">
        <v>0</v>
      </c>
      <c r="BZ19" s="698">
        <v>3300</v>
      </c>
      <c r="CA19" s="698">
        <v>1570</v>
      </c>
      <c r="CB19" s="698">
        <v>1620</v>
      </c>
      <c r="CC19" s="698">
        <v>1200</v>
      </c>
      <c r="CD19" s="698">
        <v>700</v>
      </c>
      <c r="CE19" s="698">
        <v>2300</v>
      </c>
      <c r="CF19" s="698">
        <v>1100</v>
      </c>
      <c r="CG19" s="698">
        <v>31.5</v>
      </c>
      <c r="CH19" s="698"/>
    </row>
    <row r="20" spans="2:86" ht="12.75">
      <c r="B20" s="1" t="str">
        <f>Texte!A4966</f>
        <v>Tabellarische Koeffizienten</v>
      </c>
      <c r="C20" s="2">
        <f>VLOOKUP(Allg!KlickAnbaumeth,$B$16:$J$19,COLUMN()-1,FALSE)</f>
        <v>1350</v>
      </c>
      <c r="D20" s="2">
        <f>VLOOKUP(Allg!KlickAnbaumeth,$B$16:$J$19,COLUMN()-1,FALSE)</f>
        <v>950</v>
      </c>
      <c r="E20" s="2">
        <f>VLOOKUP(Allg!KlickAnbaumeth,$B$16:$J$19,COLUMN()-1,FALSE)</f>
        <v>200</v>
      </c>
      <c r="F20" s="2">
        <f>VLOOKUP(Allg!KlickAnbaumeth,$B$16:$J$19,COLUMN()-1,FALSE)</f>
        <v>1020</v>
      </c>
      <c r="G20" s="2">
        <f>VLOOKUP(Allg!KlickAnbaumeth,$B$16:$J$19,COLUMN()-1,FALSE)</f>
        <v>640</v>
      </c>
      <c r="H20" s="2" t="b">
        <f>VLOOKUP(Allg!KlickAnbaumeth,$B$16:$J$19,COLUMN()-1,FALSE)</f>
        <v>1</v>
      </c>
      <c r="I20" s="2">
        <f>VLOOKUP(Allg!KlickAnbaumeth,$B$16:$J$19,COLUMN()-1,FALSE)</f>
        <v>0.2</v>
      </c>
      <c r="J20" s="2">
        <f>VLOOKUP(Allg!KlickAnbaumeth,$B$16:$J$19,COLUMN()-1,FALSE)</f>
        <v>100</v>
      </c>
      <c r="K20" t="str">
        <f>Texte!A5063</f>
        <v>mit 3 Betrieben</v>
      </c>
      <c r="L20" s="2">
        <v>120</v>
      </c>
      <c r="M20" s="2">
        <v>165</v>
      </c>
      <c r="N20" s="2">
        <v>60</v>
      </c>
      <c r="O20" s="196" t="str">
        <f>1 &amp; Q!txtTo &amp; L20 &amp; " ha"</f>
        <v>1 bis 120 ha</v>
      </c>
      <c r="P20" s="196" t="str">
        <f>"120"&amp;Q!txtTo&amp;"210 ha"</f>
        <v>120 bis 210 ha</v>
      </c>
      <c r="Q20" s="2" t="str">
        <f>"210"&amp;Q!txtTo&amp;"300 ha"</f>
        <v>210 bis 300 ha</v>
      </c>
      <c r="R20" s="1" t="str">
        <f>"400"&amp;Q!txtTo&amp;"520 ha"</f>
        <v>400 bis 520 ha</v>
      </c>
      <c r="S20" s="2">
        <v>5</v>
      </c>
      <c r="T20" s="2" t="str">
        <f>""&amp;Q!txtMoreThan&amp;"130"</f>
        <v xml:space="preserve"> über 130</v>
      </c>
      <c r="U20" s="2" t="str">
        <f>""&amp;Q!txtMoreThan&amp;"190"</f>
        <v xml:space="preserve"> über 190</v>
      </c>
      <c r="V20" s="2">
        <v>0</v>
      </c>
      <c r="W20" s="2" t="str">
        <f>""&amp;Q!txtMoreThan&amp;"130"</f>
        <v xml:space="preserve"> über 130</v>
      </c>
      <c r="X20" s="2"/>
      <c r="Y20" s="2" t="str">
        <f>""&amp;Q!txtMoreThan&amp;"190"</f>
        <v xml:space="preserve"> über 190</v>
      </c>
      <c r="Z20" s="2"/>
      <c r="AA20" s="1">
        <v>2009</v>
      </c>
      <c r="AB20" s="698">
        <v>690</v>
      </c>
      <c r="AC20" s="2">
        <v>520</v>
      </c>
      <c r="AD20" s="2">
        <v>450</v>
      </c>
      <c r="AE20" s="2">
        <v>1040</v>
      </c>
      <c r="AF20" s="2">
        <v>640</v>
      </c>
      <c r="AG20" s="2">
        <v>1200</v>
      </c>
      <c r="AH20" s="2">
        <v>800</v>
      </c>
      <c r="AI20" s="2">
        <v>200</v>
      </c>
      <c r="AJ20" s="2">
        <v>370</v>
      </c>
      <c r="AK20" s="2">
        <v>510</v>
      </c>
      <c r="AM20" s="243">
        <v>0</v>
      </c>
      <c r="BO20" s="698">
        <v>630</v>
      </c>
      <c r="BP20" s="698">
        <v>1080</v>
      </c>
      <c r="BQ20" s="698">
        <v>450</v>
      </c>
      <c r="BR20" s="698">
        <v>450</v>
      </c>
      <c r="BS20" s="698">
        <v>2700</v>
      </c>
      <c r="BT20" s="698">
        <v>450</v>
      </c>
      <c r="BU20" s="698">
        <v>13.5</v>
      </c>
      <c r="BV20" s="698">
        <v>0</v>
      </c>
      <c r="BW20" s="698">
        <v>0</v>
      </c>
      <c r="BX20" s="698">
        <v>2300</v>
      </c>
      <c r="BY20" s="698">
        <v>0</v>
      </c>
      <c r="BZ20" s="698">
        <v>3300</v>
      </c>
      <c r="CA20" s="698">
        <v>1570</v>
      </c>
      <c r="CB20" s="698">
        <v>1620</v>
      </c>
      <c r="CC20" s="698">
        <v>1200</v>
      </c>
      <c r="CD20" s="698">
        <v>700</v>
      </c>
      <c r="CE20" s="698">
        <v>2300</v>
      </c>
      <c r="CF20" s="698">
        <v>1100</v>
      </c>
      <c r="CG20" s="698">
        <v>31.5</v>
      </c>
      <c r="CH20" s="698"/>
    </row>
    <row r="21" spans="2:86" ht="12.75">
      <c r="B21" s="1"/>
      <c r="C21" s="1"/>
      <c r="D21" s="1"/>
      <c r="E21" s="1"/>
      <c r="F21" s="1"/>
      <c r="G21" s="1"/>
      <c r="H21" s="1"/>
      <c r="I21" s="1"/>
      <c r="J21" s="1"/>
      <c r="K21" t="str">
        <f>Texte!A5064</f>
        <v>mit 4 Betrieben</v>
      </c>
      <c r="L21" s="2">
        <v>160</v>
      </c>
      <c r="M21" s="2">
        <v>220</v>
      </c>
      <c r="N21" s="2">
        <v>80</v>
      </c>
      <c r="O21" s="196" t="str">
        <f>1 &amp; Q!txtTo &amp; L21 &amp; " ha"</f>
        <v>1 bis 160 ha</v>
      </c>
      <c r="P21" s="196" t="str">
        <f>"160"&amp;Q!txtTo&amp;"280 ha"</f>
        <v>160 bis 280 ha</v>
      </c>
      <c r="Q21" s="2" t="str">
        <f>"280"&amp;Q!txtTo&amp;"400 ha"</f>
        <v>280 bis 400 ha</v>
      </c>
      <c r="R21" s="1"/>
      <c r="S21" s="1"/>
      <c r="T21" s="2">
        <v>30</v>
      </c>
      <c r="U21" s="2">
        <v>45</v>
      </c>
      <c r="V21" s="1"/>
      <c r="AA21" s="1">
        <v>2010</v>
      </c>
      <c r="AB21" s="698">
        <v>690</v>
      </c>
      <c r="AC21" s="2">
        <v>520</v>
      </c>
      <c r="AD21" s="2">
        <v>450</v>
      </c>
      <c r="AE21" s="2">
        <v>1040</v>
      </c>
      <c r="AF21" s="2">
        <v>640</v>
      </c>
      <c r="AG21" s="2">
        <v>1350</v>
      </c>
      <c r="AH21" s="2">
        <v>950</v>
      </c>
      <c r="AI21" s="2">
        <v>200</v>
      </c>
      <c r="AJ21" s="2">
        <v>410</v>
      </c>
      <c r="AK21" s="2">
        <v>620</v>
      </c>
      <c r="AM21" s="243">
        <v>0</v>
      </c>
      <c r="BO21" s="698">
        <v>495</v>
      </c>
      <c r="BP21" s="698">
        <v>855</v>
      </c>
      <c r="BQ21" s="698">
        <v>450</v>
      </c>
      <c r="BR21" s="698">
        <v>450</v>
      </c>
      <c r="BS21" s="698">
        <v>2700</v>
      </c>
      <c r="BT21" s="698">
        <v>450</v>
      </c>
      <c r="BU21" s="698">
        <v>13.5</v>
      </c>
      <c r="BV21" s="698">
        <v>0</v>
      </c>
      <c r="BW21" s="698">
        <v>0</v>
      </c>
      <c r="BX21" s="698">
        <v>2300</v>
      </c>
      <c r="BY21" s="698">
        <v>0</v>
      </c>
      <c r="BZ21" s="698">
        <v>0</v>
      </c>
      <c r="CA21" s="698">
        <v>1055</v>
      </c>
      <c r="CB21" s="698">
        <v>1595</v>
      </c>
      <c r="CC21" s="698">
        <v>1000</v>
      </c>
      <c r="CD21" s="698">
        <v>700</v>
      </c>
      <c r="CE21" s="698">
        <v>2300</v>
      </c>
      <c r="CF21" s="698">
        <v>1100</v>
      </c>
      <c r="CG21" s="698">
        <v>31.5</v>
      </c>
      <c r="CH21" s="698"/>
    </row>
    <row r="22" spans="2:86" ht="12.75">
      <c r="B22" s="1"/>
      <c r="C22" s="2"/>
      <c r="D22" s="2"/>
      <c r="E22" s="1"/>
      <c r="F22" s="1"/>
      <c r="G22" s="1"/>
      <c r="H22" s="1"/>
      <c r="I22" s="1"/>
      <c r="J22" s="1"/>
      <c r="K22" s="1"/>
      <c r="L22" s="2">
        <f>VLOOKUP(Allg!KlickBG,$K$16:$Q$21,2,FALSE)</f>
        <v>80</v>
      </c>
      <c r="M22" s="2">
        <f>VLOOKUP(Allg!KlickBG,$K$16:$Q$21,3,FALSE)</f>
        <v>110</v>
      </c>
      <c r="N22" s="2">
        <f>VLOOKUP(Allg!KlickBG,$K$16:$Q$21,4,FALSE)</f>
        <v>40</v>
      </c>
      <c r="O22" s="196" t="str">
        <f>1 &amp; Q!txtTo &amp; L22 &amp; " ha"</f>
        <v>1 bis 80 ha</v>
      </c>
      <c r="P22" s="196" t="str">
        <f>VLOOKUP(Allg!KlickBG,$K$16:$Q$21,6,FALSE)</f>
        <v>80 bis 140 ha</v>
      </c>
      <c r="Q22" s="2" t="str">
        <f>VLOOKUP(Allg!KlickBG,$K$16:$Q$21,7,FALSE)</f>
        <v>140 bis 200 ha</v>
      </c>
      <c r="R22" s="1"/>
      <c r="S22" s="1"/>
      <c r="T22" s="1"/>
      <c r="U22" s="1"/>
      <c r="V22" s="1"/>
      <c r="AA22" s="1">
        <v>2011</v>
      </c>
      <c r="AB22" s="698">
        <v>690</v>
      </c>
      <c r="AC22" s="2">
        <v>520</v>
      </c>
      <c r="AD22" s="2">
        <v>450</v>
      </c>
      <c r="AE22" s="2">
        <v>1040</v>
      </c>
      <c r="AF22" s="2">
        <v>640</v>
      </c>
      <c r="AG22" s="2">
        <v>1350</v>
      </c>
      <c r="AH22" s="2">
        <v>950</v>
      </c>
      <c r="AI22" s="2">
        <v>200</v>
      </c>
      <c r="AJ22" s="2">
        <v>410</v>
      </c>
      <c r="AK22" s="2">
        <v>620</v>
      </c>
      <c r="AM22" s="243">
        <v>0</v>
      </c>
      <c r="BO22" s="698">
        <v>495</v>
      </c>
      <c r="BP22" s="698">
        <v>855</v>
      </c>
      <c r="BQ22" s="698">
        <v>450</v>
      </c>
      <c r="BR22" s="698">
        <v>450</v>
      </c>
      <c r="BS22" s="698">
        <v>2700</v>
      </c>
      <c r="BT22" s="698">
        <v>450</v>
      </c>
      <c r="BU22" s="698">
        <v>13.5</v>
      </c>
      <c r="BV22" s="698">
        <v>0</v>
      </c>
      <c r="BW22" s="698">
        <v>0</v>
      </c>
      <c r="BX22" s="698">
        <v>2300</v>
      </c>
      <c r="BY22" s="698">
        <v>0</v>
      </c>
      <c r="BZ22" s="698">
        <v>0</v>
      </c>
      <c r="CA22" s="698">
        <v>1055</v>
      </c>
      <c r="CB22" s="698">
        <v>1595</v>
      </c>
      <c r="CC22" s="698">
        <v>1000</v>
      </c>
      <c r="CD22" s="698">
        <v>700</v>
      </c>
      <c r="CE22" s="698">
        <v>2300</v>
      </c>
      <c r="CF22" s="698">
        <v>1100</v>
      </c>
      <c r="CG22" s="698">
        <v>31.5</v>
      </c>
      <c r="CH22" s="698">
        <v>150</v>
      </c>
    </row>
    <row r="23" spans="2:86" ht="12.75">
      <c r="B23" s="1"/>
      <c r="C23" s="2"/>
      <c r="D23" s="2"/>
      <c r="E23" s="1"/>
      <c r="F23" s="1"/>
      <c r="G23" s="1"/>
      <c r="H23" s="1"/>
      <c r="I23" s="1"/>
      <c r="J23" s="1"/>
      <c r="K23" s="1"/>
      <c r="L23" s="2"/>
      <c r="M23" s="2"/>
      <c r="N23" s="2"/>
      <c r="O23" s="196"/>
      <c r="P23" s="196"/>
      <c r="Q23" s="2"/>
      <c r="R23" s="1"/>
      <c r="S23" s="1"/>
      <c r="T23" s="1"/>
      <c r="U23" s="1"/>
      <c r="V23" s="1"/>
      <c r="AA23" s="1">
        <v>2012</v>
      </c>
      <c r="AB23" s="698">
        <v>690</v>
      </c>
      <c r="AC23" s="2">
        <v>520</v>
      </c>
      <c r="AD23" s="2">
        <v>450</v>
      </c>
      <c r="AE23" s="2">
        <v>1020</v>
      </c>
      <c r="AF23" s="2">
        <v>640</v>
      </c>
      <c r="AG23" s="2">
        <v>1350</v>
      </c>
      <c r="AH23" s="2">
        <v>950</v>
      </c>
      <c r="AI23" s="2">
        <v>200</v>
      </c>
      <c r="AJ23" s="2">
        <v>410</v>
      </c>
      <c r="AK23" s="2">
        <v>620</v>
      </c>
      <c r="AM23" s="243">
        <v>0</v>
      </c>
    </row>
    <row r="24" spans="2:86" ht="12.75">
      <c r="B24" s="1"/>
      <c r="C24" s="2"/>
      <c r="D24" s="2"/>
      <c r="E24" s="1"/>
      <c r="F24" s="1"/>
      <c r="G24" s="1"/>
      <c r="H24" s="1"/>
      <c r="I24" s="1"/>
      <c r="J24" s="1"/>
      <c r="K24" s="1"/>
      <c r="L24" s="2"/>
      <c r="M24" s="2"/>
      <c r="N24" s="2"/>
      <c r="O24" s="196"/>
      <c r="P24" s="196"/>
      <c r="Q24" s="2"/>
      <c r="R24" s="1"/>
      <c r="S24" s="1"/>
      <c r="T24" s="1"/>
      <c r="U24" s="1"/>
      <c r="V24" s="1"/>
      <c r="AA24" s="1">
        <v>2013</v>
      </c>
      <c r="AB24" s="698">
        <v>690</v>
      </c>
      <c r="AC24" s="2">
        <v>520</v>
      </c>
      <c r="AD24" s="2">
        <v>425</v>
      </c>
      <c r="AE24" s="2">
        <v>1020</v>
      </c>
      <c r="AF24" s="2">
        <v>640</v>
      </c>
      <c r="AG24" s="2">
        <v>1350</v>
      </c>
      <c r="AH24" s="2">
        <v>950</v>
      </c>
      <c r="AI24" s="2">
        <v>200</v>
      </c>
      <c r="AJ24" s="2">
        <v>410</v>
      </c>
      <c r="AK24" s="2">
        <v>620</v>
      </c>
      <c r="AM24" s="243">
        <v>0</v>
      </c>
    </row>
    <row r="25" spans="2:86" ht="82.5" customHeight="1">
      <c r="B25" s="30" t="str">
        <f>Texte!A4993</f>
        <v>Regelmässiger Auslauf im Freien</v>
      </c>
      <c r="C25" s="715" t="str">
        <f>Texte!A4995</f>
        <v>Rinder u. Wasserbüffel, Tiere der Pferdegattung, Schafe u. Ziegen &gt; 1 Jahr, Weidelämmer, Kaninchen</v>
      </c>
      <c r="D25" s="715" t="str">
        <f>Texte!A4996</f>
        <v>Zuchtsauen, nicht säugend</v>
      </c>
      <c r="E25" s="715" t="str">
        <f>Texte!A4998</f>
        <v>Übrige Schweine ohne Saugferkel</v>
      </c>
      <c r="G25" s="715" t="str">
        <f>Texte!A4999</f>
        <v>Lege-, Jung- u. Zuchthennen, Mastpoulets und Truten</v>
      </c>
      <c r="H25" s="1"/>
      <c r="I25" s="715" t="str">
        <f>Texte!A5000</f>
        <v>Begrenzung nach SAK</v>
      </c>
      <c r="J25" s="715" t="str">
        <f>Texte!A5001</f>
        <v>Einkommensabzug Veheiratete</v>
      </c>
      <c r="K25" s="715" t="str">
        <f>Texte!A5002</f>
        <v>Vermögensabzug Veheiratete</v>
      </c>
      <c r="L25" s="715" t="str">
        <f>Texte!A5003</f>
        <v>Vermögensabzug SAK</v>
      </c>
      <c r="M25" s="1"/>
      <c r="N25" s="1"/>
      <c r="O25" s="1"/>
      <c r="P25" s="1"/>
      <c r="Q25" s="1"/>
      <c r="R25" s="1"/>
      <c r="S25" s="1"/>
      <c r="T25" s="1"/>
      <c r="U25" s="1"/>
      <c r="V25" s="1"/>
      <c r="W25" s="1"/>
      <c r="AA25" s="1">
        <f>Allg!Erntejahr</f>
        <v>2026</v>
      </c>
      <c r="AB25" s="2">
        <f>VLOOKUP(Allg!Erntejahr,$AA$16:$AM$24,2)</f>
        <v>690</v>
      </c>
      <c r="AC25" s="2">
        <f>VLOOKUP(Allg!Erntejahr,$AA$16:$AM$24,3)</f>
        <v>520</v>
      </c>
      <c r="AD25" s="2">
        <f>VLOOKUP(Allg!Erntejahr,$AA$16:$AM$24,4)</f>
        <v>425</v>
      </c>
      <c r="AE25" s="2">
        <f>VLOOKUP(Allg!Erntejahr,$AA$16:$AM$24,5)</f>
        <v>1020</v>
      </c>
      <c r="AF25" s="2">
        <f>VLOOKUP(Allg!Erntejahr,$AA$16:$AM$24,6)</f>
        <v>640</v>
      </c>
      <c r="AG25" s="2">
        <f>VLOOKUP(Allg!Erntejahr,$AA$16:$AM$24,7)</f>
        <v>1350</v>
      </c>
      <c r="AH25" s="2">
        <f>VLOOKUP(Allg!Erntejahr,$AA$16:$AM$24,8)</f>
        <v>950</v>
      </c>
      <c r="AI25" s="2">
        <f>VLOOKUP(Allg!Erntejahr,$AA$16:$AM$24,9)</f>
        <v>200</v>
      </c>
      <c r="AJ25" s="2">
        <f>VLOOKUP(Allg!Erntejahr,$AA$16:$AM$24,10)</f>
        <v>410</v>
      </c>
      <c r="AK25" s="2">
        <f>VLOOKUP(Allg!Erntejahr,$AA$16:$AM$24,11)</f>
        <v>620</v>
      </c>
      <c r="AM25" s="243">
        <f>VLOOKUP(Allg!Erntejahr,$AA$16:$AM$24,13)</f>
        <v>0</v>
      </c>
    </row>
    <row r="26" spans="2:86" ht="12.75">
      <c r="B26" s="1" t="str">
        <f>Texte!A4966</f>
        <v>Tabellarische Koeffizienten</v>
      </c>
      <c r="C26" s="2">
        <v>180</v>
      </c>
      <c r="D26" s="2">
        <v>360</v>
      </c>
      <c r="E26" s="2">
        <v>155</v>
      </c>
      <c r="G26" s="2">
        <v>280</v>
      </c>
      <c r="H26" s="1"/>
      <c r="I26" s="2">
        <v>70000</v>
      </c>
      <c r="J26" s="2">
        <v>50000</v>
      </c>
      <c r="K26" s="2">
        <v>340000</v>
      </c>
      <c r="L26" s="2">
        <f>270000</f>
        <v>270000</v>
      </c>
      <c r="M26" s="1"/>
      <c r="N26" s="1"/>
      <c r="O26" s="1"/>
      <c r="P26" s="1"/>
      <c r="Q26" s="1"/>
      <c r="R26" s="1"/>
      <c r="S26" s="1"/>
      <c r="T26" s="1"/>
      <c r="U26" s="1"/>
      <c r="V26" s="1"/>
      <c r="W26" s="1"/>
      <c r="X26" s="1"/>
      <c r="Y26" s="1"/>
      <c r="Z26" s="1"/>
      <c r="AA26" s="1"/>
      <c r="AB26" s="1"/>
      <c r="AC26" s="1"/>
      <c r="AD26" s="1"/>
      <c r="AE26" s="1"/>
      <c r="AF26" s="1"/>
    </row>
    <row r="27" spans="2:86" ht="12.75" customHeight="1">
      <c r="B27" s="1"/>
      <c r="C27" s="715"/>
      <c r="D27" s="1"/>
      <c r="E27" s="1"/>
      <c r="F27" s="1"/>
      <c r="G27" s="1"/>
      <c r="H27" s="1"/>
      <c r="I27" s="1"/>
      <c r="J27" s="1"/>
      <c r="M27" s="1"/>
      <c r="N27" s="1"/>
      <c r="O27" s="1"/>
      <c r="P27" s="1"/>
      <c r="Q27" s="1"/>
      <c r="R27" s="1"/>
      <c r="S27" s="1"/>
      <c r="T27" s="1"/>
      <c r="U27" s="1"/>
      <c r="V27" s="1"/>
      <c r="W27" s="1"/>
      <c r="X27" s="1"/>
      <c r="Y27" s="1"/>
      <c r="Z27" s="1"/>
      <c r="AA27" s="1"/>
      <c r="AB27" s="1"/>
      <c r="AC27" s="1"/>
      <c r="AD27" s="1"/>
      <c r="AE27" s="1"/>
      <c r="AF27" s="1"/>
    </row>
    <row r="28" spans="2:86" ht="9.75" customHeight="1">
      <c r="B28" s="1"/>
      <c r="C28" s="2"/>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spans="2:86" ht="92.25" customHeight="1">
      <c r="B29" s="30" t="str">
        <f>Texte!A5004</f>
        <v>Besonders tierfreundliche Stallhaltungssysteme</v>
      </c>
      <c r="C29" s="715" t="str">
        <f>Texte!A5006</f>
        <v>Rinder u. Wasserbüffel &gt; 4 Mte., Tiere der Pferdegattung &gt; 30 Mte., Ziegen  &gt; 1 Jahr</v>
      </c>
      <c r="D29" s="715"/>
      <c r="E29" s="715" t="str">
        <f>Texte!A5008</f>
        <v>Schweine ohne Saugferkel</v>
      </c>
      <c r="F29" s="715" t="str">
        <f>Texte!A5009</f>
        <v>Lege-, Jung- u. Zuchthennen</v>
      </c>
      <c r="G29" s="1" t="str">
        <f>Texte!A5010</f>
        <v>Mastpoulets, Truten und Kaninchen</v>
      </c>
      <c r="H29" s="1"/>
      <c r="I29" s="1"/>
      <c r="J29" s="1" t="str">
        <f>Texte!A5011</f>
        <v>Beiträge für Sömmerungs-, Hirten- und Gemeinschaftsweidebetriebe</v>
      </c>
      <c r="K29" s="1"/>
      <c r="L29" s="1"/>
      <c r="M29" s="1"/>
      <c r="N29" s="1"/>
      <c r="O29" s="1"/>
      <c r="P29" s="1"/>
      <c r="Q29" s="719" t="str">
        <f>Texte!A5019</f>
        <v>Jahrliste1</v>
      </c>
      <c r="R29" s="719" t="str">
        <f>Texte!A5020</f>
        <v>Jahrliste2</v>
      </c>
      <c r="S29" s="715" t="str">
        <f>Texte!A5021</f>
        <v>Jährliche Veränderung der flüssigen Mittel (Werte)</v>
      </c>
      <c r="T29" s="715" t="str">
        <f>Texte!A5022</f>
        <v xml:space="preserve">Werte in der gewählten Spanne </v>
      </c>
      <c r="U29" s="639"/>
      <c r="V29" s="1"/>
      <c r="W29" s="1"/>
      <c r="X29" s="1"/>
      <c r="Y29" s="1"/>
      <c r="Z29" s="1"/>
      <c r="AA29" s="1"/>
      <c r="AB29" s="1"/>
      <c r="AC29" s="1"/>
      <c r="AD29" s="1"/>
      <c r="AE29" s="1"/>
      <c r="AF29" s="1"/>
    </row>
    <row r="30" spans="2:86" ht="12.75">
      <c r="B30" s="1" t="str">
        <f>Texte!A4966</f>
        <v>Tabellarische Koeffizienten</v>
      </c>
      <c r="C30" s="2">
        <v>90</v>
      </c>
      <c r="D30" s="2"/>
      <c r="E30" s="2">
        <v>155</v>
      </c>
      <c r="F30" s="2">
        <v>280</v>
      </c>
      <c r="G30" s="2">
        <f>IF(Allg!Erntejahr&lt;2008,180,280)</f>
        <v>280</v>
      </c>
      <c r="H30" s="1"/>
      <c r="I30" s="1"/>
      <c r="J30" s="1" t="str">
        <f>Texte!A5012</f>
        <v>gemolkene Kühe, Milchschafe und Milchziegen</v>
      </c>
      <c r="K30" s="1"/>
      <c r="L30" s="1"/>
      <c r="M30" s="1"/>
      <c r="N30" s="2" t="str">
        <f>Texte!A5015</f>
        <v>CHF /Normalstoss bzw. RGVE</v>
      </c>
      <c r="O30" s="1"/>
      <c r="P30" s="1"/>
      <c r="Q30" s="719"/>
      <c r="R30" s="1"/>
      <c r="S30" s="1"/>
      <c r="T30" s="1"/>
      <c r="U30" s="1"/>
      <c r="V30" s="1"/>
      <c r="W30" s="1"/>
      <c r="X30" s="1"/>
      <c r="Y30" s="1"/>
      <c r="Z30" s="1"/>
      <c r="AA30" s="1"/>
      <c r="AB30" s="1"/>
      <c r="AC30" s="1"/>
      <c r="AD30" s="1"/>
      <c r="AE30" s="1"/>
      <c r="AF30" s="1"/>
    </row>
    <row r="31" spans="2:86" ht="12.75">
      <c r="B31" s="1"/>
      <c r="C31" s="1"/>
      <c r="D31" s="1"/>
      <c r="E31" s="1"/>
      <c r="F31" s="1"/>
      <c r="G31" s="1"/>
      <c r="H31" s="1"/>
      <c r="I31" s="1"/>
      <c r="K31" s="1"/>
      <c r="L31" s="1"/>
      <c r="M31" s="1"/>
      <c r="N31" s="2">
        <v>330</v>
      </c>
      <c r="O31" s="1"/>
      <c r="P31" s="1"/>
      <c r="Q31" s="1"/>
      <c r="R31" s="2">
        <f t="shared" ref="R31:R36" si="7">Q32</f>
        <v>2026</v>
      </c>
      <c r="S31" s="552" t="e">
        <f>#REF!</f>
        <v>#REF!</v>
      </c>
      <c r="T31" s="2" t="e">
        <f t="shared" ref="T31:T36" si="8">IF(AND(Q32&gt;=$Q$38,Q32&lt;=$R$37),S31,0)</f>
        <v>#REF!</v>
      </c>
      <c r="U31" s="1"/>
      <c r="V31" s="1"/>
      <c r="W31" s="1"/>
      <c r="X31" s="1"/>
      <c r="Y31" s="1"/>
      <c r="Z31" s="1"/>
      <c r="AA31" s="1"/>
      <c r="AB31" s="1"/>
      <c r="AC31" s="1"/>
      <c r="AD31" s="1"/>
      <c r="AE31" s="1"/>
      <c r="AF31" s="1"/>
    </row>
    <row r="32" spans="2:86" ht="12.75">
      <c r="B32" s="1"/>
      <c r="C32" s="1"/>
      <c r="D32" s="1"/>
      <c r="E32" s="1"/>
      <c r="F32" s="1"/>
      <c r="G32" s="1"/>
      <c r="H32" s="1"/>
      <c r="I32" s="1"/>
      <c r="J32" s="1" t="str">
        <f>Texte!A5013</f>
        <v>Schafe ohne Milchschafe</v>
      </c>
      <c r="O32" s="1"/>
      <c r="P32" s="1" t="str">
        <f>Texte!A5023</f>
        <v>Planungsjahr 1</v>
      </c>
      <c r="Q32" s="2">
        <f>Allg!Erntejahr</f>
        <v>2026</v>
      </c>
      <c r="R32" s="2">
        <f t="shared" si="7"/>
        <v>2027</v>
      </c>
      <c r="S32" s="552" t="e">
        <f>#REF!</f>
        <v>#REF!</v>
      </c>
      <c r="T32" s="2" t="e">
        <f t="shared" si="8"/>
        <v>#REF!</v>
      </c>
      <c r="U32" s="1"/>
      <c r="V32" s="1"/>
      <c r="W32" s="1"/>
      <c r="X32" s="1"/>
      <c r="Y32" s="1"/>
      <c r="Z32" s="1"/>
      <c r="AA32" s="1"/>
      <c r="AB32" s="1"/>
      <c r="AC32" s="1"/>
      <c r="AD32" s="1"/>
      <c r="AE32" s="1"/>
      <c r="AF32" s="1"/>
    </row>
    <row r="33" spans="2:34" ht="12.75">
      <c r="B33" s="1" t="str">
        <f>Texte!A5031</f>
        <v>Dünger-Einheiten (SB2)</v>
      </c>
      <c r="C33" s="1"/>
      <c r="D33" s="1" t="str">
        <f>Texte!A5039</f>
        <v>Vollmistsysteme 1</v>
      </c>
      <c r="E33" s="1"/>
      <c r="F33" s="1" t="str">
        <f>Texte!A5040</f>
        <v>Vollmistsysteme 2</v>
      </c>
      <c r="G33" s="1"/>
      <c r="H33" s="1"/>
      <c r="I33" s="1"/>
      <c r="J33" s="1"/>
      <c r="K33" s="1"/>
      <c r="L33" s="1"/>
      <c r="M33" s="1" t="str">
        <f>Texte!A5016</f>
        <v>Ständige Behirtung</v>
      </c>
      <c r="N33" s="698">
        <v>330</v>
      </c>
      <c r="O33" s="1"/>
      <c r="P33" s="1" t="str">
        <f>Texte!A5024</f>
        <v>Planungsjahr 2</v>
      </c>
      <c r="Q33" s="2">
        <f>Q32+1</f>
        <v>2027</v>
      </c>
      <c r="R33" s="2">
        <f t="shared" si="7"/>
        <v>2028</v>
      </c>
      <c r="S33" s="552" t="e">
        <f>#REF!</f>
        <v>#REF!</v>
      </c>
      <c r="T33" s="2" t="e">
        <f t="shared" si="8"/>
        <v>#REF!</v>
      </c>
      <c r="U33" s="1"/>
      <c r="V33" s="1"/>
      <c r="W33" s="1"/>
      <c r="X33" s="1"/>
      <c r="Y33" s="1"/>
      <c r="Z33" s="1"/>
      <c r="AA33" s="1"/>
      <c r="AB33" s="1"/>
      <c r="AC33" s="1"/>
      <c r="AD33" s="1"/>
      <c r="AE33" s="1"/>
      <c r="AF33" s="1"/>
    </row>
    <row r="34" spans="2:34" ht="12.75">
      <c r="B34" s="1"/>
      <c r="C34" s="1"/>
      <c r="D34" s="1"/>
      <c r="E34" s="1"/>
      <c r="F34" s="1"/>
      <c r="G34" s="1"/>
      <c r="H34" s="1"/>
      <c r="I34" s="1"/>
      <c r="J34" s="1"/>
      <c r="K34" s="1"/>
      <c r="L34" s="1"/>
      <c r="M34" s="1" t="str">
        <f>Texte!A5017</f>
        <v>Umtriebsweide</v>
      </c>
      <c r="N34" s="2">
        <v>250</v>
      </c>
      <c r="O34" s="1"/>
      <c r="P34" s="1" t="str">
        <f>Texte!A5025</f>
        <v>Planungsjahr 3</v>
      </c>
      <c r="Q34" s="2">
        <f>Q32+2</f>
        <v>2028</v>
      </c>
      <c r="R34" s="2">
        <f t="shared" si="7"/>
        <v>2029</v>
      </c>
      <c r="S34" s="552" t="e">
        <f>#REF!</f>
        <v>#REF!</v>
      </c>
      <c r="T34" s="2" t="e">
        <f t="shared" si="8"/>
        <v>#REF!</v>
      </c>
      <c r="U34" s="1"/>
      <c r="V34" s="1"/>
      <c r="W34" s="1"/>
      <c r="X34" s="1"/>
      <c r="Y34" s="1"/>
      <c r="Z34" s="1"/>
      <c r="AA34" s="1"/>
      <c r="AB34" s="1"/>
      <c r="AC34" s="1"/>
      <c r="AD34" s="1"/>
      <c r="AE34" s="1"/>
      <c r="AF34" s="1"/>
    </row>
    <row r="35" spans="2:34" ht="12.75">
      <c r="B35" s="1" t="s">
        <v>4111</v>
      </c>
      <c r="C35" s="1"/>
      <c r="D35" s="1" t="str">
        <f>Texte!A5033</f>
        <v>Typ 0</v>
      </c>
      <c r="E35" s="2">
        <v>0</v>
      </c>
      <c r="F35" s="1" t="str">
        <f>D35</f>
        <v>Typ 0</v>
      </c>
      <c r="G35" s="2">
        <v>0</v>
      </c>
      <c r="H35" s="1"/>
      <c r="I35" s="1"/>
      <c r="J35" s="1"/>
      <c r="K35" s="1"/>
      <c r="L35" s="1"/>
      <c r="M35" s="1" t="str">
        <f>Texte!A5018</f>
        <v>Übrige Weiden</v>
      </c>
      <c r="N35" s="2">
        <v>120</v>
      </c>
      <c r="O35" s="1"/>
      <c r="P35" s="1" t="str">
        <f>Texte!A5026</f>
        <v>Planungsjahr 4</v>
      </c>
      <c r="Q35" s="2">
        <f>Q32+3</f>
        <v>2029</v>
      </c>
      <c r="R35" s="2">
        <f t="shared" si="7"/>
        <v>2030</v>
      </c>
      <c r="S35" s="552" t="e">
        <f>#REF!</f>
        <v>#REF!</v>
      </c>
      <c r="T35" s="2" t="e">
        <f t="shared" si="8"/>
        <v>#REF!</v>
      </c>
      <c r="U35" s="1"/>
      <c r="V35" s="1"/>
      <c r="W35" s="1"/>
      <c r="X35" s="1"/>
      <c r="Y35" s="1"/>
      <c r="Z35" s="1"/>
      <c r="AA35" s="1"/>
      <c r="AB35" s="1"/>
      <c r="AC35" s="1"/>
      <c r="AD35" s="1"/>
      <c r="AE35" s="1"/>
      <c r="AF35" s="1"/>
    </row>
    <row r="36" spans="2:34" ht="12.75">
      <c r="B36" s="1" t="str">
        <f>Texte!A5032</f>
        <v>dt</v>
      </c>
      <c r="C36" s="1"/>
      <c r="D36" s="1" t="str">
        <f>Texte!A5034</f>
        <v>Typ 50</v>
      </c>
      <c r="E36" s="2">
        <v>0.5</v>
      </c>
      <c r="F36" s="1" t="str">
        <f>Texte!A5036</f>
        <v>Typ 50/100</v>
      </c>
      <c r="G36" s="2">
        <v>1</v>
      </c>
      <c r="H36" s="1"/>
      <c r="I36" s="1"/>
      <c r="K36" s="1"/>
      <c r="L36" s="1"/>
      <c r="M36" s="1"/>
      <c r="N36" s="2"/>
      <c r="O36" s="1"/>
      <c r="P36" s="1" t="str">
        <f>Texte!A5027</f>
        <v>Planungsjahr 5</v>
      </c>
      <c r="Q36" s="2">
        <f>Q32+4</f>
        <v>2030</v>
      </c>
      <c r="R36" s="2">
        <f t="shared" si="7"/>
        <v>2031</v>
      </c>
      <c r="S36" s="552" t="e">
        <f>#REF!</f>
        <v>#REF!</v>
      </c>
      <c r="T36" s="2" t="e">
        <f t="shared" si="8"/>
        <v>#REF!</v>
      </c>
      <c r="U36" s="1"/>
      <c r="V36" s="1"/>
      <c r="W36" s="1"/>
      <c r="X36" s="1"/>
      <c r="Y36" s="1"/>
      <c r="Z36" s="1"/>
      <c r="AA36" s="1"/>
      <c r="AB36" s="1"/>
      <c r="AC36" s="1"/>
      <c r="AD36" s="1"/>
      <c r="AE36" s="1"/>
      <c r="AF36" s="1"/>
    </row>
    <row r="37" spans="2:34" ht="12.75">
      <c r="B37" s="1" t="s">
        <v>5484</v>
      </c>
      <c r="C37" s="1"/>
      <c r="D37" s="1" t="str">
        <f>Texte!A5035</f>
        <v>Typ 100</v>
      </c>
      <c r="E37" s="2">
        <v>1</v>
      </c>
      <c r="F37" s="1"/>
      <c r="G37" s="1"/>
      <c r="H37" s="1"/>
      <c r="I37" s="1"/>
      <c r="J37" s="1" t="str">
        <f>Texte!A5014</f>
        <v>übrige Raufutter verzehrende Tiere</v>
      </c>
      <c r="K37" s="1"/>
      <c r="L37" s="1"/>
      <c r="M37" s="1"/>
      <c r="N37" s="2">
        <v>330</v>
      </c>
      <c r="O37" s="1"/>
      <c r="P37" s="1" t="str">
        <f>Texte!A5028</f>
        <v>Planungsjahr 6</v>
      </c>
      <c r="Q37" s="2">
        <f>Q32+5</f>
        <v>2031</v>
      </c>
      <c r="R37" s="2" t="e">
        <f>[0]!KlickJahr2</f>
        <v>#REF!</v>
      </c>
      <c r="S37" s="2"/>
      <c r="T37" s="2"/>
      <c r="U37" s="1"/>
      <c r="V37" s="1"/>
      <c r="W37" s="1"/>
      <c r="X37" s="1"/>
      <c r="Y37" s="1"/>
      <c r="Z37" s="1"/>
      <c r="AA37" s="1"/>
      <c r="AB37" s="1"/>
      <c r="AC37" s="1"/>
      <c r="AD37" s="1"/>
      <c r="AE37" s="1"/>
      <c r="AF37" s="1"/>
    </row>
    <row r="38" spans="2:34" ht="12.75">
      <c r="B38" s="1" t="s">
        <v>7009</v>
      </c>
      <c r="C38" s="1"/>
      <c r="D38" s="1"/>
      <c r="E38" s="1"/>
      <c r="F38" s="1"/>
      <c r="G38" s="1"/>
      <c r="H38" s="1"/>
      <c r="I38" s="1"/>
      <c r="K38" s="1"/>
      <c r="L38" s="1"/>
      <c r="M38" s="1"/>
      <c r="N38" s="2"/>
      <c r="O38" s="1"/>
      <c r="P38" s="1" t="str">
        <f>Texte!A5029</f>
        <v>Gewählte Jahre</v>
      </c>
      <c r="Q38" s="2" t="e">
        <f>[0]!KlickJahr1</f>
        <v>#REF!</v>
      </c>
      <c r="R38" s="2"/>
      <c r="S38" s="2"/>
      <c r="T38" s="2" t="e">
        <f>SUM(T31:T36)/(R37-Q38+1)</f>
        <v>#REF!</v>
      </c>
      <c r="U38" s="1"/>
      <c r="V38" s="1"/>
      <c r="W38" s="1"/>
      <c r="X38" s="1"/>
      <c r="Y38" s="1"/>
      <c r="Z38" s="1"/>
      <c r="AA38" s="1"/>
      <c r="AB38" s="1"/>
      <c r="AC38" s="1"/>
      <c r="AD38" s="1"/>
      <c r="AE38" s="1"/>
      <c r="AF38" s="1"/>
    </row>
    <row r="39" spans="2:34" ht="12.75">
      <c r="B39" s="1" t="s">
        <v>5675</v>
      </c>
      <c r="C39" s="1"/>
      <c r="D39" s="1" t="str">
        <f>Texte!A5041</f>
        <v>Freilandschweine</v>
      </c>
      <c r="E39" s="1"/>
      <c r="F39" s="1"/>
      <c r="G39" s="1"/>
      <c r="H39" s="1"/>
      <c r="I39" s="1"/>
      <c r="N39" s="1"/>
      <c r="O39" s="1"/>
      <c r="P39" s="1" t="str">
        <f>Texte!A5030</f>
        <v>Mittelwert</v>
      </c>
      <c r="Q39" s="2"/>
      <c r="R39" s="1"/>
      <c r="S39" s="1"/>
      <c r="T39" s="1"/>
      <c r="U39" s="1"/>
      <c r="V39" s="1"/>
      <c r="W39" s="1"/>
      <c r="X39" s="1"/>
      <c r="Y39" s="1"/>
      <c r="Z39" s="1"/>
      <c r="AA39" s="1"/>
      <c r="AB39" s="1"/>
      <c r="AC39" s="1"/>
      <c r="AD39" s="1"/>
      <c r="AE39" s="1"/>
      <c r="AF39" s="1"/>
    </row>
    <row r="40" spans="2:34" ht="12.75">
      <c r="B40" s="1" t="s">
        <v>6074</v>
      </c>
      <c r="C40" s="1"/>
      <c r="D40" s="1"/>
      <c r="E40" s="1"/>
      <c r="F40" s="1"/>
      <c r="G40" s="1"/>
      <c r="H40" s="1"/>
      <c r="N40" s="1"/>
      <c r="O40" s="1"/>
      <c r="P40" s="1"/>
      <c r="Q40" s="1"/>
      <c r="R40" s="1"/>
      <c r="S40" s="1"/>
      <c r="T40" s="1"/>
      <c r="U40" s="1"/>
      <c r="V40" s="1"/>
      <c r="W40" s="1"/>
      <c r="X40" s="1"/>
      <c r="Y40" s="1"/>
      <c r="Z40" s="1"/>
      <c r="AA40" s="1"/>
      <c r="AB40" s="1"/>
      <c r="AC40" s="1"/>
      <c r="AD40" s="1"/>
      <c r="AE40" s="1"/>
      <c r="AF40" s="1"/>
    </row>
    <row r="41" spans="2:34" ht="12.75">
      <c r="B41" s="1"/>
      <c r="C41" s="1"/>
      <c r="D41" s="1"/>
      <c r="E41" s="1"/>
      <c r="F41" s="1"/>
      <c r="G41" s="1"/>
      <c r="H41" s="1"/>
      <c r="K41" s="1" t="str">
        <f>Texte!A5122</f>
        <v>Tiere der Rindergattung und Wasserbüffel</v>
      </c>
      <c r="L41" s="1"/>
      <c r="M41" s="1" t="str">
        <f>Texte!A5123</f>
        <v>Einheit</v>
      </c>
      <c r="N41" s="1" t="str">
        <f>Texte!A5124</f>
        <v>GVE-Faktoren</v>
      </c>
      <c r="O41" s="1"/>
      <c r="P41" s="1"/>
      <c r="Q41" s="1"/>
      <c r="R41" s="1"/>
      <c r="S41" s="1"/>
      <c r="T41" s="1"/>
      <c r="U41" s="1"/>
      <c r="V41" s="1"/>
      <c r="W41" s="1"/>
      <c r="X41" s="1"/>
      <c r="Y41" s="1"/>
      <c r="Z41" s="1"/>
      <c r="AA41" s="1"/>
      <c r="AB41" s="1"/>
      <c r="AC41" s="1"/>
      <c r="AD41" s="1"/>
      <c r="AE41" s="1"/>
      <c r="AF41" s="1"/>
    </row>
    <row r="42" spans="2:34" ht="12.75">
      <c r="B42" s="1"/>
      <c r="C42" s="1"/>
      <c r="D42" s="1" t="str">
        <f>Texte!A5042</f>
        <v>Stallhaltung</v>
      </c>
      <c r="E42" s="1"/>
      <c r="F42" s="1"/>
      <c r="G42" s="1"/>
      <c r="H42" s="1"/>
      <c r="K42" s="1"/>
      <c r="L42" s="1"/>
      <c r="M42" s="1" t="str">
        <f>Texte!A384 &amp; " =1"</f>
        <v>Platz =1</v>
      </c>
      <c r="N42" s="1">
        <v>2020</v>
      </c>
      <c r="O42" s="1"/>
      <c r="P42" s="1"/>
      <c r="Q42" s="1"/>
      <c r="R42" s="1"/>
      <c r="S42" s="1"/>
      <c r="T42" s="1"/>
      <c r="V42" s="1"/>
      <c r="W42" s="1"/>
      <c r="X42" s="1"/>
      <c r="Y42" s="1"/>
      <c r="Z42" s="1"/>
      <c r="AA42" s="1"/>
      <c r="AB42" s="1"/>
      <c r="AC42" s="1"/>
      <c r="AD42" s="1"/>
      <c r="AE42" s="1"/>
      <c r="AF42" s="1"/>
    </row>
    <row r="43" spans="2:34" ht="12.75">
      <c r="B43" s="1"/>
      <c r="C43" s="1"/>
      <c r="D43" s="1" t="str">
        <f>Texte!A5043</f>
        <v>Freilandhaltung</v>
      </c>
      <c r="E43" s="2">
        <v>24</v>
      </c>
      <c r="F43" s="1"/>
      <c r="G43" s="1"/>
      <c r="H43" s="1"/>
      <c r="K43" s="2061" t="str">
        <f>Texte!A5132</f>
        <v>Kategorien ab 2020</v>
      </c>
      <c r="N43" s="1" t="str">
        <f>Texte!A5131</f>
        <v>jahrabhängiger Faktor</v>
      </c>
      <c r="O43" s="196" t="str">
        <f>Texte!A5128</f>
        <v>umgerechnet ab 2009</v>
      </c>
      <c r="Q43" s="1" t="str">
        <f>Texte!A5129</f>
        <v>umgerechnet ab 2014</v>
      </c>
      <c r="R43" s="1"/>
      <c r="S43" s="1" t="str">
        <f>Texte!A5130</f>
        <v>umgerechnet ab 2018</v>
      </c>
      <c r="T43" s="196">
        <v>2020</v>
      </c>
      <c r="V43" s="1"/>
      <c r="W43" s="1"/>
      <c r="X43" s="1"/>
      <c r="Y43" s="1"/>
      <c r="Z43" s="1"/>
      <c r="AA43" s="1"/>
      <c r="AB43" s="1"/>
      <c r="AC43" s="1"/>
      <c r="AD43" s="1"/>
      <c r="AE43" s="1"/>
      <c r="AF43" s="1"/>
      <c r="AG43" s="1"/>
      <c r="AH43" s="1"/>
    </row>
    <row r="44" spans="2:34" ht="12.75">
      <c r="B44" s="1"/>
      <c r="C44" s="1"/>
      <c r="D44" s="1"/>
      <c r="E44" s="1"/>
      <c r="F44" s="1"/>
      <c r="G44" s="1"/>
      <c r="H44" s="1"/>
      <c r="K44" t="str">
        <f t="shared" ref="K44:K53" si="9">C222</f>
        <v>Milchkühe</v>
      </c>
      <c r="M44">
        <v>0</v>
      </c>
      <c r="N44" s="536">
        <f>IF(Allg!Erntejahr&gt;$N$42-1,D_Klick!T44,D_Klick!S44)</f>
        <v>1</v>
      </c>
      <c r="O44" s="1">
        <v>1</v>
      </c>
      <c r="P44" s="2"/>
      <c r="Q44">
        <v>1</v>
      </c>
      <c r="R44" s="1"/>
      <c r="S44" s="536">
        <f>Q44</f>
        <v>1</v>
      </c>
      <c r="T44" s="536">
        <f>N75</f>
        <v>1</v>
      </c>
      <c r="V44" s="1"/>
      <c r="W44" s="1"/>
      <c r="X44" s="1"/>
      <c r="Y44" s="1"/>
      <c r="Z44" s="1"/>
      <c r="AA44" s="1"/>
      <c r="AB44" s="1"/>
      <c r="AC44" s="1"/>
      <c r="AD44" s="1"/>
      <c r="AE44" s="1"/>
      <c r="AF44" s="1"/>
      <c r="AG44" s="1"/>
      <c r="AH44" s="1"/>
    </row>
    <row r="45" spans="2:34" ht="12.75">
      <c r="B45" s="1"/>
      <c r="C45" s="1"/>
      <c r="D45" s="1"/>
      <c r="E45" s="1"/>
      <c r="F45" s="1"/>
      <c r="G45" s="1"/>
      <c r="H45" s="1"/>
      <c r="K45" t="str">
        <f t="shared" si="9"/>
        <v>Galt- oder Ausmastkühe</v>
      </c>
      <c r="M45">
        <v>1</v>
      </c>
      <c r="N45" s="536">
        <f>IF(Allg!Erntejahr&gt;$N$42-1,D_Klick!T45,D_Klick!S45)</f>
        <v>1</v>
      </c>
      <c r="O45" s="1"/>
      <c r="P45" s="2"/>
      <c r="R45" s="1"/>
      <c r="S45" s="536">
        <v>1</v>
      </c>
      <c r="T45" s="536">
        <f>N76</f>
        <v>1</v>
      </c>
      <c r="V45" s="1"/>
      <c r="W45" s="1"/>
      <c r="X45" s="1"/>
      <c r="Y45" s="1"/>
      <c r="Z45" s="1"/>
      <c r="AA45" s="1"/>
      <c r="AB45" s="1"/>
      <c r="AC45" s="1"/>
      <c r="AD45" s="1"/>
      <c r="AE45" s="1"/>
      <c r="AF45" s="1"/>
      <c r="AG45" s="1"/>
      <c r="AH45" s="1"/>
    </row>
    <row r="46" spans="2:34" ht="12.75">
      <c r="B46" s="1"/>
      <c r="C46" s="1"/>
      <c r="D46" s="1"/>
      <c r="E46" s="1"/>
      <c r="F46" s="1"/>
      <c r="G46" s="1"/>
      <c r="H46" s="1"/>
      <c r="K46" t="str">
        <f t="shared" si="9"/>
        <v>Jungvieh, bis 160-tägig</v>
      </c>
      <c r="M46">
        <v>1</v>
      </c>
      <c r="N46" s="536">
        <f>IF(Allg!Erntejahr&gt;$N$42-1,D_Klick!T46,D_Klick!S46)</f>
        <v>0.13</v>
      </c>
      <c r="O46" s="1">
        <f>(120*N72+245*N71)/365</f>
        <v>0.23424657534246576</v>
      </c>
      <c r="P46" s="2" t="s">
        <v>2939</v>
      </c>
      <c r="Q46">
        <f>(160*N80+205*N79)/365</f>
        <v>0.24232876712328769</v>
      </c>
      <c r="R46" s="1430" t="s">
        <v>4634</v>
      </c>
      <c r="S46" s="536">
        <f>Q46</f>
        <v>0.24232876712328769</v>
      </c>
      <c r="T46" s="987">
        <f>N80</f>
        <v>0.13</v>
      </c>
      <c r="V46" s="1"/>
      <c r="W46" s="1"/>
      <c r="X46" s="1"/>
      <c r="Y46" s="1"/>
      <c r="Z46" s="1"/>
      <c r="AA46" s="1"/>
      <c r="AB46" s="1"/>
      <c r="AC46" s="1"/>
      <c r="AD46" s="1"/>
      <c r="AE46" s="1"/>
      <c r="AF46" s="1"/>
      <c r="AG46" s="1"/>
      <c r="AH46" s="1"/>
    </row>
    <row r="47" spans="2:34" ht="12.75">
      <c r="B47" s="1"/>
      <c r="C47" s="1"/>
      <c r="D47" s="1"/>
      <c r="E47" s="1"/>
      <c r="F47" s="1"/>
      <c r="G47" s="1"/>
      <c r="H47" s="1"/>
      <c r="K47" t="str">
        <f t="shared" si="9"/>
        <v>Jungvieh, 160 bis 365-tägig</v>
      </c>
      <c r="M47">
        <v>1</v>
      </c>
      <c r="N47" s="536">
        <f>IF(Allg!Erntejahr&gt;$N$42-1,D_Klick!T47,D_Klick!S47)</f>
        <v>0.33</v>
      </c>
      <c r="S47" s="987">
        <f>Q46</f>
        <v>0.24232876712328769</v>
      </c>
      <c r="T47" s="987">
        <f>N79</f>
        <v>0.33</v>
      </c>
      <c r="V47" s="1"/>
      <c r="W47" s="1"/>
      <c r="X47" s="1"/>
      <c r="Y47" s="1"/>
      <c r="Z47" s="1"/>
      <c r="AA47" s="1"/>
      <c r="AB47" s="1"/>
      <c r="AC47" s="1"/>
      <c r="AD47" s="1"/>
      <c r="AE47" s="1"/>
      <c r="AF47" s="1"/>
      <c r="AG47" s="1"/>
      <c r="AH47" s="1"/>
    </row>
    <row r="48" spans="2:34" ht="12.75">
      <c r="B48" s="1" t="str">
        <f>Texte!A5044</f>
        <v>Ja/Nein</v>
      </c>
      <c r="C48" s="1"/>
      <c r="D48" s="1"/>
      <c r="E48" s="1"/>
      <c r="F48" s="1"/>
      <c r="G48" s="1"/>
      <c r="H48" s="1"/>
      <c r="K48" t="str">
        <f t="shared" si="9"/>
        <v>Jungvieh, 1 bis 2-jährig</v>
      </c>
      <c r="M48">
        <v>1</v>
      </c>
      <c r="N48" s="536">
        <f>IF(Allg!Erntejahr&gt;$N$42-1,D_Klick!T48,D_Klick!S48)</f>
        <v>0.4</v>
      </c>
      <c r="O48" s="1">
        <v>0.4</v>
      </c>
      <c r="P48" s="2"/>
      <c r="Q48">
        <v>0.4</v>
      </c>
      <c r="R48" s="2"/>
      <c r="S48" s="536">
        <f>Q48</f>
        <v>0.4</v>
      </c>
      <c r="T48" s="536">
        <f>S48</f>
        <v>0.4</v>
      </c>
      <c r="V48" s="1"/>
      <c r="W48" s="1"/>
      <c r="X48" s="1"/>
      <c r="Y48" s="1"/>
      <c r="Z48" s="1"/>
      <c r="AA48" s="1"/>
      <c r="AB48" s="1"/>
      <c r="AC48" s="1"/>
      <c r="AD48" s="1"/>
      <c r="AE48" s="1"/>
      <c r="AF48" s="1"/>
      <c r="AG48" s="1"/>
      <c r="AH48" s="1"/>
    </row>
    <row r="49" spans="2:34" ht="12.75">
      <c r="B49" s="1"/>
      <c r="C49" s="1"/>
      <c r="D49" s="1"/>
      <c r="E49" s="1"/>
      <c r="F49" s="1"/>
      <c r="G49" s="1"/>
      <c r="H49" s="1"/>
      <c r="K49" t="str">
        <f t="shared" si="9"/>
        <v>Jungvieh, über 2-jährig</v>
      </c>
      <c r="M49">
        <v>1</v>
      </c>
      <c r="N49" s="536">
        <f>IF(Allg!Erntejahr&gt;$N$42-1,D_Klick!T49,D_Klick!S49)</f>
        <v>0.6</v>
      </c>
      <c r="O49" s="1">
        <v>0.6</v>
      </c>
      <c r="P49" s="2"/>
      <c r="Q49">
        <v>0.6</v>
      </c>
      <c r="R49" s="2"/>
      <c r="S49" s="536">
        <f>Q49</f>
        <v>0.6</v>
      </c>
      <c r="T49" s="536">
        <f>S49</f>
        <v>0.6</v>
      </c>
      <c r="V49" s="1"/>
      <c r="W49" s="1"/>
      <c r="X49" s="1"/>
      <c r="Y49" s="1"/>
      <c r="Z49" s="1"/>
      <c r="AA49" s="1"/>
      <c r="AB49" s="1"/>
      <c r="AC49" s="1"/>
      <c r="AD49" s="1"/>
      <c r="AE49" s="1"/>
      <c r="AF49" s="1"/>
      <c r="AG49" s="1"/>
      <c r="AH49" s="1"/>
    </row>
    <row r="50" spans="2:34" ht="12.75">
      <c r="B50" s="1" t="str">
        <f>Texte!A5045</f>
        <v>Ja</v>
      </c>
      <c r="C50" s="224">
        <v>1</v>
      </c>
      <c r="D50" s="1"/>
      <c r="E50" s="1"/>
      <c r="F50" s="1"/>
      <c r="G50" s="1"/>
      <c r="H50" s="1"/>
      <c r="K50" t="str">
        <f t="shared" si="9"/>
        <v>Stiere, 1 bis 2-jährig</v>
      </c>
      <c r="M50">
        <v>1</v>
      </c>
      <c r="N50" s="536">
        <f>IF(Allg!Erntejahr&gt;$N$42-1,D_Klick!T50,D_Klick!S50)</f>
        <v>0.4</v>
      </c>
      <c r="O50" s="1">
        <v>0.4</v>
      </c>
      <c r="P50" s="2"/>
      <c r="Q50">
        <v>0.4</v>
      </c>
      <c r="R50" s="2"/>
      <c r="S50" s="536">
        <f>Q50</f>
        <v>0.4</v>
      </c>
      <c r="T50" s="536">
        <f>S50</f>
        <v>0.4</v>
      </c>
      <c r="V50" s="1"/>
      <c r="W50" s="1"/>
      <c r="X50" s="1"/>
      <c r="Y50" s="1"/>
      <c r="Z50" s="1"/>
      <c r="AA50" s="1"/>
      <c r="AB50" s="1"/>
      <c r="AC50" s="1"/>
      <c r="AD50" s="1"/>
      <c r="AE50" s="1"/>
      <c r="AF50" s="1"/>
      <c r="AG50" s="1"/>
      <c r="AH50" s="1"/>
    </row>
    <row r="51" spans="2:34" ht="12.75">
      <c r="B51" s="1" t="str">
        <f>Texte!A5046</f>
        <v>Nein</v>
      </c>
      <c r="C51" s="224">
        <v>0</v>
      </c>
      <c r="D51" s="1"/>
      <c r="E51" s="1"/>
      <c r="F51" s="1"/>
      <c r="G51" s="1"/>
      <c r="H51" s="1"/>
      <c r="K51" t="str">
        <f t="shared" si="9"/>
        <v>Stiere, über 2-jährig</v>
      </c>
      <c r="M51">
        <v>0</v>
      </c>
      <c r="N51" s="536">
        <f>IF(Allg!Erntejahr&gt;$N$42-1,D_Klick!T51,D_Klick!S51)</f>
        <v>0.6</v>
      </c>
      <c r="O51" s="1">
        <v>0.6</v>
      </c>
      <c r="P51" s="2"/>
      <c r="Q51">
        <v>0.6</v>
      </c>
      <c r="R51" s="2"/>
      <c r="S51" s="536">
        <f>Q51</f>
        <v>0.6</v>
      </c>
      <c r="T51" s="536">
        <f>S51</f>
        <v>0.6</v>
      </c>
      <c r="V51" s="1"/>
      <c r="W51" s="1"/>
      <c r="X51" s="1"/>
      <c r="Y51" s="1"/>
      <c r="Z51" s="1"/>
      <c r="AA51" s="1"/>
      <c r="AB51" s="1"/>
      <c r="AC51" s="1"/>
      <c r="AD51" s="1"/>
      <c r="AE51" s="1"/>
      <c r="AF51" s="1"/>
      <c r="AG51" s="1"/>
      <c r="AH51" s="1"/>
    </row>
    <row r="52" spans="2:34" ht="12.75">
      <c r="B52" s="1"/>
      <c r="C52" s="1"/>
      <c r="D52" s="1"/>
      <c r="E52" s="1"/>
      <c r="F52" s="1"/>
      <c r="G52" s="1"/>
      <c r="H52" s="1"/>
      <c r="K52" t="str">
        <f t="shared" si="9"/>
        <v>Mutterkühe</v>
      </c>
      <c r="M52">
        <v>0</v>
      </c>
      <c r="N52" s="536">
        <f>IF(Allg!Erntejahr&gt;$N$42-1,D_Klick!T52,D_Klick!S52)</f>
        <v>1</v>
      </c>
      <c r="O52" s="1">
        <v>0.8</v>
      </c>
      <c r="P52" s="2"/>
      <c r="Q52">
        <v>1</v>
      </c>
      <c r="R52" s="2"/>
      <c r="S52" s="536">
        <f>Q52</f>
        <v>1</v>
      </c>
      <c r="T52" s="536">
        <f>S52</f>
        <v>1</v>
      </c>
      <c r="V52" s="1"/>
      <c r="W52" s="1"/>
      <c r="X52" s="1"/>
      <c r="Y52" s="749"/>
      <c r="Z52" s="2248"/>
      <c r="AA52" s="1"/>
      <c r="AB52" s="1"/>
      <c r="AC52" s="1"/>
      <c r="AD52" s="1"/>
      <c r="AE52" s="1"/>
      <c r="AF52" s="1"/>
      <c r="AG52" s="1"/>
      <c r="AH52" s="1"/>
    </row>
    <row r="53" spans="2:34" ht="12.75">
      <c r="B53" s="1"/>
      <c r="C53" s="1"/>
      <c r="D53" s="1" t="str">
        <f>Texte!A5057</f>
        <v>Parzellengrösse Ackerbau</v>
      </c>
      <c r="E53" s="1"/>
      <c r="F53" s="1" t="str">
        <f>Texte!A5058</f>
        <v>Parzellengrösse Futterbau</v>
      </c>
      <c r="G53" s="1"/>
      <c r="H53" s="224" t="str">
        <f>Texte!A5059</f>
        <v>Gemeinschaft</v>
      </c>
      <c r="K53" t="str">
        <f t="shared" si="9"/>
        <v>Mutterkuhkälber zur Mast, bis 160-tägig</v>
      </c>
      <c r="M53">
        <f>IF(Allg!Erntejahr&gt;$N$42-1,1,0)</f>
        <v>1</v>
      </c>
      <c r="N53" s="536">
        <f>IF(Allg!Erntejahr&gt;$N$42-1,D_Klick!T53,D_Klick!S53)</f>
        <v>0.13</v>
      </c>
      <c r="O53" s="1"/>
      <c r="P53" s="2"/>
      <c r="R53" s="2"/>
      <c r="S53" s="536">
        <v>0.22</v>
      </c>
      <c r="T53" s="536">
        <v>0.13</v>
      </c>
      <c r="V53" s="1"/>
      <c r="W53" s="1"/>
      <c r="X53" s="749"/>
      <c r="Y53" s="2247"/>
      <c r="Z53" s="2247"/>
      <c r="AA53" s="1"/>
      <c r="AB53" s="1"/>
      <c r="AC53" s="1"/>
      <c r="AD53" s="1"/>
      <c r="AE53" s="1"/>
      <c r="AF53" s="1"/>
      <c r="AG53" s="1"/>
      <c r="AH53" s="1"/>
    </row>
    <row r="54" spans="2:34" ht="12.75">
      <c r="B54" s="1" t="str">
        <f>Texte!A5047</f>
        <v>Anzahl Teilflächen (Bsi-Kultur)</v>
      </c>
      <c r="C54" s="1"/>
      <c r="G54" s="1"/>
      <c r="H54" s="1" t="s">
        <v>4899</v>
      </c>
      <c r="I54">
        <v>0</v>
      </c>
      <c r="K54" t="str">
        <f>D232</f>
        <v>Mutterkuhkälber, über 160 tägig, leicht</v>
      </c>
      <c r="M54">
        <f>IF(Allg!Erntejahr&gt;$N$42-1,1,0)</f>
        <v>1</v>
      </c>
      <c r="N54" s="536">
        <v>0.33</v>
      </c>
      <c r="O54" s="1">
        <f>(120*N70+180*N69)/365</f>
        <v>0.42739726027397262</v>
      </c>
      <c r="P54" s="1774" t="s">
        <v>449</v>
      </c>
      <c r="Q54">
        <f>(160*N78+140*N77)/365</f>
        <v>0.40547945205479452</v>
      </c>
      <c r="R54" s="2243" t="s">
        <v>4633</v>
      </c>
      <c r="S54" s="536">
        <v>0.22</v>
      </c>
      <c r="T54" s="536">
        <v>0.33</v>
      </c>
      <c r="V54" s="1"/>
      <c r="W54" s="1"/>
      <c r="X54" s="749"/>
      <c r="Y54" s="2247"/>
      <c r="Z54" s="2247"/>
      <c r="AA54" s="1"/>
      <c r="AB54" s="1"/>
      <c r="AC54" s="1"/>
      <c r="AD54" s="1"/>
      <c r="AE54" s="1"/>
      <c r="AF54" s="1"/>
      <c r="AG54" s="1"/>
      <c r="AH54" s="1"/>
    </row>
    <row r="55" spans="2:34" ht="12.75">
      <c r="B55" s="1" t="str">
        <f>Texte!A5048</f>
        <v xml:space="preserve">1 Teilfläche  </v>
      </c>
      <c r="C55" s="1" t="str">
        <f>Texte!A5037</f>
        <v>Blaue Zellen</v>
      </c>
      <c r="D55" s="526">
        <v>0.5</v>
      </c>
      <c r="E55" s="1"/>
      <c r="F55" s="526">
        <v>0.5</v>
      </c>
      <c r="G55" s="1"/>
      <c r="H55" s="1" t="str">
        <f>Texte!A5060</f>
        <v>keine</v>
      </c>
      <c r="I55">
        <v>1</v>
      </c>
      <c r="K55" t="str">
        <f>D233</f>
        <v>Mutterkuhkälber, über 160-tägig, mittel</v>
      </c>
      <c r="M55">
        <v>1</v>
      </c>
      <c r="N55" s="536">
        <v>0.33</v>
      </c>
      <c r="O55" s="1">
        <f>(120*N71+180*N70)/365</f>
        <v>0.29589041095890412</v>
      </c>
      <c r="P55" s="1774" t="s">
        <v>449</v>
      </c>
      <c r="Q55">
        <f>(160*N79+140*N78)/365</f>
        <v>0.29808219178082196</v>
      </c>
      <c r="R55" s="2243" t="s">
        <v>4633</v>
      </c>
      <c r="S55" s="536">
        <v>0.22</v>
      </c>
      <c r="T55" s="536">
        <v>0.33</v>
      </c>
      <c r="V55" s="1"/>
      <c r="W55" s="1"/>
      <c r="X55" s="749"/>
      <c r="Y55" s="2247"/>
      <c r="Z55" s="2247"/>
      <c r="AA55" s="1"/>
      <c r="AB55" s="1"/>
      <c r="AC55" s="1"/>
      <c r="AD55" s="1"/>
      <c r="AE55" s="1"/>
      <c r="AF55" s="1"/>
      <c r="AG55" s="1"/>
      <c r="AH55" s="1"/>
    </row>
    <row r="56" spans="2:34" ht="12.75">
      <c r="B56" s="1" t="str">
        <f>Texte!A5049</f>
        <v>2 Teilflächen</v>
      </c>
      <c r="C56" s="1" t="str">
        <f>Texte!A5038 &amp; " " &amp; 1</f>
        <v>Blaue Zelle 1</v>
      </c>
      <c r="D56" s="526">
        <v>1</v>
      </c>
      <c r="E56" s="1"/>
      <c r="F56" s="526">
        <v>1</v>
      </c>
      <c r="G56" s="1"/>
      <c r="H56" s="1" t="str">
        <f>Texte!A5061</f>
        <v>Gemeinschaft / ein Betrieb</v>
      </c>
      <c r="I56">
        <v>2</v>
      </c>
      <c r="K56" t="str">
        <f>D234</f>
        <v>Mutterkuhkälber, über 160-tägig, schwer</v>
      </c>
      <c r="M56">
        <f>IF(Allg!Erntejahr&gt;$N$42-1,1,0)</f>
        <v>1</v>
      </c>
      <c r="N56" s="536">
        <f>IF(Allg!Erntejahr&gt;$N$42-1,D_Klick!T56,D_Klick!S56)</f>
        <v>0.33</v>
      </c>
      <c r="O56" s="1">
        <f>(120*N72+180*N71)/365</f>
        <v>0.18082191780821918</v>
      </c>
      <c r="P56" s="2" t="s">
        <v>449</v>
      </c>
      <c r="Q56">
        <f>(160*N80+140*N79)/365</f>
        <v>0.18356164383561643</v>
      </c>
      <c r="R56" s="1430" t="s">
        <v>4633</v>
      </c>
      <c r="S56" s="987">
        <f>(0 *$N$78+130*$N$79+160*$N$80)/290</f>
        <v>0.21965517241379312</v>
      </c>
      <c r="T56" s="536">
        <v>0.33</v>
      </c>
      <c r="V56" s="1"/>
      <c r="W56" s="1"/>
      <c r="X56" s="749"/>
      <c r="Y56" s="2247"/>
      <c r="Z56" s="2247"/>
      <c r="AA56" s="1"/>
      <c r="AB56" s="1"/>
      <c r="AC56" s="1"/>
      <c r="AD56" s="1"/>
      <c r="AE56" s="1"/>
      <c r="AF56" s="1"/>
      <c r="AG56" s="1"/>
      <c r="AH56" s="1"/>
    </row>
    <row r="57" spans="2:34" ht="12.75">
      <c r="B57" s="1" t="str">
        <f>Texte!A5050</f>
        <v>3 Teilflächen</v>
      </c>
      <c r="C57" s="749" t="str">
        <f>Texte!A5038 &amp;  " " &amp; 2</f>
        <v>Blaue Zelle 2</v>
      </c>
      <c r="D57" s="526">
        <v>2</v>
      </c>
      <c r="E57" s="1"/>
      <c r="F57" s="526">
        <v>2</v>
      </c>
      <c r="G57" s="1"/>
      <c r="H57" s="1" t="str">
        <f>Texte!A5062</f>
        <v>mit 2 Betrieben</v>
      </c>
      <c r="I57">
        <v>3</v>
      </c>
      <c r="K57" t="str">
        <f>C238</f>
        <v>Mastkälber, 60 bis 220 kg</v>
      </c>
      <c r="M57">
        <v>1</v>
      </c>
      <c r="N57" s="536">
        <f>IF(Allg!Erntejahr&gt;$N$42-1,D_Klick!T57,D_Klick!S57)</f>
        <v>0.13</v>
      </c>
      <c r="O57" s="1">
        <v>0.1</v>
      </c>
      <c r="P57" s="2"/>
      <c r="Q57" s="987">
        <f>N80</f>
        <v>0.13</v>
      </c>
      <c r="R57" s="2"/>
      <c r="S57" s="987">
        <f>Q57</f>
        <v>0.13</v>
      </c>
      <c r="T57" s="536">
        <f>S57</f>
        <v>0.13</v>
      </c>
      <c r="V57" s="1"/>
      <c r="W57" s="1"/>
      <c r="X57" s="1"/>
      <c r="Y57" s="1"/>
      <c r="Z57" s="1"/>
      <c r="AA57" s="1"/>
      <c r="AB57" s="1"/>
      <c r="AC57" s="1"/>
      <c r="AD57" s="1"/>
      <c r="AE57" s="1"/>
      <c r="AF57" s="1"/>
      <c r="AG57" s="1"/>
      <c r="AH57" s="1"/>
    </row>
    <row r="58" spans="2:34" ht="12.75">
      <c r="B58" s="1" t="str">
        <f>Texte!A5051</f>
        <v>4 Teilflächen</v>
      </c>
      <c r="C58" s="749" t="str">
        <f>Texte!A5038 &amp;  " " &amp; 3</f>
        <v>Blaue Zelle 3</v>
      </c>
      <c r="D58" s="526">
        <v>5</v>
      </c>
      <c r="E58" s="1"/>
      <c r="F58" s="526"/>
      <c r="G58" s="1"/>
      <c r="H58" s="1" t="str">
        <f>Texte!A5063</f>
        <v>mit 3 Betrieben</v>
      </c>
      <c r="I58">
        <v>4</v>
      </c>
      <c r="J58" s="1"/>
      <c r="K58" t="str">
        <f>C239</f>
        <v>Mastkälber, 60 bis 220 kg, pro Jahr</v>
      </c>
      <c r="M58" t="str">
        <f>M93</f>
        <v>Anzahl</v>
      </c>
      <c r="N58" s="536">
        <f>IF(Allg!Erntejahr&gt;$N$42-1,D_Klick!T58,D_Klick!S58)</f>
        <v>4.5614035087719301E-2</v>
      </c>
      <c r="O58" s="1">
        <v>3.5000000000000003E-2</v>
      </c>
      <c r="P58" s="2"/>
      <c r="Q58">
        <f>N80/2.85</f>
        <v>4.5614035087719301E-2</v>
      </c>
      <c r="R58" s="1430" t="s">
        <v>4632</v>
      </c>
      <c r="S58" s="987">
        <f>Q58</f>
        <v>4.5614035087719301E-2</v>
      </c>
      <c r="T58" s="536">
        <f>T82</f>
        <v>4.5614035087719301E-2</v>
      </c>
      <c r="V58" s="1"/>
      <c r="W58" s="1"/>
      <c r="X58" s="1"/>
      <c r="Y58" s="1"/>
      <c r="Z58" s="1"/>
      <c r="AA58" s="1"/>
      <c r="AB58" s="1"/>
      <c r="AC58" s="1"/>
      <c r="AD58" s="1"/>
      <c r="AE58" s="1"/>
      <c r="AF58" s="1"/>
      <c r="AG58" s="1"/>
      <c r="AH58" s="1"/>
    </row>
    <row r="59" spans="2:34" ht="12.75">
      <c r="B59" s="1" t="str">
        <f>Texte!A5052</f>
        <v>5 Teilflächen</v>
      </c>
      <c r="C59" s="749" t="str">
        <f>Texte!A5038 &amp;  " " &amp; 4</f>
        <v>Blaue Zelle 4</v>
      </c>
      <c r="D59" s="1"/>
      <c r="E59" s="1"/>
      <c r="F59" s="1"/>
      <c r="G59" s="1"/>
      <c r="H59" s="1" t="str">
        <f>Texte!A5064</f>
        <v>mit 4 Betrieben</v>
      </c>
      <c r="I59" s="1">
        <v>5</v>
      </c>
      <c r="J59" s="1"/>
      <c r="K59" t="str">
        <f>C240</f>
        <v>Rindviehmast, bis 160-tägig</v>
      </c>
      <c r="M59">
        <v>1</v>
      </c>
      <c r="N59" s="536">
        <f>IF(Allg!Erntejahr&gt;$N$42-1,D_Klick!T59,D_Klick!S59)</f>
        <v>0.13</v>
      </c>
      <c r="O59" s="1">
        <v>0.1</v>
      </c>
      <c r="P59" s="2"/>
      <c r="Q59" s="987">
        <f>N80</f>
        <v>0.13</v>
      </c>
      <c r="R59" s="2"/>
      <c r="S59" s="987">
        <f>Q59</f>
        <v>0.13</v>
      </c>
      <c r="T59" s="536">
        <f>S59</f>
        <v>0.13</v>
      </c>
      <c r="V59" s="1"/>
      <c r="W59" s="1"/>
      <c r="X59" s="1"/>
      <c r="Y59" s="1"/>
      <c r="Z59" s="1"/>
      <c r="AA59" s="1"/>
      <c r="AB59" s="1"/>
      <c r="AC59" s="1"/>
      <c r="AD59" s="1"/>
      <c r="AE59" s="1"/>
      <c r="AF59" s="1"/>
      <c r="AG59" s="1"/>
      <c r="AH59" s="1"/>
    </row>
    <row r="60" spans="2:34" ht="12.75">
      <c r="B60" s="1" t="str">
        <f>Texte!A5053</f>
        <v>6 Teilflächen</v>
      </c>
      <c r="C60" s="749" t="str">
        <f>Texte!A5038 &amp;  " " &amp; 5</f>
        <v>Blaue Zelle 5</v>
      </c>
      <c r="D60" s="1"/>
      <c r="E60" s="1"/>
      <c r="F60" s="1"/>
      <c r="G60" s="1"/>
      <c r="H60" s="1"/>
      <c r="I60" s="1"/>
      <c r="J60" s="1"/>
      <c r="K60" t="str">
        <f>C241</f>
        <v>Rindviehmast, über 160-tägig</v>
      </c>
      <c r="M60">
        <v>1</v>
      </c>
      <c r="N60" s="536">
        <f>IF(Allg!Erntejahr&gt;$N$42-1,D_Klick!T60,D_Klick!S60)</f>
        <v>0.33</v>
      </c>
      <c r="O60" s="1">
        <v>0.3</v>
      </c>
      <c r="P60" s="2"/>
      <c r="Q60">
        <f>(40*N80+205*N79+120*N78)/365</f>
        <v>0.33109589041095894</v>
      </c>
      <c r="R60" s="2019" t="s">
        <v>4631</v>
      </c>
      <c r="S60" s="987">
        <f>(40*N80+205*N79+30*N78)/275</f>
        <v>0.30854545454545457</v>
      </c>
      <c r="T60" s="2062">
        <v>0.33</v>
      </c>
      <c r="V60" s="1"/>
      <c r="W60" s="1"/>
      <c r="X60" s="1"/>
      <c r="Y60" s="1"/>
      <c r="Z60" s="1"/>
      <c r="AA60" s="1"/>
      <c r="AB60" s="1"/>
      <c r="AC60" s="1"/>
      <c r="AD60" s="1"/>
      <c r="AE60" s="1"/>
      <c r="AF60" s="1"/>
      <c r="AG60" s="1"/>
      <c r="AH60" s="1"/>
    </row>
    <row r="61" spans="2:34" ht="12.75">
      <c r="B61" s="1" t="str">
        <f>Texte!A5054</f>
        <v>7 Teilflächen</v>
      </c>
      <c r="C61" s="1"/>
      <c r="D61" s="1"/>
      <c r="E61" s="1"/>
      <c r="F61" s="1"/>
      <c r="G61" s="1"/>
      <c r="J61" s="1"/>
      <c r="K61" t="str">
        <f>C242</f>
        <v>Rindviehmast, Weidemast, über 4 Monate</v>
      </c>
      <c r="M61">
        <v>1</v>
      </c>
      <c r="N61" s="536">
        <f>IF(Allg!Erntejahr&gt;$N$42-1,D_Klick!T61,D_Klick!S61)</f>
        <v>0.34814432989690725</v>
      </c>
      <c r="O61" s="1">
        <f>(245*N71+365*N70)/610</f>
        <v>0.35983606557377051</v>
      </c>
      <c r="P61" s="2" t="s">
        <v>5656</v>
      </c>
      <c r="Q61">
        <f>(40*N80+205*N79+365*N78)/610</f>
        <v>0.35877049180327875</v>
      </c>
      <c r="R61" s="1430" t="s">
        <v>4630</v>
      </c>
      <c r="S61" s="987">
        <f>(40*N80+205*N79+240*N78)/485</f>
        <v>0.34814432989690725</v>
      </c>
      <c r="T61" s="2062">
        <f>(U80*N80+U79*N79+U78*N78)/U81</f>
        <v>0.34814432989690725</v>
      </c>
      <c r="V61" s="1"/>
      <c r="W61" s="1"/>
      <c r="X61" s="1"/>
      <c r="Y61" s="1"/>
      <c r="Z61" s="1"/>
      <c r="AA61" s="1"/>
      <c r="AB61" s="1"/>
      <c r="AC61" s="1"/>
      <c r="AD61" s="1"/>
      <c r="AE61" s="1"/>
      <c r="AF61" s="1"/>
      <c r="AG61" s="1"/>
      <c r="AH61" s="1"/>
    </row>
    <row r="62" spans="2:34" ht="12.75">
      <c r="B62" s="1" t="str">
        <f>Texte!A5055</f>
        <v>8 Teilflächen</v>
      </c>
      <c r="C62" s="1"/>
      <c r="D62" s="1"/>
      <c r="E62" s="1"/>
      <c r="F62" s="1"/>
      <c r="G62" s="1"/>
      <c r="H62" s="1" t="str">
        <f>Texte!A4962</f>
        <v>Anbaumethode</v>
      </c>
      <c r="I62" s="1"/>
      <c r="J62" s="1"/>
      <c r="N62" s="536"/>
      <c r="O62" s="1">
        <f>(120*N72+145*N71)/365</f>
        <v>0.15205479452054796</v>
      </c>
      <c r="P62" s="2" t="s">
        <v>7325</v>
      </c>
      <c r="Q62">
        <f>(160*N80+105*N79)/365</f>
        <v>0.15191780821917808</v>
      </c>
      <c r="R62" s="1430" t="s">
        <v>4635</v>
      </c>
      <c r="S62" s="987">
        <f>(30 *$N$78+205*$N$79+130*$N$80)/365</f>
        <v>0.26452054794520552</v>
      </c>
      <c r="T62" s="536"/>
      <c r="V62" s="1"/>
      <c r="W62" s="1"/>
      <c r="X62" s="1"/>
      <c r="Y62" s="1"/>
      <c r="Z62" s="1"/>
      <c r="AA62" s="1"/>
      <c r="AB62" s="1"/>
      <c r="AC62" s="1"/>
      <c r="AD62" s="1"/>
      <c r="AE62" s="1"/>
      <c r="AF62" s="1"/>
    </row>
    <row r="63" spans="2:34" ht="12.75">
      <c r="B63" s="1" t="str">
        <f>Texte!A5056</f>
        <v>9 Teilflächen</v>
      </c>
      <c r="C63" s="1"/>
      <c r="D63" s="1"/>
      <c r="E63" s="1"/>
      <c r="F63" s="1"/>
      <c r="G63" s="1"/>
      <c r="H63" s="1" t="s">
        <v>4899</v>
      </c>
      <c r="I63" s="1">
        <v>0</v>
      </c>
      <c r="J63" s="1"/>
      <c r="N63" s="536"/>
      <c r="O63" s="1">
        <f>(100*N71+90*N70)/365</f>
        <v>0.18082191780821918</v>
      </c>
      <c r="P63" s="2" t="s">
        <v>5659</v>
      </c>
      <c r="Q63">
        <f>(100*N79+90*N78)/365</f>
        <v>0.18904109589041096</v>
      </c>
      <c r="R63" s="1430" t="s">
        <v>3205</v>
      </c>
      <c r="S63" s="987">
        <f>(45*$N$79+130*$N$78)/175</f>
        <v>0.38199999999999995</v>
      </c>
      <c r="T63" s="536"/>
      <c r="V63" s="1"/>
      <c r="W63" s="1"/>
      <c r="X63" s="1"/>
      <c r="Y63" s="1"/>
      <c r="Z63" s="1"/>
      <c r="AA63" s="1"/>
      <c r="AB63" s="1"/>
      <c r="AC63" s="1"/>
      <c r="AD63" s="1"/>
      <c r="AE63" s="1"/>
      <c r="AF63" s="1"/>
    </row>
    <row r="64" spans="2:34" ht="12.75">
      <c r="B64" s="1"/>
      <c r="C64" s="1"/>
      <c r="D64" s="1"/>
      <c r="E64" s="1"/>
      <c r="F64" s="1"/>
      <c r="G64" s="1"/>
      <c r="H64" s="1" t="str">
        <f>Texte!A4963</f>
        <v>Ökonachweis: nicht erfüllt</v>
      </c>
      <c r="I64" s="1">
        <v>1</v>
      </c>
      <c r="J64" s="1"/>
      <c r="O64" s="1"/>
      <c r="P64" s="1"/>
      <c r="Q64" s="1"/>
      <c r="R64" s="1"/>
      <c r="S64" s="1"/>
      <c r="T64" s="1"/>
      <c r="U64" s="1"/>
      <c r="V64" s="1"/>
      <c r="W64" s="1"/>
      <c r="X64" s="1"/>
      <c r="Y64" s="1"/>
      <c r="Z64" s="1"/>
      <c r="AA64" s="1"/>
      <c r="AB64" s="1"/>
      <c r="AC64" s="1"/>
      <c r="AD64" s="1"/>
      <c r="AE64" s="1"/>
      <c r="AF64" s="1"/>
    </row>
    <row r="65" spans="2:32" ht="12.75">
      <c r="B65" s="1" t="str">
        <f>Texte!A5065</f>
        <v>AS/LS</v>
      </c>
      <c r="C65" s="1"/>
      <c r="D65" s="1"/>
      <c r="E65" s="1"/>
      <c r="F65" s="1"/>
      <c r="G65" s="1"/>
      <c r="H65" s="1" t="str">
        <f>Texte!A4964</f>
        <v>Ökonachweis: erfüllt</v>
      </c>
      <c r="I65" s="1">
        <v>2</v>
      </c>
      <c r="J65" s="1"/>
      <c r="O65" s="1"/>
      <c r="P65" s="1"/>
      <c r="Q65" s="1"/>
      <c r="R65" s="1"/>
      <c r="S65" s="1"/>
      <c r="T65" s="1"/>
      <c r="U65" s="1"/>
      <c r="V65" s="1"/>
      <c r="W65" s="1"/>
      <c r="X65" s="1"/>
      <c r="Y65" s="1"/>
      <c r="Z65" s="1"/>
      <c r="AA65" s="1"/>
      <c r="AB65" s="1"/>
      <c r="AC65" s="1"/>
      <c r="AD65" s="1"/>
      <c r="AE65" s="1"/>
      <c r="AF65" s="1"/>
    </row>
    <row r="66" spans="2:32" ht="12.75">
      <c r="B66" s="1"/>
      <c r="C66" s="1"/>
      <c r="D66" s="1"/>
      <c r="E66" s="1"/>
      <c r="F66" s="1"/>
      <c r="G66" s="1"/>
      <c r="H66" s="1" t="str">
        <f>Texte!A4965</f>
        <v>Biologischer Landbau</v>
      </c>
      <c r="I66" s="1">
        <v>3</v>
      </c>
      <c r="J66" s="1"/>
      <c r="K66" s="2061" t="str">
        <f>Texte!A5152</f>
        <v>Kategorien ab 2009</v>
      </c>
      <c r="L66" s="1"/>
      <c r="M66" s="1"/>
      <c r="N66" s="196" t="str">
        <f>Texte!A5126</f>
        <v>ab 2009</v>
      </c>
      <c r="O66" s="1"/>
      <c r="P66" s="1"/>
      <c r="Q66" s="1"/>
      <c r="R66" s="1"/>
      <c r="S66" s="1"/>
      <c r="T66" s="1"/>
      <c r="U66" s="1"/>
      <c r="V66" s="1"/>
      <c r="W66" s="1"/>
      <c r="X66" s="1"/>
      <c r="Y66" s="1"/>
      <c r="Z66" s="1"/>
      <c r="AA66" s="1"/>
      <c r="AB66" s="1"/>
      <c r="AC66" s="1"/>
      <c r="AD66" s="1"/>
      <c r="AE66" s="1"/>
      <c r="AF66" s="1"/>
    </row>
    <row r="67" spans="2:32" ht="12.75">
      <c r="B67" s="1" t="str">
        <f>Texte!A5066</f>
        <v>AS</v>
      </c>
      <c r="C67" s="1"/>
      <c r="D67" s="1"/>
      <c r="E67" s="1" t="str">
        <f>Texte!A5100</f>
        <v>Unterkategorien für Suisse-Bilanz</v>
      </c>
      <c r="F67" s="1"/>
      <c r="G67" s="1"/>
      <c r="H67" s="1"/>
      <c r="I67" s="1"/>
      <c r="J67" s="1"/>
      <c r="K67" s="1" t="str">
        <f>Texte!A5153</f>
        <v>Milchkühe</v>
      </c>
      <c r="L67" s="1"/>
      <c r="M67" s="536" t="str">
        <f t="shared" ref="M67:M72" si="10">$M$126</f>
        <v>Stück</v>
      </c>
      <c r="N67" s="536">
        <v>1</v>
      </c>
      <c r="O67" s="1"/>
      <c r="P67" s="1"/>
      <c r="Q67" s="1"/>
      <c r="R67" s="1"/>
      <c r="S67" s="1"/>
      <c r="T67" s="1"/>
      <c r="U67" s="1"/>
      <c r="V67" s="1"/>
      <c r="W67" s="1"/>
      <c r="X67" s="1"/>
      <c r="Y67" s="1"/>
      <c r="Z67" s="1"/>
      <c r="AA67" s="1"/>
      <c r="AB67" s="1"/>
      <c r="AC67" s="1"/>
      <c r="AD67" s="1"/>
      <c r="AE67" s="1"/>
      <c r="AF67" s="1"/>
    </row>
    <row r="68" spans="2:32" ht="12.75">
      <c r="B68" s="1" t="str">
        <f>Texte!A5067</f>
        <v>LS</v>
      </c>
      <c r="C68" s="1"/>
      <c r="D68" s="1"/>
      <c r="E68" s="1"/>
      <c r="F68" s="1"/>
      <c r="G68" s="1"/>
      <c r="H68" s="1"/>
      <c r="I68" s="1"/>
      <c r="J68" s="1"/>
      <c r="K68" s="1" t="str">
        <f>Texte!A5154</f>
        <v>andere Kühe</v>
      </c>
      <c r="L68" s="1"/>
      <c r="M68" s="536" t="str">
        <f t="shared" si="10"/>
        <v>Stück</v>
      </c>
      <c r="N68" s="536">
        <v>0.8</v>
      </c>
      <c r="O68" s="1"/>
      <c r="P68" s="1"/>
      <c r="Q68" s="1"/>
      <c r="R68" s="1"/>
      <c r="S68" s="1"/>
      <c r="T68" s="1"/>
      <c r="U68" s="1"/>
      <c r="V68" s="1"/>
      <c r="W68" s="1"/>
      <c r="X68" s="1"/>
      <c r="Y68" s="1"/>
      <c r="Z68" s="1"/>
      <c r="AA68" s="1"/>
      <c r="AB68" s="1"/>
      <c r="AC68" s="1"/>
      <c r="AD68" s="1"/>
      <c r="AE68" s="1"/>
      <c r="AF68" s="1"/>
    </row>
    <row r="69" spans="2:32" ht="12.75">
      <c r="B69" s="1"/>
      <c r="C69" s="1"/>
      <c r="D69" s="1"/>
      <c r="E69" s="1" t="str">
        <f>B290</f>
        <v>Masttruten, 2.8 Umtriebe</v>
      </c>
      <c r="F69" s="1" t="str">
        <f>Texte!A3731</f>
        <v>Platz</v>
      </c>
      <c r="G69" s="2">
        <v>1</v>
      </c>
      <c r="H69" s="1"/>
      <c r="I69" s="1"/>
      <c r="J69" s="1"/>
      <c r="K69" s="1" t="str">
        <f>Texte!A5156</f>
        <v>Rinder über 730 Tage alt</v>
      </c>
      <c r="L69" s="1"/>
      <c r="M69" s="536" t="str">
        <f t="shared" si="10"/>
        <v>Stück</v>
      </c>
      <c r="N69" s="536">
        <v>0.6</v>
      </c>
      <c r="O69" s="1"/>
      <c r="P69" s="1"/>
      <c r="Q69" s="1"/>
      <c r="R69" s="1"/>
      <c r="S69" s="1"/>
      <c r="T69" s="1"/>
      <c r="U69" s="1"/>
      <c r="V69" s="1"/>
      <c r="W69" s="1"/>
      <c r="X69" s="1"/>
      <c r="Y69" s="1"/>
      <c r="Z69" s="1"/>
      <c r="AA69" s="1"/>
      <c r="AB69" s="1"/>
      <c r="AC69" s="1"/>
      <c r="AD69" s="1"/>
      <c r="AE69" s="1"/>
      <c r="AF69" s="1"/>
    </row>
    <row r="70" spans="2:32" ht="12.75">
      <c r="B70" s="1" t="str">
        <f>Texte!A5068</f>
        <v>behornt/unbehornt</v>
      </c>
      <c r="C70" s="1"/>
      <c r="D70" s="1"/>
      <c r="E70" s="1"/>
      <c r="F70" s="1" t="str">
        <f>Texte!A3730</f>
        <v>Stück</v>
      </c>
      <c r="G70" s="2">
        <v>2</v>
      </c>
      <c r="H70" s="1"/>
      <c r="I70" s="1"/>
      <c r="J70" s="1"/>
      <c r="K70" s="1" t="str">
        <f>Texte!A5157</f>
        <v>Rinder 365 bis 730 Tage alt</v>
      </c>
      <c r="L70" s="1"/>
      <c r="M70" s="536" t="str">
        <f t="shared" si="10"/>
        <v>Stück</v>
      </c>
      <c r="N70" s="536">
        <v>0.4</v>
      </c>
      <c r="O70" s="1"/>
      <c r="P70" s="1"/>
      <c r="Q70" s="1"/>
      <c r="R70" s="1"/>
      <c r="S70" s="1"/>
      <c r="T70" s="1"/>
      <c r="U70" s="1"/>
      <c r="V70" s="1"/>
      <c r="W70" s="1"/>
      <c r="X70" s="1"/>
      <c r="Y70" s="1"/>
      <c r="Z70" s="1"/>
      <c r="AA70" s="1"/>
      <c r="AB70" s="1"/>
      <c r="AC70" s="1"/>
      <c r="AD70" s="1"/>
      <c r="AE70" s="1"/>
      <c r="AF70" s="1"/>
    </row>
    <row r="71" spans="2:32" ht="12.75">
      <c r="B71" s="1"/>
      <c r="C71" s="1"/>
      <c r="D71" s="1"/>
      <c r="E71" s="1"/>
      <c r="F71" s="1"/>
      <c r="G71" s="1"/>
      <c r="H71" s="1"/>
      <c r="I71" s="1"/>
      <c r="J71" s="1"/>
      <c r="K71" s="1" t="str">
        <f>Texte!A5158</f>
        <v>Rinder 120 bis 365 Tage alt</v>
      </c>
      <c r="L71" s="1"/>
      <c r="M71" s="536" t="str">
        <f t="shared" si="10"/>
        <v>Stück</v>
      </c>
      <c r="N71" s="536">
        <v>0.3</v>
      </c>
      <c r="O71" s="1"/>
      <c r="P71" s="1"/>
      <c r="Q71" s="1"/>
      <c r="R71" s="1"/>
      <c r="S71" s="1"/>
      <c r="T71" s="1"/>
      <c r="U71" s="1"/>
      <c r="V71" s="1"/>
      <c r="W71" s="1"/>
      <c r="X71" s="1"/>
      <c r="Y71" s="1"/>
      <c r="Z71" s="1"/>
      <c r="AA71" s="1"/>
      <c r="AB71" s="1"/>
      <c r="AC71" s="1"/>
      <c r="AD71" s="1"/>
      <c r="AE71" s="1"/>
      <c r="AF71" s="1"/>
    </row>
    <row r="72" spans="2:32" ht="12.75">
      <c r="B72" s="1" t="str">
        <f>Texte!A5069</f>
        <v>behornt</v>
      </c>
      <c r="C72" s="1"/>
      <c r="D72" s="1"/>
      <c r="E72" s="1"/>
      <c r="F72" s="1"/>
      <c r="G72" s="1"/>
      <c r="H72" s="1"/>
      <c r="I72" s="1"/>
      <c r="J72" s="1"/>
      <c r="K72" s="1" t="str">
        <f>Texte!A5159</f>
        <v>Rinder bis 120 Tage alt</v>
      </c>
      <c r="L72" s="1"/>
      <c r="M72" s="536" t="str">
        <f t="shared" si="10"/>
        <v>Stück</v>
      </c>
      <c r="N72" s="536">
        <v>0.1</v>
      </c>
      <c r="O72" s="1"/>
      <c r="P72" s="1"/>
      <c r="Q72" s="1"/>
      <c r="R72" s="1"/>
      <c r="S72" s="1"/>
      <c r="T72" s="1"/>
      <c r="U72" s="1"/>
      <c r="V72" s="1"/>
      <c r="W72" s="1"/>
      <c r="X72" s="1"/>
      <c r="Y72" s="1"/>
      <c r="Z72" s="1"/>
      <c r="AA72" s="1"/>
      <c r="AB72" s="1"/>
      <c r="AC72" s="1"/>
      <c r="AD72" s="1"/>
      <c r="AE72" s="1"/>
      <c r="AF72" s="1"/>
    </row>
    <row r="73" spans="2:32" ht="12.75">
      <c r="B73" s="1" t="str">
        <f>Texte!A5070</f>
        <v>unbehornt</v>
      </c>
      <c r="C73" s="1"/>
      <c r="D73" s="1"/>
      <c r="E73" s="1" t="str">
        <f>B223</f>
        <v>Galt- oder Ausmastkühe</v>
      </c>
      <c r="F73" s="1" t="str">
        <f>Texte!A3739</f>
        <v>Ausmastkühe</v>
      </c>
      <c r="G73" s="2">
        <v>1</v>
      </c>
      <c r="H73" s="1"/>
      <c r="I73" s="1"/>
      <c r="J73" s="1"/>
      <c r="K73" s="1"/>
      <c r="L73" s="1"/>
      <c r="M73" s="1"/>
      <c r="N73" s="1"/>
      <c r="O73" s="1"/>
      <c r="P73" s="1"/>
      <c r="Q73" s="1"/>
      <c r="R73" s="1"/>
      <c r="S73" s="1"/>
      <c r="T73" s="1"/>
      <c r="U73" s="1"/>
      <c r="V73" s="1"/>
      <c r="W73" s="1"/>
      <c r="X73" s="1"/>
      <c r="Y73" s="1"/>
      <c r="Z73" s="1"/>
      <c r="AA73" s="1"/>
      <c r="AB73" s="1"/>
      <c r="AC73" s="1"/>
      <c r="AD73" s="1"/>
      <c r="AE73" s="1"/>
      <c r="AF73" s="1"/>
    </row>
    <row r="74" spans="2:32" ht="12.75">
      <c r="B74" s="1"/>
      <c r="C74" s="1"/>
      <c r="D74" s="1"/>
      <c r="E74" s="1"/>
      <c r="F74" s="1" t="str">
        <f>Texte!A3738</f>
        <v>Galtkühe</v>
      </c>
      <c r="G74" s="2">
        <v>2</v>
      </c>
      <c r="H74" s="1"/>
      <c r="I74" s="1"/>
      <c r="J74" s="1"/>
      <c r="K74" s="2061" t="str">
        <f>Texte!A5160</f>
        <v>Kategorien ab 2014</v>
      </c>
      <c r="L74" s="1"/>
      <c r="M74" s="1"/>
      <c r="N74" s="196" t="str">
        <f>Texte!A5127</f>
        <v>ab 2014</v>
      </c>
      <c r="O74" s="1"/>
      <c r="P74" s="1"/>
      <c r="Q74" s="1"/>
      <c r="R74" s="1"/>
      <c r="S74" s="1"/>
      <c r="T74" s="1"/>
      <c r="U74" s="1"/>
      <c r="V74" s="1"/>
      <c r="W74" s="1"/>
      <c r="X74" s="1"/>
      <c r="Y74" s="1"/>
      <c r="Z74" s="1"/>
      <c r="AA74" s="1"/>
      <c r="AB74" s="1"/>
      <c r="AC74" s="1"/>
      <c r="AD74" s="1"/>
      <c r="AE74" s="1"/>
      <c r="AF74" s="1"/>
    </row>
    <row r="75" spans="2:32" ht="12.75">
      <c r="G75" s="1"/>
      <c r="H75" s="1"/>
      <c r="I75" s="1"/>
      <c r="J75" s="1"/>
      <c r="K75" t="str">
        <f>Texte!A5161</f>
        <v>Milchkühe</v>
      </c>
      <c r="L75" s="1"/>
      <c r="M75" s="536" t="str">
        <f t="shared" ref="M75:M80" si="11">$M$126</f>
        <v>Stück</v>
      </c>
      <c r="N75" s="536">
        <v>1</v>
      </c>
      <c r="O75" s="1"/>
      <c r="P75" s="1"/>
      <c r="Q75" s="1"/>
      <c r="R75" s="1"/>
      <c r="S75" s="1"/>
      <c r="T75" s="1"/>
      <c r="U75" s="1"/>
      <c r="V75" s="1"/>
      <c r="W75" s="1"/>
      <c r="X75" s="1"/>
      <c r="Y75" s="1"/>
      <c r="Z75" s="1"/>
      <c r="AA75" s="1"/>
      <c r="AB75" s="1"/>
      <c r="AC75" s="1"/>
      <c r="AD75" s="1"/>
      <c r="AE75" s="1"/>
      <c r="AF75" s="1"/>
    </row>
    <row r="76" spans="2:32" ht="12.75">
      <c r="E76" s="1"/>
      <c r="F76" s="1"/>
      <c r="G76" s="1"/>
      <c r="H76" s="1" t="str">
        <f>Texte!A5116</f>
        <v>Schafe</v>
      </c>
      <c r="I76" s="1"/>
      <c r="J76" s="1"/>
      <c r="K76" t="str">
        <f>Texte!A5162</f>
        <v>andere Kühe</v>
      </c>
      <c r="L76" s="1"/>
      <c r="M76" s="536" t="str">
        <f t="shared" si="11"/>
        <v>Stück</v>
      </c>
      <c r="N76" s="536">
        <v>1</v>
      </c>
      <c r="O76" s="1"/>
      <c r="P76" s="536"/>
      <c r="Q76" s="1"/>
      <c r="R76" s="1"/>
      <c r="S76" s="1908" t="s">
        <v>8133</v>
      </c>
      <c r="T76" s="1"/>
      <c r="U76" s="1"/>
      <c r="V76" s="1"/>
      <c r="W76" s="1"/>
      <c r="X76" s="1"/>
      <c r="Y76" s="1"/>
      <c r="Z76" s="1"/>
      <c r="AA76" s="1"/>
      <c r="AB76" s="1"/>
      <c r="AC76" s="1"/>
      <c r="AD76" s="1"/>
      <c r="AE76" s="1"/>
      <c r="AF76" s="1"/>
    </row>
    <row r="77" spans="2:32" ht="12.75">
      <c r="E77" s="926" t="str">
        <f>Texte!A5101</f>
        <v>Mutterkühe</v>
      </c>
      <c r="F77" s="1" t="str">
        <f>Texte!A5102</f>
        <v>M'kühe &gt; 700kg</v>
      </c>
      <c r="G77" s="2">
        <v>1</v>
      </c>
      <c r="H77" s="1"/>
      <c r="I77" s="1" t="str">
        <f>Texte!A5117</f>
        <v>intensiv</v>
      </c>
      <c r="J77" s="2">
        <v>1</v>
      </c>
      <c r="K77" t="str">
        <f>Texte!A5163</f>
        <v>Rinder über 730 Tage alt</v>
      </c>
      <c r="L77" s="1"/>
      <c r="M77" s="536" t="str">
        <f t="shared" si="11"/>
        <v>Stück</v>
      </c>
      <c r="N77" s="536">
        <v>0.6</v>
      </c>
      <c r="O77" s="1"/>
      <c r="Q77" s="924"/>
      <c r="R77" s="2341" t="str">
        <f>D_Klick!C231</f>
        <v>Mutterkuhkälber zur Mast, bis 160-tägig</v>
      </c>
      <c r="S77" s="196" t="str">
        <f>D_Klick!C232</f>
        <v>Mutterkuhkälber, Mast über 160-tägig</v>
      </c>
      <c r="T77" s="196" t="str">
        <f>K58</f>
        <v>Mastkälber, 60 bis 220 kg, pro Jahr</v>
      </c>
      <c r="U77" s="196" t="str">
        <f>K61</f>
        <v>Rindviehmast, Weidemast, über 4 Monate</v>
      </c>
      <c r="X77" s="1"/>
      <c r="Y77" s="1"/>
      <c r="Z77" s="1"/>
      <c r="AA77" s="1"/>
      <c r="AB77" s="1"/>
      <c r="AC77" s="1"/>
      <c r="AD77" s="1"/>
      <c r="AE77" s="1"/>
      <c r="AF77" s="1"/>
    </row>
    <row r="78" spans="2:32" ht="12.75">
      <c r="E78" s="926"/>
      <c r="F78" s="1" t="str">
        <f>Texte!A5103</f>
        <v>M'kühe 600-700kg</v>
      </c>
      <c r="G78" s="2">
        <v>2</v>
      </c>
      <c r="I78" s="1" t="str">
        <f>Texte!A5118</f>
        <v>extensiv</v>
      </c>
      <c r="J78" s="2">
        <v>2</v>
      </c>
      <c r="K78" t="str">
        <f>Texte!A5164</f>
        <v>Rinder 365 bis 730 Tage alt</v>
      </c>
      <c r="L78" s="1"/>
      <c r="M78" s="536" t="str">
        <f t="shared" si="11"/>
        <v>Stück</v>
      </c>
      <c r="N78" s="536">
        <v>0.4</v>
      </c>
      <c r="O78" s="1"/>
      <c r="Q78" s="1"/>
      <c r="R78">
        <v>0</v>
      </c>
      <c r="S78" s="749">
        <v>0</v>
      </c>
      <c r="T78" s="1">
        <v>0</v>
      </c>
      <c r="U78" s="1">
        <v>240</v>
      </c>
      <c r="V78" s="536" t="str">
        <f>V84</f>
        <v>between 365 and 730 days old</v>
      </c>
      <c r="W78" s="787">
        <v>730</v>
      </c>
      <c r="X78" s="1"/>
      <c r="Y78" s="1"/>
      <c r="Z78" s="1"/>
      <c r="AA78" s="1"/>
      <c r="AB78" s="1"/>
      <c r="AC78" s="1"/>
      <c r="AD78" s="1"/>
      <c r="AE78" s="1"/>
      <c r="AF78" s="1"/>
    </row>
    <row r="79" spans="2:32" ht="12.75">
      <c r="E79" s="926"/>
      <c r="F79" s="1" t="str">
        <f>Texte!A5104</f>
        <v>M'kühe &lt; 600kg</v>
      </c>
      <c r="G79" s="2">
        <v>3</v>
      </c>
      <c r="H79" s="1"/>
      <c r="I79" s="1"/>
      <c r="J79" s="2"/>
      <c r="K79" t="str">
        <f>Texte!A5165</f>
        <v>Rinder 160 bis 365 Tage alt</v>
      </c>
      <c r="L79" s="1"/>
      <c r="M79" s="536" t="str">
        <f t="shared" si="11"/>
        <v>Stück</v>
      </c>
      <c r="N79" s="536">
        <v>0.33</v>
      </c>
      <c r="O79" s="1"/>
      <c r="Q79" s="1006"/>
      <c r="R79">
        <v>0</v>
      </c>
      <c r="S79" s="749">
        <v>0</v>
      </c>
      <c r="T79" s="1">
        <v>0</v>
      </c>
      <c r="U79" s="1">
        <v>205</v>
      </c>
      <c r="V79" s="536" t="str">
        <f>V85</f>
        <v>between 160 and 365 days old</v>
      </c>
      <c r="W79" s="787">
        <v>365</v>
      </c>
      <c r="X79" s="1"/>
      <c r="Y79" s="1"/>
      <c r="Z79" s="1"/>
      <c r="AA79" s="1"/>
      <c r="AB79" s="1"/>
      <c r="AC79" s="1"/>
      <c r="AD79" s="1"/>
      <c r="AE79" s="1"/>
      <c r="AF79" s="1"/>
    </row>
    <row r="80" spans="2:32" ht="12.75">
      <c r="E80" s="926"/>
      <c r="F80" s="1" t="str">
        <f>Texte!A5105</f>
        <v>Ammenkühe</v>
      </c>
      <c r="G80" s="2">
        <v>4</v>
      </c>
      <c r="H80" s="1" t="str">
        <f>Texte!A5119</f>
        <v>Rindviehmast</v>
      </c>
      <c r="I80" s="1"/>
      <c r="J80" s="2"/>
      <c r="K80" t="str">
        <f>Texte!A5166</f>
        <v>Rinder bis 160 Tage alt</v>
      </c>
      <c r="L80" s="1"/>
      <c r="M80" s="536" t="str">
        <f t="shared" si="11"/>
        <v>Stück</v>
      </c>
      <c r="N80" s="536">
        <v>0.13</v>
      </c>
      <c r="R80">
        <v>160</v>
      </c>
      <c r="S80">
        <v>150</v>
      </c>
      <c r="T80">
        <v>100</v>
      </c>
      <c r="U80">
        <v>40</v>
      </c>
      <c r="V80" s="536" t="str">
        <f>V86</f>
        <v>less than 160 days old</v>
      </c>
      <c r="W80" s="787">
        <v>160</v>
      </c>
      <c r="X80" s="1"/>
      <c r="Y80" s="1"/>
      <c r="Z80" s="1"/>
      <c r="AA80" s="1"/>
      <c r="AB80" s="1"/>
      <c r="AC80" s="1"/>
      <c r="AD80" s="1"/>
      <c r="AE80" s="1"/>
      <c r="AF80" s="1"/>
    </row>
    <row r="81" spans="4:32" ht="12.75">
      <c r="E81" s="926"/>
      <c r="F81" s="1"/>
      <c r="G81" s="2"/>
      <c r="H81" s="1"/>
      <c r="I81" s="1" t="str">
        <f>Texte!A5120</f>
        <v>Intensivmast</v>
      </c>
      <c r="J81" s="2">
        <v>1</v>
      </c>
      <c r="R81">
        <v>310</v>
      </c>
      <c r="S81">
        <v>310</v>
      </c>
      <c r="T81">
        <v>285</v>
      </c>
      <c r="U81">
        <f>SUM(U78:U80)</f>
        <v>485</v>
      </c>
      <c r="V81" s="749" t="s">
        <v>8132</v>
      </c>
      <c r="W81" s="1"/>
      <c r="X81" s="1"/>
      <c r="Y81" s="1"/>
      <c r="Z81" s="1"/>
      <c r="AA81" s="1"/>
      <c r="AB81" s="1"/>
      <c r="AC81" s="1"/>
      <c r="AD81" s="1"/>
      <c r="AE81" s="1"/>
      <c r="AF81" s="1"/>
    </row>
    <row r="82" spans="4:32" ht="12.75">
      <c r="E82" s="926" t="str">
        <f>K91</f>
        <v xml:space="preserve">Mutterkuhkälber zur Mast </v>
      </c>
      <c r="F82" s="1" t="str">
        <f>Texte!A5107</f>
        <v>bis 200 kg SG</v>
      </c>
      <c r="G82" s="2">
        <v>1</v>
      </c>
      <c r="I82" s="1" t="str">
        <f>Texte!A5121</f>
        <v>Weidemast</v>
      </c>
      <c r="J82" s="2">
        <v>2</v>
      </c>
      <c r="K82" s="2061" t="str">
        <f>Texte!A5133</f>
        <v>Kategorien bis 2018</v>
      </c>
      <c r="N82" s="718" t="str">
        <f>Texte!A5125</f>
        <v>bis 2008</v>
      </c>
      <c r="O82" s="987"/>
      <c r="P82" s="987"/>
      <c r="Q82" s="2217"/>
      <c r="R82" s="987">
        <f>N53</f>
        <v>0.13</v>
      </c>
      <c r="S82" s="987">
        <f>N54</f>
        <v>0.33</v>
      </c>
      <c r="T82" s="987">
        <f>SUMPRODUCT($N78:$N80,T78:T80)/T81</f>
        <v>4.5614035087719301E-2</v>
      </c>
      <c r="U82" s="987">
        <f>SUMPRODUCT($N78:$N80,U78:U80)/U81</f>
        <v>0.34814432989690719</v>
      </c>
      <c r="V82" s="1" t="str">
        <f>N41</f>
        <v>GVE-Faktoren</v>
      </c>
      <c r="W82" s="1"/>
      <c r="X82" s="1"/>
      <c r="Y82" s="1"/>
      <c r="Z82" s="1"/>
      <c r="AA82" s="1"/>
      <c r="AB82" s="1"/>
      <c r="AC82" s="1"/>
      <c r="AD82" s="1"/>
      <c r="AE82" s="1"/>
      <c r="AF82" s="1"/>
    </row>
    <row r="83" spans="4:32" ht="12.75">
      <c r="E83" s="926"/>
      <c r="F83" s="1" t="str">
        <f>Texte!A5108</f>
        <v>200-250 kg SG</v>
      </c>
      <c r="G83" s="2">
        <v>2</v>
      </c>
      <c r="H83" s="1"/>
      <c r="I83" s="1"/>
      <c r="J83" s="1"/>
      <c r="K83" s="1" t="str">
        <f>Texte!A5134</f>
        <v>Milchkühe</v>
      </c>
      <c r="L83" s="1"/>
      <c r="M83" s="536" t="str">
        <f>$M$126</f>
        <v>Stück</v>
      </c>
      <c r="N83" s="536">
        <v>1</v>
      </c>
      <c r="R83">
        <v>134</v>
      </c>
      <c r="S83">
        <v>136</v>
      </c>
      <c r="T83">
        <f>Tierb!CE14</f>
        <v>156</v>
      </c>
      <c r="U83">
        <f>Tierb!CG14</f>
        <v>172</v>
      </c>
      <c r="V83" t="s">
        <v>8131</v>
      </c>
      <c r="W83" s="1"/>
      <c r="X83" s="1"/>
      <c r="Y83" s="1"/>
      <c r="Z83" s="1"/>
      <c r="AA83" s="1"/>
      <c r="AB83" s="1"/>
      <c r="AC83" s="1"/>
      <c r="AD83" s="1"/>
      <c r="AE83" s="1"/>
      <c r="AF83" s="1"/>
    </row>
    <row r="84" spans="4:32" ht="12.75">
      <c r="E84" s="926"/>
      <c r="F84" s="1" t="str">
        <f>Texte!A5109</f>
        <v>über 250 kg SG</v>
      </c>
      <c r="G84" s="2">
        <v>3</v>
      </c>
      <c r="H84" s="1"/>
      <c r="I84" s="1"/>
      <c r="J84" s="1"/>
      <c r="K84" s="1" t="str">
        <f>Texte!A5155</f>
        <v>Jungvieh zur Zucht  0 bis 1-jährig</v>
      </c>
      <c r="L84" s="1"/>
      <c r="M84" s="536" t="str">
        <f>$M$126</f>
        <v>Stück</v>
      </c>
      <c r="N84" s="536">
        <v>0.25</v>
      </c>
      <c r="O84" s="987"/>
      <c r="Q84" s="987"/>
      <c r="R84" s="987">
        <f t="shared" ref="R84:T86" si="12">R78/R$81</f>
        <v>0</v>
      </c>
      <c r="S84" s="987">
        <f t="shared" si="12"/>
        <v>0</v>
      </c>
      <c r="T84" s="987">
        <f t="shared" si="12"/>
        <v>0</v>
      </c>
      <c r="U84" s="2592">
        <f>U78/W79</f>
        <v>0.65753424657534243</v>
      </c>
      <c r="V84" s="536" t="str">
        <f>Tierb!CJ16</f>
        <v>between 365 and 730 days old</v>
      </c>
      <c r="X84" s="1"/>
      <c r="Y84" s="1"/>
      <c r="Z84" s="1"/>
      <c r="AA84" s="1"/>
      <c r="AB84" s="1"/>
      <c r="AC84" s="1"/>
      <c r="AD84" s="1"/>
      <c r="AE84" s="1"/>
      <c r="AF84" s="1"/>
    </row>
    <row r="85" spans="4:32" ht="12.75">
      <c r="E85" s="926" t="str">
        <f>Texte!A5110</f>
        <v>Stuten</v>
      </c>
      <c r="F85" s="1"/>
      <c r="G85" s="2"/>
      <c r="H85" s="1"/>
      <c r="I85" s="1"/>
      <c r="J85" s="1"/>
      <c r="K85" s="1" t="str">
        <f>Texte!A5138</f>
        <v>Jungvieh 1 bis 2-jährig</v>
      </c>
      <c r="L85" s="1"/>
      <c r="M85" s="536" t="str">
        <f>$M$126</f>
        <v>Stück</v>
      </c>
      <c r="N85" s="536">
        <v>0.4</v>
      </c>
      <c r="O85" s="987"/>
      <c r="Q85" s="987"/>
      <c r="R85" s="987">
        <f t="shared" si="12"/>
        <v>0</v>
      </c>
      <c r="S85" s="987">
        <f t="shared" si="12"/>
        <v>0</v>
      </c>
      <c r="T85" s="987">
        <f t="shared" si="12"/>
        <v>0</v>
      </c>
      <c r="U85" s="2592">
        <f>U79/U79</f>
        <v>1</v>
      </c>
      <c r="V85" s="536" t="str">
        <f>Tierb!CJ17</f>
        <v>between 160 and 365 days old</v>
      </c>
      <c r="X85" s="1"/>
      <c r="Y85" s="1"/>
      <c r="Z85" s="1"/>
      <c r="AA85" s="1"/>
      <c r="AB85" s="1"/>
      <c r="AC85" s="1"/>
      <c r="AD85" s="1"/>
      <c r="AE85" s="1"/>
      <c r="AF85" s="1"/>
    </row>
    <row r="86" spans="4:32" ht="12.75">
      <c r="E86" s="926"/>
      <c r="F86" s="167" t="str">
        <f>Texte!A5111</f>
        <v>normal</v>
      </c>
      <c r="G86" s="1024">
        <v>1</v>
      </c>
      <c r="H86" s="1"/>
      <c r="I86" s="1"/>
      <c r="J86" s="1"/>
      <c r="K86" s="1" t="str">
        <f>Texte!A5139</f>
        <v>Jungvieh über 2-jährig</v>
      </c>
      <c r="L86" s="1"/>
      <c r="M86" s="1" t="str">
        <f>Texte!$A$384</f>
        <v>Platz</v>
      </c>
      <c r="N86" s="536">
        <v>0.6</v>
      </c>
      <c r="O86" s="987"/>
      <c r="Q86" s="987"/>
      <c r="R86" s="987">
        <f t="shared" si="12"/>
        <v>0.5161290322580645</v>
      </c>
      <c r="S86" s="987">
        <f t="shared" si="12"/>
        <v>0.4838709677419355</v>
      </c>
      <c r="T86" s="987">
        <f t="shared" si="12"/>
        <v>0.35087719298245612</v>
      </c>
      <c r="U86" s="2592">
        <f>U80/160</f>
        <v>0.25</v>
      </c>
      <c r="V86" s="536" t="str">
        <f>Tierb!CJ18</f>
        <v>less than 160 days old</v>
      </c>
      <c r="X86" s="1"/>
      <c r="Y86" s="1"/>
      <c r="Z86" s="1"/>
      <c r="AA86" s="1"/>
      <c r="AB86" s="1"/>
      <c r="AC86" s="1"/>
      <c r="AD86" s="1"/>
      <c r="AE86" s="1"/>
      <c r="AF86" s="1"/>
    </row>
    <row r="87" spans="4:32" ht="12.75">
      <c r="D87" s="1"/>
      <c r="E87" s="926"/>
      <c r="F87" s="167" t="str">
        <f>Texte!A5112</f>
        <v>nur Hafer als KF</v>
      </c>
      <c r="G87" s="1024">
        <v>2</v>
      </c>
      <c r="H87" s="1"/>
      <c r="I87" s="1"/>
      <c r="J87" s="1"/>
      <c r="K87" s="1"/>
      <c r="L87" s="1"/>
      <c r="M87" s="1"/>
      <c r="N87" s="536"/>
      <c r="O87" s="987"/>
      <c r="P87" s="2216"/>
      <c r="Q87" s="987"/>
      <c r="R87">
        <v>365</v>
      </c>
      <c r="S87">
        <f>R87</f>
        <v>365</v>
      </c>
      <c r="U87" s="2593" t="s">
        <v>11794</v>
      </c>
      <c r="V87" s="2002" t="s">
        <v>8134</v>
      </c>
      <c r="W87" s="787"/>
      <c r="X87" s="1"/>
      <c r="Y87" s="1"/>
      <c r="Z87" s="1"/>
      <c r="AA87" s="1"/>
      <c r="AB87" s="1"/>
      <c r="AC87" s="1"/>
      <c r="AD87" s="1"/>
      <c r="AE87" s="1"/>
      <c r="AF87" s="1"/>
    </row>
    <row r="88" spans="4:32" ht="12.75">
      <c r="E88" s="926"/>
      <c r="F88" s="1"/>
      <c r="G88" s="1"/>
      <c r="H88" s="1"/>
      <c r="I88" s="1"/>
      <c r="K88" s="1" t="str">
        <f>Texte!A5140</f>
        <v>Stiere 1 bis 2-jährig</v>
      </c>
      <c r="L88" s="1"/>
      <c r="M88" s="536" t="str">
        <f>$M$126</f>
        <v>Stück</v>
      </c>
      <c r="N88" s="536">
        <v>0.4</v>
      </c>
      <c r="R88" s="2342">
        <f>R80/R87</f>
        <v>0.43835616438356162</v>
      </c>
      <c r="S88" s="2342">
        <f>S80/S87</f>
        <v>0.41095890410958902</v>
      </c>
      <c r="U88" s="1"/>
      <c r="V88" s="2344" t="s">
        <v>8136</v>
      </c>
      <c r="W88" s="1"/>
      <c r="X88" s="1"/>
      <c r="Y88" s="1"/>
      <c r="Z88" s="1"/>
      <c r="AA88" s="1"/>
      <c r="AB88" s="1"/>
      <c r="AC88" s="1"/>
      <c r="AD88" s="1"/>
      <c r="AE88" s="1"/>
      <c r="AF88" s="1"/>
    </row>
    <row r="89" spans="4:32" ht="12.75">
      <c r="E89" s="926" t="str">
        <f>Texte!A5113</f>
        <v>Lege- und Zuchthennen</v>
      </c>
      <c r="F89" t="str">
        <f>Texte!A5114</f>
        <v>Kotband</v>
      </c>
      <c r="G89" s="2">
        <v>1</v>
      </c>
      <c r="K89" s="1" t="str">
        <f>Texte!A5141</f>
        <v>Stiere über 2-jährig</v>
      </c>
      <c r="L89" s="1"/>
      <c r="M89" s="536" t="str">
        <f>$M$126</f>
        <v>Stück</v>
      </c>
      <c r="N89" s="536">
        <v>0.6</v>
      </c>
      <c r="R89" s="2343">
        <f>1/R88</f>
        <v>2.28125</v>
      </c>
      <c r="S89" s="2343">
        <f>1/S88</f>
        <v>2.4333333333333336</v>
      </c>
      <c r="T89" s="1"/>
      <c r="U89" s="1"/>
      <c r="V89" s="823" t="s">
        <v>8135</v>
      </c>
      <c r="W89" s="1"/>
      <c r="X89" s="1"/>
      <c r="Y89" s="1"/>
      <c r="Z89" s="1"/>
      <c r="AA89" s="1"/>
      <c r="AB89" s="1"/>
      <c r="AC89" s="1"/>
      <c r="AD89" s="1"/>
      <c r="AE89" s="1"/>
      <c r="AF89" s="1"/>
    </row>
    <row r="90" spans="4:32" ht="12.75">
      <c r="E90" s="926"/>
      <c r="F90" t="str">
        <f>Texte!A5115</f>
        <v>Bodenhaltung, Kotgrube</v>
      </c>
      <c r="G90" s="2">
        <v>2</v>
      </c>
      <c r="K90" s="1" t="str">
        <f>Texte!A5142</f>
        <v xml:space="preserve">Mutterkühe </v>
      </c>
      <c r="L90" s="1"/>
      <c r="M90" s="536" t="str">
        <f>$M$126</f>
        <v>Stück</v>
      </c>
      <c r="N90" s="536">
        <v>0.8</v>
      </c>
      <c r="U90" s="1"/>
      <c r="V90" s="1"/>
      <c r="W90" s="1"/>
    </row>
    <row r="91" spans="4:32" ht="12.75">
      <c r="E91" s="926"/>
      <c r="K91" s="1" t="str">
        <f>Texte!A5143</f>
        <v xml:space="preserve">Mutterkuhkälber zur Mast </v>
      </c>
      <c r="L91" s="1"/>
      <c r="M91" s="536" t="str">
        <f>$M$126</f>
        <v>Stück</v>
      </c>
      <c r="N91" s="536">
        <v>0.17</v>
      </c>
    </row>
    <row r="92" spans="4:32" ht="12.75">
      <c r="F92">
        <v>1</v>
      </c>
      <c r="G92">
        <v>2</v>
      </c>
      <c r="H92">
        <v>3</v>
      </c>
      <c r="I92">
        <v>4</v>
      </c>
      <c r="J92">
        <v>5</v>
      </c>
      <c r="K92" s="1" t="str">
        <f>Texte!A5144</f>
        <v>Mastkälber (50-200 kg)</v>
      </c>
      <c r="L92" s="1"/>
      <c r="M92" s="1" t="str">
        <f>Texte!$A$384</f>
        <v>Platz</v>
      </c>
      <c r="N92" s="536">
        <v>0.1</v>
      </c>
    </row>
    <row r="93" spans="4:32" ht="12.75">
      <c r="D93" s="926"/>
      <c r="E93" s="2169" t="str">
        <f>$B$246 &amp; " " &amp; 1</f>
        <v>Tiere der Pferdegattung (Equiden) 1</v>
      </c>
      <c r="K93" s="1" t="str">
        <f>Texte!A5145</f>
        <v>Mastkälber (50-200 kg) pro Jahr</v>
      </c>
      <c r="L93" s="1"/>
      <c r="M93" s="1" t="str">
        <f>Texte!$A$385</f>
        <v>Anzahl</v>
      </c>
      <c r="N93" s="536">
        <v>3.5000000000000003E-2</v>
      </c>
    </row>
    <row r="94" spans="4:32" ht="12.75">
      <c r="E94" s="926" t="str">
        <f>Texte!A393</f>
        <v>Equiden &gt; 148 cm, über 900-tägig</v>
      </c>
      <c r="F94" t="str">
        <f>Texte!A3804</f>
        <v>Pferde</v>
      </c>
      <c r="G94" s="2">
        <v>1</v>
      </c>
      <c r="H94" t="str">
        <f>$F$94</f>
        <v>Pferde</v>
      </c>
      <c r="I94">
        <v>200</v>
      </c>
      <c r="J94" t="str">
        <f>Texte!A3758</f>
        <v>Pferde &gt; 148 cm, über 180-tägig</v>
      </c>
      <c r="K94" s="1" t="str">
        <f>Texte!A5146</f>
        <v>Rindviehmast &lt; 160 Tage</v>
      </c>
      <c r="L94" s="1"/>
      <c r="M94" s="1" t="str">
        <f>Texte!$A$384</f>
        <v>Platz</v>
      </c>
      <c r="N94" s="536">
        <v>0.08</v>
      </c>
    </row>
    <row r="95" spans="4:32" ht="12.75">
      <c r="E95" s="926"/>
      <c r="F95" t="str">
        <f>Texte!$A$3806</f>
        <v>Maultiere, -esel</v>
      </c>
      <c r="G95" s="2">
        <v>2</v>
      </c>
      <c r="H95" t="str">
        <f>$F$95</f>
        <v>Maultiere, -esel</v>
      </c>
      <c r="I95">
        <f>I102+10</f>
        <v>220</v>
      </c>
      <c r="J95" t="str">
        <f>Texte!A3760</f>
        <v>Maultiere, Maulesel, über 180-tägig, unabh. von Widerristhöhe</v>
      </c>
      <c r="K95" s="1" t="str">
        <f>Texte!A5147</f>
        <v>Rindviehmast intensiv &gt; 160 Tage</v>
      </c>
      <c r="L95" s="1"/>
      <c r="M95" s="1" t="str">
        <f>Texte!$A$384</f>
        <v>Platz</v>
      </c>
      <c r="N95" s="536">
        <v>0.4</v>
      </c>
    </row>
    <row r="96" spans="4:32" ht="12.75">
      <c r="E96" s="2169" t="str">
        <f>$B$246 &amp; " " &amp; 2</f>
        <v>Tiere der Pferdegattung (Equiden) 2</v>
      </c>
      <c r="K96" s="1" t="str">
        <f>Texte!A5148</f>
        <v>Rindviehmast Weide &gt; 160 Tage</v>
      </c>
      <c r="L96" s="1"/>
      <c r="M96" s="1" t="str">
        <f>Texte!$A$384</f>
        <v>Platz</v>
      </c>
      <c r="N96" s="536">
        <v>0.4</v>
      </c>
    </row>
    <row r="97" spans="2:16" ht="12.75">
      <c r="E97" s="926" t="str">
        <f>Texte!A394</f>
        <v>Equiden &gt; 148 cm, 180-900-tägig</v>
      </c>
      <c r="K97" s="1" t="str">
        <f>Texte!A5149</f>
        <v>Rindviehmast intensiv &gt; 65 kg, &lt;= 520 kg</v>
      </c>
      <c r="L97" s="1"/>
      <c r="M97" s="1" t="str">
        <f>Texte!$A$384</f>
        <v>Platz</v>
      </c>
      <c r="N97" s="536">
        <v>0.18</v>
      </c>
    </row>
    <row r="98" spans="2:16" ht="12.75">
      <c r="B98" t="str">
        <f>Texte!A5307</f>
        <v>Güllegruben-Nr.</v>
      </c>
      <c r="E98" s="926"/>
      <c r="F98" t="str">
        <f>$F$94</f>
        <v>Pferde</v>
      </c>
      <c r="G98" s="2">
        <v>1</v>
      </c>
      <c r="H98" t="str">
        <f>$F$94</f>
        <v>Pferde</v>
      </c>
      <c r="I98">
        <f>I94</f>
        <v>200</v>
      </c>
      <c r="J98" t="str">
        <f>Texte!A3758</f>
        <v>Pferde &gt; 148 cm, über 180-tägig</v>
      </c>
      <c r="K98" s="1" t="str">
        <f>Texte!A5150</f>
        <v>Rindviehmast, intensive Ausmast ab ca. 300 kg LG</v>
      </c>
      <c r="L98" s="1"/>
      <c r="M98" s="1" t="str">
        <f>Texte!$A$384</f>
        <v>Platz</v>
      </c>
      <c r="N98" s="536">
        <v>0.4</v>
      </c>
    </row>
    <row r="99" spans="2:16" ht="12.75">
      <c r="E99" s="926"/>
      <c r="F99" t="str">
        <f>$F$95</f>
        <v>Maultiere, -esel</v>
      </c>
      <c r="G99" s="2">
        <v>2</v>
      </c>
      <c r="H99" t="str">
        <f>$F$95</f>
        <v>Maultiere, -esel</v>
      </c>
      <c r="I99">
        <f>I95</f>
        <v>220</v>
      </c>
      <c r="J99" t="str">
        <f>Texte!A3760</f>
        <v>Maultiere, Maulesel, über 180-tägig, unabh. von Widerristhöhe</v>
      </c>
    </row>
    <row r="100" spans="2:16" ht="12.75">
      <c r="B100">
        <v>1</v>
      </c>
      <c r="E100" s="926"/>
    </row>
    <row r="101" spans="2:16" ht="12.75">
      <c r="B101">
        <v>2</v>
      </c>
      <c r="E101" s="2169" t="str">
        <f>$B$246 &amp; " " &amp;3</f>
        <v>Tiere der Pferdegattung (Equiden) 3</v>
      </c>
    </row>
    <row r="102" spans="2:16" ht="12.75">
      <c r="B102">
        <v>3</v>
      </c>
      <c r="E102" s="926" t="str">
        <f>Texte!A395</f>
        <v>Equiden &gt; 148 cm, bis 180-tägig</v>
      </c>
      <c r="F102" t="str">
        <f>Texte!A3805</f>
        <v>Fohlen</v>
      </c>
      <c r="G102" s="2">
        <v>1</v>
      </c>
      <c r="H102" t="str">
        <f>Texte!A3805</f>
        <v>Fohlen</v>
      </c>
      <c r="I102">
        <f>I94+10</f>
        <v>210</v>
      </c>
      <c r="J102" t="str">
        <f>Texte!A3759</f>
        <v>Pferde &gt; 148 cm, bis 180-tägig</v>
      </c>
    </row>
    <row r="103" spans="2:16" ht="12.75">
      <c r="E103" s="926"/>
      <c r="F103" t="str">
        <f>$F$95</f>
        <v>Maultiere, -esel</v>
      </c>
      <c r="G103" s="2">
        <v>2</v>
      </c>
      <c r="H103" t="str">
        <f>$F$95</f>
        <v>Maultiere, -esel</v>
      </c>
      <c r="I103">
        <f>I95+10</f>
        <v>230</v>
      </c>
      <c r="J103" t="str">
        <f>Texte!A3761</f>
        <v>Maultiere, Maulesel, bis 180-tägig, unabh. von Widerristhöhe</v>
      </c>
    </row>
    <row r="104" spans="2:16" ht="12.75">
      <c r="E104" s="926"/>
    </row>
    <row r="105" spans="2:16" ht="12.75">
      <c r="B105" t="str">
        <f>Texte!A5308</f>
        <v>Mistplatz-Nr.</v>
      </c>
      <c r="E105" s="2169" t="str">
        <f>$B$246 &amp; " " &amp; 4</f>
        <v>Tiere der Pferdegattung (Equiden) 4</v>
      </c>
    </row>
    <row r="106" spans="2:16" ht="12.75">
      <c r="E106" s="926" t="str">
        <f>Texte!A396</f>
        <v>Equiden &lt;= 148 cm, über 900-tägig</v>
      </c>
      <c r="F106" t="str">
        <f>Texte!A3807</f>
        <v>Pferde für Suisse-Bilanz</v>
      </c>
      <c r="G106" s="2">
        <v>1</v>
      </c>
      <c r="H106" t="str">
        <f>H111</f>
        <v>Pferde für SuiBi</v>
      </c>
      <c r="I106">
        <f>I94</f>
        <v>200</v>
      </c>
      <c r="J106" t="str">
        <f>Texte!A3758</f>
        <v>Pferde &gt; 148 cm, über 180-tägig</v>
      </c>
      <c r="P106" s="718"/>
    </row>
    <row r="107" spans="2:16" ht="12.75">
      <c r="B107">
        <v>1</v>
      </c>
      <c r="E107" s="926"/>
      <c r="F107" t="str">
        <f>Texte!A3809</f>
        <v>Ponys, Esel</v>
      </c>
      <c r="G107" s="2">
        <v>2</v>
      </c>
      <c r="H107" t="str">
        <f>$F$107</f>
        <v>Ponys, Esel</v>
      </c>
      <c r="I107">
        <f>I103+10</f>
        <v>240</v>
      </c>
      <c r="J107" t="str">
        <f>Texte!A3762</f>
        <v>Ponys, Kleinpferde, Esel, jeden Alters, bis 148 cm</v>
      </c>
      <c r="P107" s="718"/>
    </row>
    <row r="108" spans="2:16" ht="12.75">
      <c r="B108">
        <v>2</v>
      </c>
      <c r="E108" s="926"/>
      <c r="F108" t="str">
        <f>$F$95</f>
        <v>Maultiere, -esel</v>
      </c>
      <c r="G108" s="2">
        <v>3</v>
      </c>
      <c r="H108" t="str">
        <f>$F$95</f>
        <v>Maultiere, -esel</v>
      </c>
      <c r="I108">
        <f>I95</f>
        <v>220</v>
      </c>
      <c r="J108" t="str">
        <f>Texte!A3760</f>
        <v>Maultiere, Maulesel, über 180-tägig, unabh. von Widerristhöhe</v>
      </c>
      <c r="P108" s="718"/>
    </row>
    <row r="109" spans="2:16" ht="12.75">
      <c r="E109" s="926"/>
      <c r="O109" s="718"/>
    </row>
    <row r="110" spans="2:16" ht="12.75">
      <c r="B110" t="str">
        <f>Texte!B5309</f>
        <v>Ver-, Zukauf Grundfutter</v>
      </c>
      <c r="E110" s="2169" t="str">
        <f>$B$246 &amp; " " &amp; 5</f>
        <v>Tiere der Pferdegattung (Equiden) 5</v>
      </c>
      <c r="O110" s="718"/>
    </row>
    <row r="111" spans="2:16" ht="12.75">
      <c r="E111" s="926" t="str">
        <f>Texte!A397</f>
        <v>Equiden &lt;= 148 cm, 180-900-tägig</v>
      </c>
      <c r="F111" t="str">
        <f>F106</f>
        <v>Pferde für Suisse-Bilanz</v>
      </c>
      <c r="G111" s="2">
        <v>1</v>
      </c>
      <c r="H111" t="str">
        <f>Texte!A3808</f>
        <v>Pferde für SuiBi</v>
      </c>
      <c r="I111">
        <f>I94</f>
        <v>200</v>
      </c>
      <c r="J111" t="str">
        <f>Texte!A3758</f>
        <v>Pferde &gt; 148 cm, über 180-tägig</v>
      </c>
      <c r="O111" s="718"/>
    </row>
    <row r="112" spans="2:16" ht="12.75">
      <c r="E112" s="926"/>
      <c r="F112" t="str">
        <f>$F$107</f>
        <v>Ponys, Esel</v>
      </c>
      <c r="G112" s="2">
        <v>2</v>
      </c>
      <c r="H112" t="str">
        <f>$F$107</f>
        <v>Ponys, Esel</v>
      </c>
      <c r="I112">
        <f>I107</f>
        <v>240</v>
      </c>
      <c r="J112" t="str">
        <f>Texte!A3762</f>
        <v>Ponys, Kleinpferde, Esel, jeden Alters, bis 148 cm</v>
      </c>
      <c r="O112" s="718"/>
    </row>
    <row r="113" spans="2:19" ht="12.75">
      <c r="E113" s="926"/>
      <c r="F113" t="str">
        <f>$F$95</f>
        <v>Maultiere, -esel</v>
      </c>
      <c r="G113" s="2">
        <v>3</v>
      </c>
      <c r="H113" t="str">
        <f>$F$95</f>
        <v>Maultiere, -esel</v>
      </c>
      <c r="I113">
        <f>I95</f>
        <v>220</v>
      </c>
      <c r="J113" t="str">
        <f>Texte!A3760</f>
        <v>Maultiere, Maulesel, über 180-tägig, unabh. von Widerristhöhe</v>
      </c>
      <c r="O113" s="718"/>
    </row>
    <row r="114" spans="2:19" ht="12.75">
      <c r="B114" t="str">
        <f>Texte!B5310</f>
        <v>Zukauf Grundfutter, Produktion ausserhalb Futterfläche</v>
      </c>
      <c r="E114" s="926"/>
      <c r="O114" s="718"/>
    </row>
    <row r="115" spans="2:19" ht="12.75">
      <c r="E115" s="2169" t="str">
        <f>$B$246 &amp; " " &amp; 6</f>
        <v>Tiere der Pferdegattung (Equiden) 6</v>
      </c>
      <c r="O115" s="718"/>
    </row>
    <row r="116" spans="2:19" ht="12.75">
      <c r="B116">
        <v>2</v>
      </c>
      <c r="E116" s="926" t="str">
        <f>Texte!A398</f>
        <v>Equiden &lt;= 148 cm, bis 180-tägig</v>
      </c>
      <c r="F116" t="str">
        <f>Texte!A3810</f>
        <v>Fohlen für Suisse-Bilanz</v>
      </c>
      <c r="G116" s="2">
        <v>1</v>
      </c>
      <c r="H116" t="str">
        <f>Texte!A3811</f>
        <v>Fohlen für SuiBi</v>
      </c>
      <c r="I116">
        <f>I102</f>
        <v>210</v>
      </c>
      <c r="J116" t="str">
        <f>Texte!A3759</f>
        <v>Pferde &gt; 148 cm, bis 180-tägig</v>
      </c>
    </row>
    <row r="117" spans="2:19" ht="12.75">
      <c r="B117">
        <v>3</v>
      </c>
      <c r="E117" s="926"/>
      <c r="F117" t="str">
        <f>$F$107</f>
        <v>Ponys, Esel</v>
      </c>
      <c r="G117" s="2">
        <v>2</v>
      </c>
      <c r="H117" t="str">
        <f>$F$107</f>
        <v>Ponys, Esel</v>
      </c>
      <c r="I117">
        <f>I107</f>
        <v>240</v>
      </c>
      <c r="J117" t="str">
        <f>Texte!A3762</f>
        <v>Ponys, Kleinpferde, Esel, jeden Alters, bis 148 cm</v>
      </c>
    </row>
    <row r="118" spans="2:19" ht="12.75">
      <c r="E118" s="926"/>
      <c r="F118" t="str">
        <f>$F$95</f>
        <v>Maultiere, -esel</v>
      </c>
      <c r="G118" s="2">
        <v>3</v>
      </c>
      <c r="H118" t="str">
        <f>$F$95</f>
        <v>Maultiere, -esel</v>
      </c>
      <c r="I118">
        <f>I103</f>
        <v>230</v>
      </c>
      <c r="J118" t="str">
        <f>Texte!A3761</f>
        <v>Maultiere, Maulesel, bis 180-tägig, unabh. von Widerristhöhe</v>
      </c>
    </row>
    <row r="120" spans="2:19">
      <c r="I120">
        <f>I107+10</f>
        <v>250</v>
      </c>
    </row>
    <row r="121" spans="2:19" ht="12.75">
      <c r="B121" s="921" t="s">
        <v>4698</v>
      </c>
    </row>
    <row r="122" spans="2:19">
      <c r="C122" t="str">
        <f>Texte!A2465</f>
        <v>Versorgungssicherheitsbeiträge, VSB, Art. 50 bis 54 und Anhang 7 DZV</v>
      </c>
      <c r="F122" t="str">
        <f>Texte!A2523</f>
        <v>Beitrag für die offene Ackerfläche und Dauerkulturen</v>
      </c>
    </row>
    <row r="123" spans="2:19">
      <c r="C123" t="str">
        <f>Texte!A2502</f>
        <v>Basisbeitrag</v>
      </c>
    </row>
    <row r="124" spans="2:19">
      <c r="C124">
        <f>Allg!Erntejahr</f>
        <v>2026</v>
      </c>
      <c r="D124">
        <v>2023</v>
      </c>
      <c r="E124">
        <v>2024</v>
      </c>
      <c r="F124">
        <f>Allg!Erntejahr</f>
        <v>2026</v>
      </c>
      <c r="G124">
        <v>2014</v>
      </c>
      <c r="H124">
        <v>2015</v>
      </c>
    </row>
    <row r="125" spans="2:19" ht="12.75">
      <c r="B125" s="675" t="str">
        <f>Texte!A2503</f>
        <v>offene Ackerfläche und Dauerkulturen (1)</v>
      </c>
      <c r="C125">
        <f>IF($C$124&gt;0,IF($C$124&lt;=$D$124,D125,E125),0)</f>
        <v>600</v>
      </c>
      <c r="D125">
        <v>700</v>
      </c>
      <c r="E125">
        <v>600</v>
      </c>
      <c r="F125">
        <f>IF($F$124&lt;=$G$124,G125,H125)</f>
        <v>400</v>
      </c>
      <c r="G125">
        <v>400</v>
      </c>
      <c r="H125">
        <v>400</v>
      </c>
      <c r="K125" s="644" t="str">
        <f>B264</f>
        <v>Weitere raufutterverzehrende Nutztiere</v>
      </c>
      <c r="O125" s="718" t="str">
        <f>Q!txtTo &amp; 2015</f>
        <v xml:space="preserve"> bis 2015</v>
      </c>
      <c r="P125" s="1"/>
      <c r="Q125" s="718" t="s">
        <v>29</v>
      </c>
      <c r="R125" s="1"/>
      <c r="S125" s="1908" t="s">
        <v>11099</v>
      </c>
    </row>
    <row r="126" spans="2:19" ht="12.75">
      <c r="B126" s="675" t="str">
        <f>Texte!A2504</f>
        <v>Kunstwiesen</v>
      </c>
      <c r="C126">
        <f>IF($C$124&gt;0,IF($C$124&lt;=$D$124,D126,E126),0)</f>
        <v>600</v>
      </c>
      <c r="D126">
        <v>700</v>
      </c>
      <c r="E126">
        <v>600</v>
      </c>
      <c r="K126" s="1" t="str">
        <f>B265</f>
        <v>Bisons über 900-tägig</v>
      </c>
      <c r="L126" s="1"/>
      <c r="M126" s="536" t="str">
        <f>Tierb!F52</f>
        <v>Stück</v>
      </c>
      <c r="O126" s="1">
        <v>0.8</v>
      </c>
      <c r="P126" s="1"/>
      <c r="Q126">
        <v>1</v>
      </c>
      <c r="R126" s="1"/>
      <c r="S126" s="1">
        <f>IF(Allg!Erntejahr&gt;2015,Q126,O126)</f>
        <v>1</v>
      </c>
    </row>
    <row r="127" spans="2:19" ht="12.75">
      <c r="B127" s="675" t="str">
        <f>Texte!A2505</f>
        <v>Dauergrünfläche ausser BFF</v>
      </c>
      <c r="C127">
        <f>IF($C$124&gt;0,IF($C$124&lt;=$D$124,D127,E127),0)</f>
        <v>600</v>
      </c>
      <c r="D127">
        <v>700</v>
      </c>
      <c r="E127">
        <v>600</v>
      </c>
      <c r="K127" s="1" t="str">
        <f t="shared" ref="K127:K135" si="13">B266</f>
        <v>Bisons bis 900-tägig, Zucht und Mast</v>
      </c>
      <c r="L127" s="1"/>
      <c r="M127" s="536" t="str">
        <f>Tierb!F53</f>
        <v>Stück</v>
      </c>
      <c r="O127" s="1"/>
      <c r="P127" s="1"/>
      <c r="Q127" s="1"/>
      <c r="R127" s="1"/>
      <c r="S127" s="1">
        <v>0.4</v>
      </c>
    </row>
    <row r="128" spans="2:19" ht="12.75">
      <c r="B128" s="675" t="str">
        <f>Texte!A2506</f>
        <v>BFF Grünland (2)</v>
      </c>
      <c r="C128">
        <f>IF($C$124&gt;0,IF($C$124&lt;=$D$124,D128,E128),0)</f>
        <v>300</v>
      </c>
      <c r="D128">
        <v>350</v>
      </c>
      <c r="E128">
        <v>300</v>
      </c>
      <c r="K128" s="1" t="str">
        <f t="shared" si="13"/>
        <v>Damhirsche, 2 Tiere, Muttertier und Nachwuchs</v>
      </c>
      <c r="L128" s="1"/>
      <c r="M128" s="536" t="str">
        <f>Tierb!F54</f>
        <v>Einheit</v>
      </c>
      <c r="O128" s="1"/>
      <c r="P128" s="1"/>
      <c r="Q128" s="1"/>
      <c r="R128" s="1"/>
      <c r="S128" s="1">
        <v>0.2</v>
      </c>
    </row>
    <row r="129" spans="2:19" ht="12.75">
      <c r="B129" s="675"/>
      <c r="K129" s="1" t="str">
        <f t="shared" si="13"/>
        <v>Rothirsche, 2 Tiere, Muttertier und Nachwuchs</v>
      </c>
      <c r="L129" s="1"/>
      <c r="M129" s="536" t="str">
        <f>Tierb!F55</f>
        <v>Einheit</v>
      </c>
      <c r="O129" s="1"/>
      <c r="P129" s="1"/>
      <c r="Q129" s="1"/>
      <c r="R129" s="1"/>
      <c r="S129" s="1">
        <v>0.4</v>
      </c>
    </row>
    <row r="130" spans="2:19" ht="12.75">
      <c r="B130" s="675"/>
      <c r="C130" t="str">
        <f>Texte!A2526</f>
        <v>Beiträge für einzelne Kulturen (nach Einzelkulturbeitragsverordnung)</v>
      </c>
      <c r="K130" s="1" t="str">
        <f t="shared" si="13"/>
        <v>Lamas über 2-jährig</v>
      </c>
      <c r="L130" s="1"/>
      <c r="M130" s="536" t="str">
        <f>Tierb!F56</f>
        <v>Stück</v>
      </c>
      <c r="O130" s="1"/>
      <c r="P130" s="1"/>
      <c r="Q130" s="1"/>
      <c r="R130" s="1"/>
      <c r="S130" s="1">
        <v>0.17</v>
      </c>
    </row>
    <row r="131" spans="2:19" ht="12.75">
      <c r="C131">
        <f>Allg!Erntejahr</f>
        <v>2026</v>
      </c>
      <c r="D131">
        <v>2019</v>
      </c>
      <c r="E131">
        <v>2017</v>
      </c>
      <c r="K131" s="1" t="str">
        <f t="shared" si="13"/>
        <v>Lamas bis 2-jährig</v>
      </c>
      <c r="L131" s="1"/>
      <c r="M131" s="536" t="str">
        <f>Tierb!F57</f>
        <v>Stück</v>
      </c>
      <c r="O131" s="1"/>
      <c r="P131" s="1"/>
      <c r="Q131" s="1"/>
      <c r="R131" s="1"/>
      <c r="S131" s="1">
        <v>0.11</v>
      </c>
    </row>
    <row r="132" spans="2:19" ht="12.75">
      <c r="B132" t="str">
        <f>Texte!A2527</f>
        <v>Raps, Sonnenblumen, Öllein</v>
      </c>
      <c r="C132">
        <f t="shared" ref="C132:C137" si="14">IF($C$131&lt;=$D$131,D132,E132)</f>
        <v>700</v>
      </c>
      <c r="D132">
        <v>700</v>
      </c>
      <c r="E132">
        <v>700</v>
      </c>
      <c r="K132" s="1" t="str">
        <f t="shared" si="13"/>
        <v>Alpakas über 2-jährig</v>
      </c>
      <c r="L132" s="1"/>
      <c r="M132" s="536" t="str">
        <f>Tierb!F58</f>
        <v>Stück</v>
      </c>
      <c r="O132" s="1"/>
      <c r="P132" s="1"/>
      <c r="Q132" s="1"/>
      <c r="R132" s="1"/>
      <c r="S132" s="1">
        <v>0.11</v>
      </c>
    </row>
    <row r="133" spans="2:19" ht="12.75">
      <c r="B133" t="str">
        <f>Texte!A2528</f>
        <v>Ölkürbisse, Mohn und Saflor</v>
      </c>
      <c r="C133">
        <f t="shared" si="14"/>
        <v>700</v>
      </c>
      <c r="D133">
        <v>700</v>
      </c>
      <c r="E133">
        <v>700</v>
      </c>
      <c r="K133" s="1" t="str">
        <f t="shared" si="13"/>
        <v>Alpakas bis 2-jährig</v>
      </c>
      <c r="L133" s="1"/>
      <c r="M133" s="536" t="str">
        <f>Tierb!F59</f>
        <v>Stück</v>
      </c>
      <c r="O133" s="1"/>
      <c r="P133" s="1"/>
      <c r="Q133" s="1"/>
      <c r="R133" s="1"/>
      <c r="S133" s="1">
        <v>7.0000000000000007E-2</v>
      </c>
    </row>
    <row r="134" spans="2:19" ht="12.75">
      <c r="B134" t="str">
        <f>Texte!A2529</f>
        <v>Saatgut von Kartoffeln und Mais</v>
      </c>
      <c r="C134">
        <f t="shared" si="14"/>
        <v>700</v>
      </c>
      <c r="D134">
        <v>700</v>
      </c>
      <c r="E134">
        <v>700</v>
      </c>
      <c r="K134" s="1" t="str">
        <f t="shared" si="13"/>
        <v>Kaninchen, Zibben inkl. Jungtiere bis ca. 35-tägig</v>
      </c>
      <c r="L134" s="1"/>
      <c r="M134" s="536" t="str">
        <f>Tierb!F60</f>
        <v>Stück</v>
      </c>
      <c r="O134" s="1"/>
      <c r="P134" s="1"/>
      <c r="Q134" s="1"/>
      <c r="R134" s="1"/>
      <c r="S134" s="1">
        <v>3.4000000000000002E-2</v>
      </c>
    </row>
    <row r="135" spans="2:19" ht="12.75">
      <c r="B135" t="str">
        <f>Texte!A2530</f>
        <v>Soja</v>
      </c>
      <c r="C135">
        <f t="shared" si="14"/>
        <v>1000</v>
      </c>
      <c r="D135">
        <v>1000</v>
      </c>
      <c r="E135">
        <v>1000</v>
      </c>
      <c r="K135" s="1" t="str">
        <f t="shared" si="13"/>
        <v>Kaninchen, Jungtiere über ca. 35-tägig</v>
      </c>
      <c r="L135" s="1"/>
      <c r="M135" s="536" t="str">
        <f>Tierb!F61</f>
        <v>100 Pl.</v>
      </c>
      <c r="O135" s="1"/>
      <c r="P135" s="1"/>
      <c r="Q135" s="1"/>
      <c r="S135" s="1">
        <v>1.1000000000000001</v>
      </c>
    </row>
    <row r="136" spans="2:19">
      <c r="B136" t="str">
        <f>Texte!A2531</f>
        <v>Ackerbohnen, Eiweisserbsen</v>
      </c>
      <c r="C136">
        <f t="shared" si="14"/>
        <v>1000</v>
      </c>
      <c r="D136">
        <v>1000</v>
      </c>
      <c r="E136">
        <v>1000</v>
      </c>
    </row>
    <row r="137" spans="2:19">
      <c r="B137" t="str">
        <f>Texte!A2532</f>
        <v>Lupinen zu Futterzwecken, Saatgut von Futtergräsern und Futterleguminosen</v>
      </c>
      <c r="C137">
        <f t="shared" si="14"/>
        <v>1000</v>
      </c>
      <c r="D137">
        <v>1000</v>
      </c>
      <c r="E137">
        <v>1000</v>
      </c>
    </row>
    <row r="138" spans="2:19">
      <c r="B138" t="str">
        <f>Texte!A2533</f>
        <v>Zuckerrüben zur Zuckerherstellung</v>
      </c>
      <c r="C138">
        <f>IF($C$131&lt;$D$131,E138,D138)</f>
        <v>2100</v>
      </c>
      <c r="D138">
        <v>2100</v>
      </c>
      <c r="E138">
        <v>1800</v>
      </c>
    </row>
    <row r="139" spans="2:19">
      <c r="B139" t="str">
        <f>Texte!A2534</f>
        <v>Zusatzbeitrag f. Zuckerr. z. Zuckerherst. bei Bio oder Verzicht auf Fungizid- und Herbizideinsatz</v>
      </c>
      <c r="C139">
        <v>200</v>
      </c>
    </row>
    <row r="140" spans="2:19">
      <c r="B140" t="str">
        <f>Texte!A2535</f>
        <v>Getreidezulage</v>
      </c>
      <c r="C140">
        <f>IF($C$131&lt;$D$131,E140,D140)</f>
        <v>120</v>
      </c>
      <c r="D140">
        <v>120</v>
      </c>
      <c r="E140">
        <v>0</v>
      </c>
    </row>
    <row r="143" spans="2:19" ht="12.75">
      <c r="B143" s="1" t="str">
        <f>Texte!A5071</f>
        <v>Standard-Arbeitskräfte</v>
      </c>
      <c r="C143" s="2" t="str">
        <f>Texte!A5072</f>
        <v>SAK pro Enheit</v>
      </c>
    </row>
    <row r="144" spans="2:19" ht="12.75">
      <c r="B144" s="1"/>
      <c r="D144">
        <v>2017</v>
      </c>
      <c r="E144" s="2">
        <v>2016</v>
      </c>
      <c r="F144" s="2">
        <v>2015</v>
      </c>
    </row>
    <row r="145" spans="2:6" ht="12.75">
      <c r="B145" s="1" t="str">
        <f>Texte!A5073</f>
        <v>Landw. Nutzfläche ohne Spezialkulturen</v>
      </c>
      <c r="C145" s="2">
        <f>IF(Allg!Erntejahr&gt;=$E$144,E145,F145)</f>
        <v>2.1999999999999999E-2</v>
      </c>
      <c r="E145" s="2">
        <v>2.1999999999999999E-2</v>
      </c>
      <c r="F145" s="2">
        <v>2.8000000000000001E-2</v>
      </c>
    </row>
    <row r="146" spans="2:6" ht="12.75">
      <c r="B146" s="1" t="str">
        <f>Texte!A5074</f>
        <v>Spezialkulturen ohne Rebflächen in Steillagen</v>
      </c>
      <c r="C146" s="2">
        <f>IF(Allg!Erntejahr&gt;=$E$144,E146,F146)</f>
        <v>0.32300000000000001</v>
      </c>
      <c r="E146" s="2">
        <v>0.32300000000000001</v>
      </c>
      <c r="F146" s="2">
        <v>0.3</v>
      </c>
    </row>
    <row r="147" spans="2:6" ht="12.75">
      <c r="B147" s="1" t="str">
        <f>Texte!A5075</f>
        <v>Rebflächen in Steil- und Terrassenlagen</v>
      </c>
      <c r="C147" s="2">
        <f>IF(Allg!Erntejahr&gt;=$E$144,E147,F147)</f>
        <v>1.077</v>
      </c>
      <c r="E147" s="2">
        <v>1.077</v>
      </c>
      <c r="F147" s="2">
        <v>1</v>
      </c>
    </row>
    <row r="148" spans="2:6" ht="12.75">
      <c r="B148" s="1" t="str">
        <f>Texte!A5076</f>
        <v>Hanglagen im Berggebiet und in der Hügelzone</v>
      </c>
      <c r="C148" s="2">
        <f>IF(Allg!Erntejahr&gt;=$D$144,D148,E148)</f>
        <v>1.6E-2</v>
      </c>
      <c r="D148">
        <v>1.6E-2</v>
      </c>
      <c r="E148" s="2">
        <v>1.4999999999999999E-2</v>
      </c>
      <c r="F148" s="2">
        <v>1.4999999999999999E-2</v>
      </c>
    </row>
    <row r="149" spans="2:6" ht="12.75">
      <c r="B149" s="1" t="str">
        <f>Texte!A5077</f>
        <v>Steillagen im Berggebiet und in der Hügelzone</v>
      </c>
      <c r="C149" s="2">
        <f>IF(Allg!Erntejahr&gt;=$D$144,D149,E149)</f>
        <v>2.7E-2</v>
      </c>
      <c r="D149">
        <v>2.7E-2</v>
      </c>
      <c r="E149" s="2">
        <v>0.03</v>
      </c>
      <c r="F149" s="2">
        <v>0.03</v>
      </c>
    </row>
    <row r="150" spans="2:6" ht="12.75">
      <c r="B150" s="1" t="s">
        <v>7284</v>
      </c>
      <c r="C150" s="2">
        <f>IF(Allg!Erntejahr&gt;=$D$144,D150,E150)</f>
        <v>5.3999999999999999E-2</v>
      </c>
      <c r="D150">
        <v>5.3999999999999999E-2</v>
      </c>
      <c r="E150" s="2">
        <v>0.03</v>
      </c>
      <c r="F150" s="2">
        <v>0.03</v>
      </c>
    </row>
    <row r="151" spans="2:6" ht="12.75">
      <c r="B151" s="1" t="str">
        <f>Texte!A5078</f>
        <v>Hochstamm-Feldobstbäume</v>
      </c>
      <c r="C151" s="2">
        <f>IF(Allg!Erntejahr&gt;=$E$144,E151,F151)</f>
        <v>1E-3</v>
      </c>
      <c r="E151" s="2">
        <v>1E-3</v>
      </c>
      <c r="F151" s="2">
        <v>1E-3</v>
      </c>
    </row>
    <row r="152" spans="2:6" ht="12.75">
      <c r="B152" s="1" t="str">
        <f>Texte!A5079</f>
        <v>Milchkühe, Milchschafe, Milchziegen</v>
      </c>
      <c r="C152" s="2">
        <f>IF(Allg!Erntejahr&gt;=$E$144,E152,F152)</f>
        <v>3.9E-2</v>
      </c>
      <c r="E152" s="2">
        <v>3.9E-2</v>
      </c>
      <c r="F152" s="2">
        <v>4.2999999999999997E-2</v>
      </c>
    </row>
    <row r="153" spans="2:6" ht="12.75">
      <c r="B153" s="1" t="str">
        <f>Texte!A5080</f>
        <v>Mastschweine, Remonten und abges. Ferkel</v>
      </c>
      <c r="C153" s="2">
        <f>IF(Allg!Erntejahr&gt;=$E$144,E153,F153)</f>
        <v>8.0000000000000002E-3</v>
      </c>
      <c r="E153" s="2">
        <v>8.0000000000000002E-3</v>
      </c>
      <c r="F153" s="2">
        <v>7.0000000000000001E-3</v>
      </c>
    </row>
    <row r="154" spans="2:6" ht="12.75">
      <c r="B154" s="1" t="str">
        <f>Texte!A5081</f>
        <v>Zuchtschweine</v>
      </c>
      <c r="C154" s="2">
        <f>IF(Allg!Erntejahr&gt;=$E$144,E154,F154)</f>
        <v>3.2000000000000001E-2</v>
      </c>
      <c r="E154" s="2">
        <v>3.2000000000000001E-2</v>
      </c>
      <c r="F154" s="2">
        <v>0.04</v>
      </c>
    </row>
    <row r="155" spans="2:6" ht="12.75">
      <c r="B155" s="1" t="str">
        <f>Texte!A5082</f>
        <v>Andere Nutztiere</v>
      </c>
      <c r="C155" s="2">
        <f>IF(Allg!Erntejahr&gt;=$E$144,E155,F155)</f>
        <v>2.7E-2</v>
      </c>
      <c r="E155" s="2">
        <v>2.7E-2</v>
      </c>
      <c r="F155" s="2">
        <v>0.03</v>
      </c>
    </row>
    <row r="156" spans="2:6" ht="12.75">
      <c r="B156" t="str">
        <f>Texte!A5083</f>
        <v>Kartoffeln</v>
      </c>
      <c r="C156" s="2">
        <f>IF(Allg!Erntejahr&gt;=$E$144,E156,F156)</f>
        <v>3.9E-2</v>
      </c>
      <c r="E156" s="2">
        <v>3.9E-2</v>
      </c>
      <c r="F156" s="2">
        <v>4.4999999999999998E-2</v>
      </c>
    </row>
    <row r="157" spans="2:6" ht="12.75">
      <c r="B157" t="str">
        <f>Texte!A5084</f>
        <v>Beeren, Heil- u. Gewürzpflanzen</v>
      </c>
      <c r="C157" s="2">
        <f>IF(Allg!Erntejahr&gt;=$E$144,E157,F157)</f>
        <v>0.32300000000000001</v>
      </c>
      <c r="E157" s="2">
        <v>0.32300000000000001</v>
      </c>
      <c r="F157" s="2">
        <v>0.3</v>
      </c>
    </row>
    <row r="158" spans="2:6" ht="12.75">
      <c r="B158" t="str">
        <f>Texte!A5085</f>
        <v>Christbaumkulturen</v>
      </c>
      <c r="C158" s="2">
        <f>IF(Allg!Erntejahr&gt;=$E$144,E158,F158)</f>
        <v>4.8000000000000001E-2</v>
      </c>
      <c r="E158" s="2">
        <v>4.8000000000000001E-2</v>
      </c>
      <c r="F158" s="2">
        <v>4.4999999999999998E-2</v>
      </c>
    </row>
    <row r="159" spans="2:6" ht="12.75">
      <c r="B159" t="str">
        <f>Texte!A5086</f>
        <v>Rebbau m. eigener Kelterei</v>
      </c>
      <c r="C159" s="2">
        <f>IF(Allg!Erntejahr&gt;=$E$144,E159,F159)</f>
        <v>0.32300000000000001</v>
      </c>
      <c r="E159" s="2">
        <v>0.32300000000000001</v>
      </c>
      <c r="F159" s="2">
        <v>0.3</v>
      </c>
    </row>
    <row r="160" spans="2:6" ht="12.75">
      <c r="B160" t="str">
        <f>Texte!A5087</f>
        <v>Gewächshaus mit festem Fundament</v>
      </c>
      <c r="C160" s="2">
        <f>IF(Allg!Erntejahr&gt;=$E$144,E160,F160)</f>
        <v>0.96899999999999997</v>
      </c>
      <c r="E160" s="2">
        <v>0.96899999999999997</v>
      </c>
      <c r="F160" s="2">
        <v>0.9</v>
      </c>
    </row>
    <row r="161" spans="2:10" ht="12.75">
      <c r="B161" t="str">
        <f>Texte!A5088</f>
        <v>Hochtunnel, Treibbeet</v>
      </c>
      <c r="C161" s="2">
        <f>IF(Allg!Erntejahr&gt;=$E$144,E161,F161)</f>
        <v>0.48499999999999999</v>
      </c>
      <c r="E161" s="2">
        <v>0.48499999999999999</v>
      </c>
      <c r="F161" s="2">
        <v>0.45</v>
      </c>
    </row>
    <row r="162" spans="2:10" ht="12.75">
      <c r="B162" t="str">
        <f>Texte!A5096</f>
        <v>Betriebseigener Wald</v>
      </c>
      <c r="C162" s="2">
        <f>IF(Allg!Erntejahr&gt;=$E$144,E162,F162)</f>
        <v>1.2999999999999999E-2</v>
      </c>
      <c r="E162" s="2">
        <v>1.2999999999999999E-2</v>
      </c>
      <c r="F162" s="2">
        <v>1.2E-2</v>
      </c>
    </row>
    <row r="163" spans="2:10" ht="12.75">
      <c r="B163" t="str">
        <f>Texte!A5097</f>
        <v>Milchkühe auf Sömmerungsbetrieb</v>
      </c>
      <c r="C163" s="2">
        <f>IF(Allg!Erntejahr&gt;=$E$144,E163,F163)</f>
        <v>1.6E-2</v>
      </c>
      <c r="E163" s="2">
        <v>1.6E-2</v>
      </c>
      <c r="F163" s="2">
        <v>1.4999999999999999E-2</v>
      </c>
    </row>
    <row r="164" spans="2:10" ht="12.75">
      <c r="B164" t="str">
        <f>Texte!A5098</f>
        <v>Nutztiere auf Sömmerungsbetrieb</v>
      </c>
      <c r="C164" s="2">
        <f>IF(Allg!Erntejahr&gt;=$E$144,E164,F164)</f>
        <v>1.0999999999999999E-2</v>
      </c>
      <c r="E164" s="2">
        <v>1.0999999999999999E-2</v>
      </c>
      <c r="F164" s="2">
        <v>0.01</v>
      </c>
    </row>
    <row r="165" spans="2:10" ht="12.75">
      <c r="B165" t="str">
        <f>Texte!A5099</f>
        <v>Bio%</v>
      </c>
      <c r="C165" s="2">
        <f>IF(Allg!Erntejahr&gt;=$E$144,E165,F165)</f>
        <v>0.2</v>
      </c>
      <c r="E165" s="2">
        <v>0.2</v>
      </c>
      <c r="F165" s="2">
        <v>0.2</v>
      </c>
    </row>
    <row r="166" spans="2:10" ht="12.75">
      <c r="B166" t="str">
        <f>Texte!A5089</f>
        <v>Pilzproduktion</v>
      </c>
      <c r="C166" s="2">
        <f>IF(Allg!Erntejahr&gt;=$E$144,E166,F166)</f>
        <v>6.5000000000000002E-2</v>
      </c>
      <c r="E166" s="2">
        <v>6.5000000000000002E-2</v>
      </c>
      <c r="F166" s="2">
        <v>0.06</v>
      </c>
    </row>
    <row r="167" spans="2:10" ht="12.75">
      <c r="B167" t="str">
        <f>Texte!A5090</f>
        <v>Champignonproduktion</v>
      </c>
      <c r="C167" s="2">
        <f>IF(Allg!Erntejahr&gt;=$E$144,E167,F167)</f>
        <v>0.26900000000000002</v>
      </c>
      <c r="E167" s="2">
        <v>0.26900000000000002</v>
      </c>
      <c r="F167" s="2">
        <v>0.25</v>
      </c>
    </row>
    <row r="168" spans="2:10" ht="12.75">
      <c r="B168" t="str">
        <f>Texte!A5091</f>
        <v>Brüsselerproduktion</v>
      </c>
      <c r="C168" s="2">
        <f>IF(Allg!Erntejahr&gt;=$E$144,E168,F168)</f>
        <v>0.26900000000000002</v>
      </c>
      <c r="E168" s="2">
        <v>0.26900000000000002</v>
      </c>
      <c r="F168" s="2">
        <v>0.25</v>
      </c>
    </row>
    <row r="169" spans="2:10" ht="12.75">
      <c r="B169" t="str">
        <f>Texte!A5092</f>
        <v>Sprossenproduktion</v>
      </c>
      <c r="C169" s="2">
        <f>IF(Allg!Erntejahr&gt;=$E$144,E169,F169)</f>
        <v>1.077</v>
      </c>
      <c r="E169" s="2">
        <v>1.077</v>
      </c>
      <c r="F169" s="2">
        <v>1</v>
      </c>
    </row>
    <row r="170" spans="2:10" ht="12.75">
      <c r="B170" t="str">
        <f>Texte!A5093</f>
        <v>Produzierender Gartenbau</v>
      </c>
      <c r="C170" s="2">
        <f>IF(Allg!Erntejahr&gt;=$E$144,E170,F170)</f>
        <v>2.585</v>
      </c>
      <c r="E170" s="2">
        <v>2.585</v>
      </c>
      <c r="F170" s="2">
        <v>2.4</v>
      </c>
    </row>
    <row r="171" spans="2:10" ht="12.75">
      <c r="B171" t="str">
        <f>Texte!A5094</f>
        <v>Selbstprodroduzierte landwirtschaftliche Erzeugnisse</v>
      </c>
      <c r="C171" s="2">
        <f>IF(Allg!Erntejahr&gt;=$E$144,E171,F171)</f>
        <v>5.0000000000000004E-6</v>
      </c>
      <c r="E171" s="2">
        <f>0.05/10000</f>
        <v>5.0000000000000004E-6</v>
      </c>
      <c r="F171" s="2">
        <v>4.0000000000000002E-4</v>
      </c>
    </row>
    <row r="172" spans="2:10" ht="12.75">
      <c r="B172" t="str">
        <f>Texte!A5095</f>
        <v>Landwirtschaftsnahe Tätigkeiten</v>
      </c>
      <c r="C172" s="2">
        <f>IF(Allg!Erntejahr&gt;=$E$144,E172,F172)</f>
        <v>5.0000000000000004E-6</v>
      </c>
      <c r="E172" s="2">
        <f>0.05/10000</f>
        <v>5.0000000000000004E-6</v>
      </c>
      <c r="F172" s="2">
        <v>0</v>
      </c>
    </row>
    <row r="175" spans="2:10" ht="12.75">
      <c r="B175" s="718" t="str">
        <f>LEFT(Texte!A3737,LEN(Texte!A3737)-1)</f>
        <v>Milchkühe, Ø Milchmenge</v>
      </c>
      <c r="C175" s="2">
        <f>IF(Tierb!MilchMenge = "",MilkQuantityStandard,Tierb!MilchMenge)</f>
        <v>7500</v>
      </c>
      <c r="D175" s="718" t="str">
        <f xml:space="preserve"> Texte!$A$3728</f>
        <v>dt pro Jahr oder kg pro Jahr</v>
      </c>
      <c r="E175" s="1430" t="s">
        <v>4887</v>
      </c>
      <c r="F175" s="2" t="str">
        <f>Texte!$A$3727</f>
        <v>Korr. nach Leistung</v>
      </c>
      <c r="G175" s="2">
        <v>100</v>
      </c>
      <c r="H175" s="1006" t="str">
        <f>Texte!$A$703</f>
        <v>Faktor GF-Verzehr quadratisch</v>
      </c>
      <c r="I175" s="2" t="s">
        <v>4885</v>
      </c>
      <c r="J175" s="718" t="s">
        <v>4886</v>
      </c>
    </row>
    <row r="176" spans="2:10" ht="12.75">
      <c r="B176" s="2169" t="s">
        <v>7733</v>
      </c>
      <c r="C176" s="2">
        <v>7500</v>
      </c>
      <c r="D176">
        <v>56</v>
      </c>
      <c r="E176">
        <f t="shared" ref="E176:E181" si="15" xml:space="preserve"> (1 + G176 * 1000 / $G$175) *D176</f>
        <v>134.4</v>
      </c>
      <c r="F176" s="2">
        <f>ROUND(D176+I176,10)</f>
        <v>56</v>
      </c>
      <c r="G176" s="2">
        <v>0.14000000000000001</v>
      </c>
      <c r="H176" s="1774">
        <v>3.0000000000000001E-3</v>
      </c>
      <c r="I176" s="2189">
        <f xml:space="preserve"> (G176*MilkQuantityDiff/$G$175)-H176*(MilkQuantityDiff/$G$175)*(MilkQuantityDiff/$G$175)</f>
        <v>0</v>
      </c>
      <c r="J176">
        <f t="shared" ref="J176:J181" si="16">ROUND(E176*$C$177/1000,1)</f>
        <v>0</v>
      </c>
    </row>
    <row r="177" spans="2:10" ht="12.75">
      <c r="B177" s="2169" t="s">
        <v>7769</v>
      </c>
      <c r="C177" s="2">
        <f>C175-MilkQuantityStandard</f>
        <v>0</v>
      </c>
      <c r="D177">
        <v>112</v>
      </c>
      <c r="E177">
        <f t="shared" si="15"/>
        <v>117.60000000000001</v>
      </c>
      <c r="F177" s="2">
        <f>F178/D_Tierb!factNgesMiKu</f>
        <v>112</v>
      </c>
      <c r="G177" s="2">
        <f>0.05/1000*$G$175</f>
        <v>5.0000000000000001E-3</v>
      </c>
      <c r="I177" s="2">
        <f xml:space="preserve"> ROUND(G177*D177,2) * ($C$177) / $G$175</f>
        <v>0</v>
      </c>
      <c r="J177">
        <f t="shared" si="16"/>
        <v>0</v>
      </c>
    </row>
    <row r="178" spans="2:10" ht="12.75">
      <c r="B178" s="2169" t="str">
        <f>Texte!A2133 &amp; " " &amp; Texte!A2134</f>
        <v>Kraftfutter Standard, dt</v>
      </c>
      <c r="C178">
        <f>(-80+0.025*$C$175)*MAX(Tierb!MiKuh,1)*$C$175/1000/100</f>
        <v>8.0625</v>
      </c>
      <c r="D178">
        <v>95.2</v>
      </c>
      <c r="E178">
        <f t="shared" si="15"/>
        <v>99.960000000000008</v>
      </c>
      <c r="F178" s="2189">
        <f>ROUND((I178+D178)*D_Tierb!factNgesMiKu/D_Tierb!factNgesNormal,10)</f>
        <v>95.2</v>
      </c>
      <c r="G178" s="2">
        <f>0.05/1000*$G$175</f>
        <v>5.0000000000000001E-3</v>
      </c>
      <c r="I178" s="2">
        <f xml:space="preserve"> ROUND(G178*D178,2) * ($C$177) / $G$175</f>
        <v>0</v>
      </c>
      <c r="J178">
        <f t="shared" si="16"/>
        <v>0</v>
      </c>
    </row>
    <row r="179" spans="2:10" ht="12.75">
      <c r="B179" s="2169" t="str">
        <f>Texte!A2133 &amp; " " &amp; B212 &amp; ", kg"</f>
        <v>Kraftfutter SB1, kg</v>
      </c>
      <c r="C179">
        <f>IF(Tierb!MiKuh,'SB1'!KraftfutterMiKu/Tierb!MiKuh*100,0)</f>
        <v>0</v>
      </c>
      <c r="D179">
        <v>39</v>
      </c>
      <c r="E179">
        <f t="shared" si="15"/>
        <v>41.730000000000004</v>
      </c>
      <c r="F179" s="2">
        <f>ROUND(D179+I179,10)</f>
        <v>39</v>
      </c>
      <c r="G179" s="2">
        <f>0.07/1000*$G$175</f>
        <v>7.000000000000001E-3</v>
      </c>
      <c r="I179" s="2">
        <f xml:space="preserve"> ROUND(G179*D179,2) * ($C$177) / $G$175</f>
        <v>0</v>
      </c>
      <c r="J179">
        <f t="shared" si="16"/>
        <v>0</v>
      </c>
    </row>
    <row r="180" spans="2:10" ht="12.75">
      <c r="B180" s="2169" t="str">
        <f>Texte!A2133 &amp; " " &amp; B213 &amp; ", kg"</f>
        <v>Kraftfutter GMF, kg</v>
      </c>
      <c r="C180">
        <f>IF(Tierb!MiKuh,GMF!KraftfutterMiKu/Tierb!MiKuh*100,0)</f>
        <v>0</v>
      </c>
      <c r="D180">
        <v>172</v>
      </c>
      <c r="E180">
        <f t="shared" si="15"/>
        <v>177.16</v>
      </c>
      <c r="F180" s="2">
        <f>ROUND(D180+I180,2)</f>
        <v>172</v>
      </c>
      <c r="G180" s="2">
        <f>0.03/1000*$G$175</f>
        <v>2.9999999999999996E-3</v>
      </c>
      <c r="I180" s="2">
        <f xml:space="preserve"> ROUND(G180*D180,2) * ($C$177) / $G$175</f>
        <v>0</v>
      </c>
      <c r="J180">
        <f t="shared" si="16"/>
        <v>0</v>
      </c>
    </row>
    <row r="181" spans="2:10" ht="12.75">
      <c r="B181" s="2169" t="str">
        <f>Texte!A2133 &amp; " Corr"</f>
        <v>Kraftfutter Corr</v>
      </c>
      <c r="C181">
        <f>((-80+0.025*$C$175)*$C$175/1000-MAX(IFERROR(C179,0),IFERROR(C180,0)))*0.012</f>
        <v>9.6750000000000007</v>
      </c>
      <c r="D181">
        <v>14</v>
      </c>
      <c r="E181">
        <f t="shared" si="15"/>
        <v>14.98</v>
      </c>
      <c r="F181" s="2">
        <f>ROUND(D181+I181,2)</f>
        <v>14</v>
      </c>
      <c r="G181" s="2">
        <f>0.07/1000*$G$175</f>
        <v>7.000000000000001E-3</v>
      </c>
      <c r="I181" s="2">
        <f xml:space="preserve"> ROUND(G181*D181,2) * ($C$177) / $G$175</f>
        <v>0</v>
      </c>
      <c r="J181">
        <f t="shared" si="16"/>
        <v>0</v>
      </c>
    </row>
    <row r="182" spans="2:10" ht="12.75">
      <c r="B182" s="2169"/>
      <c r="F182" s="2"/>
      <c r="G182" s="2"/>
      <c r="I182" s="2"/>
    </row>
    <row r="183" spans="2:10" ht="12.2" customHeight="1">
      <c r="B183" s="718" t="str">
        <f>Texte!A1298 &amp; "-" &amp; Texte!A1299</f>
        <v>DGVE-Faktor</v>
      </c>
      <c r="C183" s="2">
        <f>IF(C175&lt;MilkQuantityStandard,1-((MilkQuantityStandard-C175)*0.005)/100,1-((MilkQuantityStandard-C175)*0.005)/100)</f>
        <v>1</v>
      </c>
    </row>
    <row r="184" spans="2:10" ht="12.2" customHeight="1">
      <c r="B184" s="718"/>
      <c r="C184" s="2"/>
    </row>
    <row r="185" spans="2:10" ht="12.75">
      <c r="B185" s="718" t="str">
        <f>LEFT(Texte!A3765,LEN(Texte!A3765)-1)</f>
        <v>Milchschafe, Ø Milchmenge</v>
      </c>
      <c r="C185" s="2">
        <f>IF(Tierb!MilkQuantSheep= "",MilkQuantSheepStand,Tierb!MilkQuantSheep)</f>
        <v>450</v>
      </c>
      <c r="D185" s="718" t="str">
        <f xml:space="preserve"> Texte!$A$3728</f>
        <v>dt pro Jahr oder kg pro Jahr</v>
      </c>
      <c r="E185" s="3357" t="s">
        <v>12162</v>
      </c>
      <c r="F185" s="2" t="str">
        <f>Texte!$A$3727</f>
        <v>Korr. nach Leistung</v>
      </c>
      <c r="G185" s="2">
        <v>25</v>
      </c>
      <c r="H185" s="1006"/>
      <c r="I185" s="2" t="s">
        <v>4885</v>
      </c>
      <c r="J185" s="718"/>
    </row>
    <row r="186" spans="2:10" ht="12.75">
      <c r="B186" s="2169" t="s">
        <v>7733</v>
      </c>
      <c r="C186" s="2">
        <v>500</v>
      </c>
      <c r="D186">
        <v>9.3000000000000007</v>
      </c>
      <c r="F186" s="2">
        <f t="shared" ref="F186:F191" si="17">ROUND(D186+I186,10)</f>
        <v>8.9</v>
      </c>
      <c r="G186" s="3358">
        <v>0.2</v>
      </c>
      <c r="H186" s="1774"/>
      <c r="I186" s="2189">
        <f t="shared" ref="I186:I191" si="18">G186*MilkQuantSheepDiff/$G$185</f>
        <v>-0.4</v>
      </c>
    </row>
    <row r="187" spans="2:10" ht="12.75">
      <c r="B187" s="2169" t="s">
        <v>7769</v>
      </c>
      <c r="C187" s="2">
        <f>MilkQuantSheep-MilkQuantSheepStand</f>
        <v>-50</v>
      </c>
      <c r="D187">
        <v>16.100000000000001</v>
      </c>
      <c r="F187" s="2">
        <f t="shared" si="17"/>
        <v>14.94</v>
      </c>
      <c r="G187" s="3358">
        <v>0.57999999999999996</v>
      </c>
      <c r="I187" s="2">
        <f t="shared" si="18"/>
        <v>-1.1599999999999999</v>
      </c>
    </row>
    <row r="188" spans="2:10" ht="12.75">
      <c r="B188" s="2169"/>
      <c r="D188">
        <v>13.66</v>
      </c>
      <c r="F188" s="2">
        <f t="shared" si="17"/>
        <v>12.66</v>
      </c>
      <c r="G188" s="3358">
        <v>0.5</v>
      </c>
      <c r="I188" s="2">
        <f t="shared" si="18"/>
        <v>-1</v>
      </c>
    </row>
    <row r="189" spans="2:10" ht="12.75">
      <c r="B189" s="2169"/>
      <c r="D189">
        <v>6.6</v>
      </c>
      <c r="F189" s="2">
        <f t="shared" si="17"/>
        <v>6.28</v>
      </c>
      <c r="G189" s="3358">
        <v>0.16</v>
      </c>
      <c r="I189" s="2">
        <f t="shared" si="18"/>
        <v>-0.32</v>
      </c>
    </row>
    <row r="190" spans="2:10" ht="12.75">
      <c r="B190" s="2169"/>
      <c r="D190">
        <v>28.1</v>
      </c>
      <c r="F190" s="2">
        <f t="shared" si="17"/>
        <v>26.44</v>
      </c>
      <c r="G190" s="3358">
        <v>0.83</v>
      </c>
      <c r="I190" s="2">
        <f t="shared" si="18"/>
        <v>-1.66</v>
      </c>
    </row>
    <row r="191" spans="2:10" ht="12.75">
      <c r="B191" s="2169"/>
      <c r="D191">
        <v>1.6</v>
      </c>
      <c r="F191" s="2">
        <f t="shared" si="17"/>
        <v>1.48</v>
      </c>
      <c r="G191" s="3358">
        <v>0.06</v>
      </c>
      <c r="I191" s="2">
        <f t="shared" si="18"/>
        <v>-0.12</v>
      </c>
    </row>
    <row r="192" spans="2:10" ht="12.75">
      <c r="B192" s="2169"/>
      <c r="F192" s="2"/>
      <c r="G192" s="2"/>
      <c r="I192" s="2"/>
    </row>
    <row r="193" spans="1:13" ht="12.2" customHeight="1">
      <c r="B193" s="718" t="str">
        <f>Texte!A1298 &amp; "-" &amp; Texte!A1299</f>
        <v>DGVE-Faktor</v>
      </c>
      <c r="C193" s="2">
        <f>IF(MilkQuantSheep&lt;MilkQuantSheepStand,1-((MilkQuantSheepStand-MilkQuantSheep)*0.005)/100,1-((MilkQuantSheepStand-MilkQuantSheep)*0.005)/100)</f>
        <v>0.99750000000000005</v>
      </c>
    </row>
    <row r="194" spans="1:13" ht="12.2" customHeight="1">
      <c r="B194" s="718"/>
      <c r="C194" s="2"/>
    </row>
    <row r="195" spans="1:13" ht="12.75">
      <c r="B195" s="718" t="str">
        <f>LEFT(Texte!A3769,LEN(Texte!A3769)-1)</f>
        <v>Milchziegen, Ø Milchmenge</v>
      </c>
      <c r="C195" s="2">
        <f>IF(Tierb!MilkQuantGoat= "",MilkQuantGoatStand,Tierb!MilkQuantGoat)</f>
        <v>550</v>
      </c>
      <c r="D195" s="718" t="str">
        <f xml:space="preserve"> Texte!$A$3728</f>
        <v>dt pro Jahr oder kg pro Jahr</v>
      </c>
      <c r="E195" s="3357" t="s">
        <v>12162</v>
      </c>
      <c r="F195" s="2" t="str">
        <f>Texte!$A$3727</f>
        <v>Korr. nach Leistung</v>
      </c>
      <c r="G195" s="2">
        <v>25</v>
      </c>
      <c r="H195" s="1006"/>
      <c r="I195" s="2" t="s">
        <v>4885</v>
      </c>
      <c r="J195" s="718"/>
    </row>
    <row r="196" spans="1:13" ht="12.75">
      <c r="B196" s="2169" t="s">
        <v>7733</v>
      </c>
      <c r="C196" s="2">
        <v>550</v>
      </c>
      <c r="D196">
        <v>6.2</v>
      </c>
      <c r="F196" s="2">
        <f t="shared" ref="F196:F201" si="19">ROUND(D196+I196,10)</f>
        <v>6.2</v>
      </c>
      <c r="G196" s="3358">
        <v>0.03</v>
      </c>
      <c r="H196" s="1774"/>
      <c r="I196" s="2189">
        <f t="shared" ref="I196:I201" si="20">G196*MIlkQuantGoatDiff/$G$195</f>
        <v>0</v>
      </c>
    </row>
    <row r="197" spans="1:13" ht="12.75">
      <c r="B197" s="2169" t="s">
        <v>7769</v>
      </c>
      <c r="C197" s="2">
        <f>MilkQuantGoat-MilkQuantGoatStand</f>
        <v>0</v>
      </c>
      <c r="D197">
        <v>9.3000000000000007</v>
      </c>
      <c r="F197" s="2">
        <f t="shared" si="19"/>
        <v>9.3000000000000007</v>
      </c>
      <c r="G197" s="3358">
        <v>0.1</v>
      </c>
      <c r="I197" s="2">
        <f t="shared" si="20"/>
        <v>0</v>
      </c>
    </row>
    <row r="198" spans="1:13" ht="12.75">
      <c r="B198" s="2169"/>
      <c r="D198">
        <v>7.87</v>
      </c>
      <c r="F198" s="2">
        <f t="shared" si="19"/>
        <v>7.87</v>
      </c>
      <c r="G198" s="3358">
        <v>0.09</v>
      </c>
      <c r="I198" s="2">
        <f t="shared" si="20"/>
        <v>0</v>
      </c>
    </row>
    <row r="199" spans="1:13" ht="12.75">
      <c r="B199" s="2169"/>
      <c r="D199">
        <v>3.6</v>
      </c>
      <c r="F199" s="2">
        <f t="shared" si="19"/>
        <v>3.6</v>
      </c>
      <c r="G199" s="3358">
        <v>0.03</v>
      </c>
      <c r="I199" s="2">
        <f t="shared" si="20"/>
        <v>0</v>
      </c>
    </row>
    <row r="200" spans="1:13" ht="12.75">
      <c r="B200" s="2169"/>
      <c r="D200">
        <v>15.7</v>
      </c>
      <c r="F200" s="2">
        <f t="shared" si="19"/>
        <v>15.7</v>
      </c>
      <c r="G200" s="3358">
        <v>0.13</v>
      </c>
      <c r="I200" s="2">
        <f t="shared" si="20"/>
        <v>0</v>
      </c>
    </row>
    <row r="201" spans="1:13" ht="12.75">
      <c r="B201" s="2169"/>
      <c r="D201">
        <v>0.9</v>
      </c>
      <c r="F201" s="2">
        <f t="shared" si="19"/>
        <v>0.9</v>
      </c>
      <c r="G201" s="3358">
        <v>0.02</v>
      </c>
      <c r="I201" s="2">
        <f t="shared" si="20"/>
        <v>0</v>
      </c>
    </row>
    <row r="202" spans="1:13" ht="12.75">
      <c r="B202" s="2169"/>
      <c r="F202" s="2"/>
      <c r="G202" s="2"/>
      <c r="I202" s="2"/>
    </row>
    <row r="203" spans="1:13" ht="12.2" customHeight="1">
      <c r="B203" s="718" t="str">
        <f>Texte!A1298 &amp; "-" &amp; Texte!A1299</f>
        <v>DGVE-Faktor</v>
      </c>
      <c r="C203" s="2">
        <f>IF(MilkQuantGoat&lt;MilkQuantGoatStand,1-((MilkQuantGoatStand-MilkQuantGoat)*0.005)/100,1-((MilkQuantGoatStand-MilkQuantGoat)*0.005)/100)</f>
        <v>1</v>
      </c>
    </row>
    <row r="204" spans="1:13" ht="12.2" customHeight="1">
      <c r="B204" s="718"/>
      <c r="C204" s="2"/>
    </row>
    <row r="205" spans="1:13" ht="12.75">
      <c r="B205" s="718"/>
      <c r="C205" s="2"/>
    </row>
    <row r="206" spans="1:13" ht="12.75">
      <c r="A206" s="1006"/>
      <c r="B206" s="2169" t="str">
        <f>Texte!$A704</f>
        <v>Rindviehmast, über 160-tägig</v>
      </c>
      <c r="C206" s="2169" t="str">
        <f>Texte!$A$705</f>
        <v>TZW in g</v>
      </c>
      <c r="D206" s="2169" t="str">
        <f>Texte!$A$706</f>
        <v>Ausstall-LG in kg</v>
      </c>
      <c r="E206" s="2169" t="str">
        <f>Texte!$A$713</f>
        <v>Korrektur Ausstall-LG</v>
      </c>
      <c r="F206" s="2169" t="str">
        <f>Texte!$A$712</f>
        <v>Korrektur Zuwachs</v>
      </c>
      <c r="G206" s="2169"/>
      <c r="H206" s="1006"/>
      <c r="I206" s="2186" t="str">
        <f>Texte!$A$714</f>
        <v>Grundfutterverzehr</v>
      </c>
      <c r="J206" s="2186" t="str">
        <f>Texte!$A$716</f>
        <v>Nährstoffanfall in kg pro Platz</v>
      </c>
    </row>
    <row r="207" spans="1:13" ht="15.75">
      <c r="A207" s="1006"/>
      <c r="B207" s="2169" t="str">
        <f>Texte!$A707</f>
        <v>Betriebsspezifisch</v>
      </c>
      <c r="C207" s="1006">
        <f>MAX(IFERROR(C212,0),IFERROR(C213,0),C209)</f>
        <v>850</v>
      </c>
      <c r="D207" s="1006">
        <f>MAX(IFERROR(D212,0),IFERROR(D213,0),D209)</f>
        <v>400</v>
      </c>
      <c r="E207" s="1006"/>
      <c r="F207" s="1006"/>
      <c r="G207" s="2184"/>
      <c r="H207" s="1006"/>
      <c r="I207" s="2169" t="str">
        <f>Texte!$A$715</f>
        <v>in dt TS pro Jahr pro Platz</v>
      </c>
      <c r="J207" s="2186" t="s">
        <v>1511</v>
      </c>
      <c r="K207" s="2186" t="s">
        <v>2112</v>
      </c>
      <c r="L207" s="2186" t="s">
        <v>1548</v>
      </c>
      <c r="M207" s="2186" t="s">
        <v>7031</v>
      </c>
    </row>
    <row r="208" spans="1:13" s="1006" customFormat="1" ht="12.75">
      <c r="B208" s="2169" t="str">
        <f>Texte!$A708</f>
        <v>Standard</v>
      </c>
      <c r="C208" s="1006">
        <v>1400</v>
      </c>
      <c r="D208" s="1006">
        <v>530</v>
      </c>
      <c r="H208" s="2185" t="str">
        <f>Texte!$A717</f>
        <v>Rindviehmast über 160-tägig, Standard</v>
      </c>
      <c r="I208" s="2167">
        <v>21</v>
      </c>
      <c r="J208" s="2167">
        <v>44.6</v>
      </c>
      <c r="K208" s="2167">
        <v>13.4</v>
      </c>
      <c r="L208" s="2167">
        <v>36.200000000000003</v>
      </c>
      <c r="M208" s="2167">
        <v>5.8</v>
      </c>
    </row>
    <row r="209" spans="1:13" s="1006" customFormat="1" ht="12.75">
      <c r="B209" s="2169" t="str">
        <f>Texte!$A709</f>
        <v>Min</v>
      </c>
      <c r="C209" s="1006">
        <v>850</v>
      </c>
      <c r="D209" s="1006">
        <v>400</v>
      </c>
      <c r="H209" s="2185" t="str">
        <f>Texte!$A718</f>
        <v>Korr. Zuwachs, je 100 g pro Tag mehr als 1400 g pro Tag</v>
      </c>
      <c r="I209" s="2167">
        <v>-0.43</v>
      </c>
      <c r="J209" s="2167">
        <v>1.76</v>
      </c>
      <c r="K209" s="2167">
        <v>0.66</v>
      </c>
      <c r="L209" s="2167">
        <v>0.1</v>
      </c>
      <c r="M209" s="2167">
        <v>0.42</v>
      </c>
    </row>
    <row r="210" spans="1:13" s="1006" customFormat="1" ht="12.75">
      <c r="B210" s="2169" t="str">
        <f>Texte!$A710</f>
        <v>Max</v>
      </c>
      <c r="C210" s="1006">
        <v>1500</v>
      </c>
      <c r="D210" s="1006">
        <v>580</v>
      </c>
      <c r="H210" s="2185" t="str">
        <f>Texte!$A719</f>
        <v>Korrektur Ausstall-LG, je 20 kg mehr als 530 kg LG</v>
      </c>
      <c r="I210" s="2167">
        <v>0.57999999999999996</v>
      </c>
      <c r="J210" s="2167">
        <v>0.93</v>
      </c>
      <c r="K210" s="2167">
        <v>0.32</v>
      </c>
      <c r="L210" s="2167">
        <v>0.94</v>
      </c>
      <c r="M210" s="2167">
        <v>0.06</v>
      </c>
    </row>
    <row r="211" spans="1:13" s="1006" customFormat="1" ht="12.75">
      <c r="B211" s="2169" t="str">
        <f>Texte!$A711</f>
        <v>Betriebsspezifisch innerhalb MinMax</v>
      </c>
      <c r="C211" s="1006">
        <f>MIN(C207,C210)</f>
        <v>850</v>
      </c>
      <c r="D211" s="1006">
        <f>MIN(D207,D210)</f>
        <v>400</v>
      </c>
      <c r="E211" s="2167">
        <f>(C211-C208)/100</f>
        <v>-5.5</v>
      </c>
      <c r="F211" s="2167">
        <f>(D211-D208)/20</f>
        <v>-6.5</v>
      </c>
      <c r="H211" s="2186" t="str">
        <f>Texte!$A720</f>
        <v>Korrigiert</v>
      </c>
      <c r="I211" s="2186">
        <f>I208+I209*$E211+I210*$F211</f>
        <v>19.594999999999999</v>
      </c>
      <c r="J211" s="2186">
        <f>J208+J209*$E211+J210*$F211</f>
        <v>28.875</v>
      </c>
      <c r="K211" s="2186">
        <f>K208+K209*$E211+K210*$F211</f>
        <v>7.6899999999999995</v>
      </c>
      <c r="L211" s="2186">
        <f>L208+L209*$E211+L210*$F211</f>
        <v>29.540000000000006</v>
      </c>
      <c r="M211" s="2186">
        <f>M208+M209*$E211+M210*$F211</f>
        <v>3.0999999999999996</v>
      </c>
    </row>
    <row r="212" spans="1:13" s="1006" customFormat="1" ht="12.75">
      <c r="A212"/>
      <c r="B212" s="718" t="str">
        <f>Q!J20</f>
        <v>SB1</v>
      </c>
      <c r="C212" s="1006">
        <f>'SB1'!RiMaTZW</f>
        <v>0</v>
      </c>
      <c r="D212">
        <f>'SB1'!RiMaALG</f>
        <v>0</v>
      </c>
      <c r="G212" s="2168"/>
      <c r="H212"/>
      <c r="I212" s="2167"/>
      <c r="J212" s="2167"/>
      <c r="K212"/>
      <c r="L212"/>
      <c r="M212"/>
    </row>
    <row r="213" spans="1:13" s="1006" customFormat="1" ht="12.75">
      <c r="A213"/>
      <c r="B213" s="718" t="str">
        <f>Q!J46</f>
        <v>GMF</v>
      </c>
      <c r="C213" s="1006">
        <f>GMF!RiMaTZW</f>
        <v>0</v>
      </c>
      <c r="D213" s="1006">
        <f>GMF!RiMaALG</f>
        <v>0</v>
      </c>
      <c r="G213" s="2168"/>
      <c r="H213"/>
      <c r="I213" s="2167"/>
      <c r="J213" s="2167"/>
      <c r="K213"/>
      <c r="L213"/>
      <c r="M213"/>
    </row>
    <row r="214" spans="1:13" ht="12.75">
      <c r="B214" s="718"/>
      <c r="C214" s="1006"/>
      <c r="D214" s="1006"/>
      <c r="K214" s="2167"/>
      <c r="L214" s="2167"/>
      <c r="M214" s="2167"/>
    </row>
    <row r="215" spans="1:13" ht="12.75">
      <c r="B215" s="718"/>
      <c r="C215" s="1006"/>
      <c r="D215" s="1006"/>
      <c r="E215" s="2061" t="s">
        <v>7786</v>
      </c>
      <c r="F215">
        <v>0.34</v>
      </c>
      <c r="K215" s="2167"/>
      <c r="L215" s="2167"/>
      <c r="M215" s="2167"/>
    </row>
    <row r="216" spans="1:13" ht="12.75">
      <c r="B216" s="718"/>
      <c r="C216" s="1006"/>
      <c r="D216" s="1006"/>
    </row>
    <row r="217" spans="1:13" ht="12.75">
      <c r="B217" s="718"/>
      <c r="C217" s="1006"/>
      <c r="D217" s="1006"/>
    </row>
    <row r="218" spans="1:13" ht="12.75">
      <c r="B218" s="718"/>
      <c r="C218" s="1006"/>
    </row>
    <row r="219" spans="1:13" ht="12.75">
      <c r="B219" s="182" t="s">
        <v>7312</v>
      </c>
      <c r="H219" s="1006"/>
    </row>
    <row r="220" spans="1:13" ht="12.75">
      <c r="B220" s="182" t="s">
        <v>4649</v>
      </c>
      <c r="C220" s="1185" t="s">
        <v>4650</v>
      </c>
      <c r="D220" s="1185" t="s">
        <v>4651</v>
      </c>
      <c r="E220" s="2002"/>
      <c r="H220" s="1006"/>
    </row>
    <row r="221" spans="1:13" ht="12.75">
      <c r="B221" s="182" t="str">
        <f>Texte!A3736</f>
        <v>Rindvieh</v>
      </c>
      <c r="C221" s="1185" t="str">
        <f>Texte!A389</f>
        <v>Tiere der Rindergattung und Wasserbüffel</v>
      </c>
      <c r="D221" s="182" t="str">
        <f>B221</f>
        <v>Rindvieh</v>
      </c>
      <c r="H221" s="1006"/>
    </row>
    <row r="222" spans="1:13" ht="12.75">
      <c r="B222" t="str">
        <f>Texte!A3737</f>
        <v>Milchkühe, Ø Milchmenge:</v>
      </c>
      <c r="C222" s="1185" t="str">
        <f>Texte!A390</f>
        <v>Milchkühe</v>
      </c>
      <c r="D222" s="1185" t="str">
        <f>Texte!A1458</f>
        <v>Milchkühe</v>
      </c>
      <c r="H222" s="1006"/>
    </row>
    <row r="223" spans="1:13" ht="12.75">
      <c r="B223" t="str">
        <f>Texte!A391</f>
        <v>Galt- oder Ausmastkühe</v>
      </c>
      <c r="C223" t="str">
        <f t="shared" ref="C223:C230" si="21">B223</f>
        <v>Galt- oder Ausmastkühe</v>
      </c>
      <c r="D223" t="str">
        <f>B223</f>
        <v>Galt- oder Ausmastkühe</v>
      </c>
      <c r="H223" s="1006"/>
    </row>
    <row r="224" spans="1:13" ht="12.75">
      <c r="B224" t="str">
        <f>Texte!A3740</f>
        <v>Jungvieh, bis 160-tägig</v>
      </c>
      <c r="C224" t="str">
        <f t="shared" si="21"/>
        <v>Jungvieh, bis 160-tägig</v>
      </c>
      <c r="D224" t="str">
        <f t="shared" ref="D224:D229" si="22">B224</f>
        <v>Jungvieh, bis 160-tägig</v>
      </c>
      <c r="H224" s="1006"/>
    </row>
    <row r="225" spans="2:8" ht="12.75">
      <c r="B225" t="str">
        <f>Texte!A3741</f>
        <v>Jungvieh, 160 bis 365-tägig</v>
      </c>
      <c r="C225" t="str">
        <f t="shared" si="21"/>
        <v>Jungvieh, 160 bis 365-tägig</v>
      </c>
      <c r="D225" t="str">
        <f t="shared" si="22"/>
        <v>Jungvieh, 160 bis 365-tägig</v>
      </c>
      <c r="H225" s="1006"/>
    </row>
    <row r="226" spans="2:8" ht="12.75">
      <c r="B226" t="str">
        <f>Texte!A3742</f>
        <v>Jungvieh, 1 bis 2-jährig</v>
      </c>
      <c r="C226" t="str">
        <f t="shared" si="21"/>
        <v>Jungvieh, 1 bis 2-jährig</v>
      </c>
      <c r="D226" t="str">
        <f t="shared" si="22"/>
        <v>Jungvieh, 1 bis 2-jährig</v>
      </c>
      <c r="H226" s="1006"/>
    </row>
    <row r="227" spans="2:8" ht="12.75">
      <c r="B227" t="str">
        <f>Texte!A3743</f>
        <v>Jungvieh, über 2-jährig</v>
      </c>
      <c r="C227" t="str">
        <f t="shared" si="21"/>
        <v>Jungvieh, über 2-jährig</v>
      </c>
      <c r="D227" t="str">
        <f t="shared" si="22"/>
        <v>Jungvieh, über 2-jährig</v>
      </c>
      <c r="H227" s="1006"/>
    </row>
    <row r="228" spans="2:8" ht="12.75">
      <c r="B228" t="str">
        <f>Texte!A3744</f>
        <v>Stiere, 1 bis 2-jährig</v>
      </c>
      <c r="C228" t="str">
        <f t="shared" si="21"/>
        <v>Stiere, 1 bis 2-jährig</v>
      </c>
      <c r="D228" t="str">
        <f t="shared" si="22"/>
        <v>Stiere, 1 bis 2-jährig</v>
      </c>
      <c r="H228" s="1006"/>
    </row>
    <row r="229" spans="2:8" ht="12.75">
      <c r="B229" t="str">
        <f>Texte!A3745</f>
        <v>Stiere, über 2-jährig</v>
      </c>
      <c r="C229" t="str">
        <f t="shared" si="21"/>
        <v>Stiere, über 2-jährig</v>
      </c>
      <c r="D229" t="str">
        <f t="shared" si="22"/>
        <v>Stiere, über 2-jährig</v>
      </c>
      <c r="H229" s="1006"/>
    </row>
    <row r="230" spans="2:8" ht="12.75">
      <c r="B230" t="str">
        <f>Texte!A3746</f>
        <v>Mutterkühe</v>
      </c>
      <c r="C230" t="str">
        <f t="shared" si="21"/>
        <v>Mutterkühe</v>
      </c>
      <c r="D230" s="1185" t="str">
        <f>IF(D_Tierb!$E$17=1,Texte!A1465,IF(D_Tierb!$E$17=2,Texte!A1466,IF(D_Tierb!$E$17=3,Texte!A1467,C230)))</f>
        <v>Mutterkühe schwer</v>
      </c>
      <c r="H230" s="1006"/>
    </row>
    <row r="231" spans="2:8" ht="12.75">
      <c r="B231" t="str">
        <f>Texte!A3747</f>
        <v>Mutterkuhkälber zur Mast, bis 160-tägig</v>
      </c>
      <c r="C231" t="str">
        <f>B231</f>
        <v>Mutterkuhkälber zur Mast, bis 160-tägig</v>
      </c>
      <c r="D231" t="str">
        <f>C231</f>
        <v>Mutterkuhkälber zur Mast, bis 160-tägig</v>
      </c>
      <c r="E231" s="1185"/>
      <c r="F231" s="1185"/>
      <c r="G231" s="1185"/>
      <c r="H231" s="1006"/>
    </row>
    <row r="232" spans="2:8" ht="12.75">
      <c r="B232" t="str">
        <f>Texte!$A$3748</f>
        <v>Mutterkuhkälber, Mast über 160-tägig</v>
      </c>
      <c r="C232" t="str">
        <f>B232</f>
        <v>Mutterkuhkälber, Mast über 160-tägig</v>
      </c>
      <c r="D232" s="2123" t="str">
        <f>IF(D_Tierb!E19=1,Texte!A1469,IF(D_Tierb!$E$19=2,Texte!A1470,IF(D_Tierb!$E$19=3,Texte!A1471,Texte!A1468)))</f>
        <v>Mutterkuhkälber, über 160 tägig, leicht</v>
      </c>
      <c r="E232" s="1185"/>
      <c r="F232" s="1185"/>
      <c r="G232" s="1185"/>
      <c r="H232" s="1006"/>
    </row>
    <row r="233" spans="2:8" ht="12.75">
      <c r="B233" t="str">
        <f>Texte!$A$3748</f>
        <v>Mutterkuhkälber, Mast über 160-tägig</v>
      </c>
      <c r="C233" t="str">
        <f>B233</f>
        <v>Mutterkuhkälber, Mast über 160-tägig</v>
      </c>
      <c r="D233" s="2123" t="str">
        <f>IF(D_Tierb!E20=1,Texte!A1470,IF(D_Tierb!$E$20=2,Texte!A1470,IF(D_Tierb!$E$20=3,Texte!A1471,Texte!A1468)))</f>
        <v>Mutterkuhkälber, über 160-tägig, mittel</v>
      </c>
      <c r="E233" s="1185"/>
      <c r="F233" s="1185"/>
      <c r="G233" s="1185"/>
      <c r="H233" s="1006"/>
    </row>
    <row r="234" spans="2:8" ht="12.75">
      <c r="B234" t="str">
        <f>Texte!$A$3748</f>
        <v>Mutterkuhkälber, Mast über 160-tägig</v>
      </c>
      <c r="C234" t="str">
        <f>B234</f>
        <v>Mutterkuhkälber, Mast über 160-tägig</v>
      </c>
      <c r="D234" s="2123" t="str">
        <f>IF(D_Tierb!E21=1,Texte!A1471,IF(D_Tierb!E21=2,Texte!A1470,IF(D_Tierb!E21=3,Texte!A1471,Texte!A1468)))</f>
        <v>Mutterkuhkälber, über 160-tägig, schwer</v>
      </c>
      <c r="E234" s="1185"/>
      <c r="F234" s="1185"/>
      <c r="G234" s="1185"/>
      <c r="H234" s="1006"/>
    </row>
    <row r="235" spans="2:8" ht="12.75">
      <c r="B235" t="str">
        <f>Texte!A1472</f>
        <v>Mutterkühe, Jungvieh, 1 bis 2-jährig</v>
      </c>
      <c r="C235" s="1185" t="str">
        <f>Texte!A5412</f>
        <v>Betriebszweig Mutterkühe, Jungvieh, 1 bis 2-jährig</v>
      </c>
      <c r="D235" t="str">
        <f t="shared" ref="D235:D248" si="23">B235</f>
        <v>Mutterkühe, Jungvieh, 1 bis 2-jährig</v>
      </c>
      <c r="E235" s="1185"/>
      <c r="H235" s="1006"/>
    </row>
    <row r="236" spans="2:8" ht="12.75">
      <c r="B236" t="str">
        <f>Texte!A1473</f>
        <v>Mutterkühe, Jungvieh, über  2-jährig</v>
      </c>
      <c r="C236" s="1185" t="str">
        <f>Texte!A5413</f>
        <v>Betriebszweig Mutterkühe, Jungvieh, über  2-jährig</v>
      </c>
      <c r="D236" t="str">
        <f t="shared" si="23"/>
        <v>Mutterkühe, Jungvieh, über  2-jährig</v>
      </c>
      <c r="H236" s="1006"/>
    </row>
    <row r="237" spans="2:8" ht="12.75">
      <c r="B237" t="str">
        <f>Texte!A1474</f>
        <v>Mutterkühe, Stiere, über 2-jährig</v>
      </c>
      <c r="C237" s="1185" t="str">
        <f>Texte!A5414</f>
        <v>Betriebszweig Mutterkühe, Stiere, über 2-jährig</v>
      </c>
      <c r="D237" t="str">
        <f t="shared" si="23"/>
        <v>Mutterkühe, Stiere, über 2-jährig</v>
      </c>
      <c r="H237" s="1006"/>
    </row>
    <row r="238" spans="2:8" ht="12.75">
      <c r="B238" t="str">
        <f>Texte!A3749</f>
        <v>Mastkälber, 60 bis 220 kg</v>
      </c>
      <c r="C238" t="str">
        <f>B238</f>
        <v>Mastkälber, 60 bis 220 kg</v>
      </c>
      <c r="D238" t="str">
        <f t="shared" si="23"/>
        <v>Mastkälber, 60 bis 220 kg</v>
      </c>
      <c r="H238" s="1006"/>
    </row>
    <row r="239" spans="2:8" ht="12.75">
      <c r="B239" t="str">
        <f>Texte!A3750</f>
        <v>Mastkälber, 60 bis 220 kg, pro Jahr</v>
      </c>
      <c r="C239" t="str">
        <f>B239</f>
        <v>Mastkälber, 60 bis 220 kg, pro Jahr</v>
      </c>
      <c r="D239" t="str">
        <f t="shared" si="23"/>
        <v>Mastkälber, 60 bis 220 kg, pro Jahr</v>
      </c>
      <c r="H239" s="1006"/>
    </row>
    <row r="240" spans="2:8">
      <c r="B240" t="str">
        <f>Texte!A3752</f>
        <v>Rindviehmast, bis 160-tägig</v>
      </c>
      <c r="C240" t="str">
        <f>B240</f>
        <v>Rindviehmast, bis 160-tägig</v>
      </c>
      <c r="D240" t="str">
        <f t="shared" si="23"/>
        <v>Rindviehmast, bis 160-tägig</v>
      </c>
    </row>
    <row r="241" spans="2:5">
      <c r="B241" t="str">
        <f>Texte!A3753</f>
        <v>Rindviehmast, über 160-tägig</v>
      </c>
      <c r="C241" t="str">
        <f>B241</f>
        <v>Rindviehmast, über 160-tägig</v>
      </c>
      <c r="D241" t="str">
        <f t="shared" si="23"/>
        <v>Rindviehmast, über 160-tägig</v>
      </c>
    </row>
    <row r="242" spans="2:5">
      <c r="B242" t="str">
        <f>Texte!A3754</f>
        <v>Rindviehmast, Weidemast, über 4 Monate</v>
      </c>
      <c r="C242" t="str">
        <f>B242</f>
        <v>Rindviehmast, Weidemast, über 4 Monate</v>
      </c>
      <c r="D242" t="str">
        <f t="shared" si="23"/>
        <v>Rindviehmast, Weidemast, über 4 Monate</v>
      </c>
    </row>
    <row r="243" spans="2:5" ht="12.75">
      <c r="B243" t="str">
        <f>IF(Tierb!C30 = "", "",Tierb!C30)</f>
        <v/>
      </c>
      <c r="C243" s="1185" t="str">
        <f>Texte!A399</f>
        <v>Anderes:</v>
      </c>
      <c r="D243" t="str">
        <f t="shared" si="23"/>
        <v/>
      </c>
    </row>
    <row r="244" spans="2:5" ht="12.75">
      <c r="B244" t="str">
        <f>IF(Tierb!C31 = "", "",Tierb!C31)</f>
        <v/>
      </c>
      <c r="C244" s="1185" t="str">
        <f>Texte!A399</f>
        <v>Anderes:</v>
      </c>
      <c r="D244" t="str">
        <f t="shared" si="23"/>
        <v/>
      </c>
    </row>
    <row r="245" spans="2:5" ht="12.75">
      <c r="B245" t="str">
        <f>Texte!A3756</f>
        <v>Mastkälber aus Import/Export Bilanz</v>
      </c>
      <c r="C245" s="1185"/>
    </row>
    <row r="246" spans="2:5">
      <c r="B246" s="182" t="str">
        <f>Texte!A3757</f>
        <v>Tiere der Pferdegattung (Equiden)</v>
      </c>
      <c r="C246" s="182" t="str">
        <f>B246</f>
        <v>Tiere der Pferdegattung (Equiden)</v>
      </c>
      <c r="D246" s="182" t="str">
        <f t="shared" si="23"/>
        <v>Tiere der Pferdegattung (Equiden)</v>
      </c>
    </row>
    <row r="247" spans="2:5" ht="12.75">
      <c r="B247" t="str">
        <f>Texte!A3758</f>
        <v>Pferde &gt; 148 cm, über 180-tägig</v>
      </c>
      <c r="C247" s="1185" t="str">
        <f>Texte!A393</f>
        <v>Equiden &gt; 148 cm, über 900-tägig</v>
      </c>
      <c r="D247" t="str">
        <f t="shared" si="23"/>
        <v>Pferde &gt; 148 cm, über 180-tägig</v>
      </c>
    </row>
    <row r="248" spans="2:5" ht="12.75">
      <c r="B248" t="str">
        <f>Texte!A3759</f>
        <v>Pferde &gt; 148 cm, bis 180-tägig</v>
      </c>
      <c r="C248" s="1185" t="str">
        <f>Texte!A394</f>
        <v>Equiden &gt; 148 cm, 180-900-tägig</v>
      </c>
      <c r="D248" t="str">
        <f t="shared" si="23"/>
        <v>Pferde &gt; 148 cm, bis 180-tägig</v>
      </c>
    </row>
    <row r="249" spans="2:5" ht="12.75">
      <c r="B249" t="str">
        <f>Texte!A3760</f>
        <v>Maultiere, Maulesel, über 180-tägig, unabh. von Widerristhöhe</v>
      </c>
      <c r="C249" s="1185" t="str">
        <f>Texte!A395</f>
        <v>Equiden &gt; 148 cm, bis 180-tägig</v>
      </c>
      <c r="D249" s="1185" t="str">
        <f>Texte!A1485</f>
        <v>Maultiere, Maulesel, über 180-tägig</v>
      </c>
    </row>
    <row r="250" spans="2:5" ht="12.75">
      <c r="B250" t="str">
        <f>Texte!A3761</f>
        <v>Maultiere, Maulesel, bis 180-tägig, unabh. von Widerristhöhe</v>
      </c>
      <c r="C250" s="1185" t="str">
        <f>Texte!A396</f>
        <v>Equiden &lt;= 148 cm, über 900-tägig</v>
      </c>
      <c r="D250" s="1185" t="str">
        <f>Texte!A1486</f>
        <v>Maultiere, Maulesel, bis 180-tägig</v>
      </c>
    </row>
    <row r="251" spans="2:5" ht="12.75">
      <c r="B251" t="str">
        <f>Texte!A3762</f>
        <v>Ponys, Kleinpferde, Esel, jeden Alters, bis 148 cm</v>
      </c>
      <c r="C251" s="1185" t="str">
        <f>Texte!A397</f>
        <v>Equiden &lt;= 148 cm, 180-900-tägig</v>
      </c>
      <c r="D251" s="1185" t="str">
        <f>Texte!A1487</f>
        <v>Ponys, Kleinpferde, Esel, bis 148 cm</v>
      </c>
    </row>
    <row r="252" spans="2:5" ht="12.75">
      <c r="B252" t="str">
        <f>IF(Tierb!C38 = "", "",Tierb!C38)</f>
        <v/>
      </c>
      <c r="C252" s="1185" t="str">
        <f>Texte!A398</f>
        <v>Equiden &lt;= 148 cm, bis 180-tägig</v>
      </c>
      <c r="D252" s="1185"/>
    </row>
    <row r="253" spans="2:5">
      <c r="B253" s="182" t="str">
        <f>Texte!A3764</f>
        <v>Kleine Wiederkäuer</v>
      </c>
      <c r="C253" s="182" t="str">
        <f>B253</f>
        <v>Kleine Wiederkäuer</v>
      </c>
      <c r="D253" s="182" t="str">
        <f>B253</f>
        <v>Kleine Wiederkäuer</v>
      </c>
    </row>
    <row r="254" spans="2:5" ht="12.75">
      <c r="B254" t="str">
        <f>Texte!A3765</f>
        <v>Milchschafe, Ø Milchmenge:</v>
      </c>
      <c r="C254" s="2291" t="str">
        <f>Texte!A400</f>
        <v>Milchschafe</v>
      </c>
      <c r="D254" t="str">
        <f>C254</f>
        <v>Milchschafe</v>
      </c>
      <c r="E254" s="1185" t="str">
        <f>Texte!A1490</f>
        <v>Milchschafe (inkl.Jungtiere)</v>
      </c>
    </row>
    <row r="255" spans="2:5" ht="12.75">
      <c r="B255" t="str">
        <f>Texte!A3766</f>
        <v>Andere Schafe, über 365-tägig</v>
      </c>
      <c r="C255" t="str">
        <f>B255</f>
        <v>Andere Schafe, über 365-tägig</v>
      </c>
      <c r="D255" t="str">
        <f t="shared" ref="D255:D262" si="24">C255</f>
        <v>Andere Schafe, über 365-tägig</v>
      </c>
      <c r="E255" s="1185" t="str">
        <f>Texte!A1489</f>
        <v>Mutterschafe (inkl.Jungtiere)</v>
      </c>
    </row>
    <row r="256" spans="2:5">
      <c r="B256" t="str">
        <f>Texte!A3767</f>
        <v>Jungschafe, über 180 bis 365-tägig</v>
      </c>
      <c r="C256" t="str">
        <f>B256</f>
        <v>Jungschafe, über 180 bis 365-tägig</v>
      </c>
      <c r="D256" t="str">
        <f t="shared" si="24"/>
        <v>Jungschafe, über 180 bis 365-tägig</v>
      </c>
    </row>
    <row r="257" spans="2:5" ht="12.75">
      <c r="B257" t="str">
        <f>Texte!A3768</f>
        <v>Lämmer, bis 180-tägig</v>
      </c>
      <c r="C257" t="str">
        <f>B257</f>
        <v>Lämmer, bis 180-tägig</v>
      </c>
      <c r="D257" t="str">
        <f t="shared" si="24"/>
        <v>Lämmer, bis 180-tägig</v>
      </c>
      <c r="E257" s="1185"/>
    </row>
    <row r="258" spans="2:5" ht="12.75">
      <c r="B258" t="str">
        <f>Texte!A3769</f>
        <v>Milchziegen, Ø Milchmenge:</v>
      </c>
      <c r="C258" s="2291" t="str">
        <f>Texte!A401</f>
        <v>Milchziegen</v>
      </c>
      <c r="D258" t="str">
        <f t="shared" si="24"/>
        <v>Milchziegen</v>
      </c>
      <c r="E258" s="1185" t="str">
        <f>Texte!A1491</f>
        <v>Milchziegen (inkl.Jungtiere)</v>
      </c>
    </row>
    <row r="259" spans="2:5" ht="12.75">
      <c r="B259" t="str">
        <f>Texte!A3770</f>
        <v>Andere Zeigen, über 365-tägig</v>
      </c>
      <c r="C259" t="str">
        <f>B259</f>
        <v>Andere Zeigen, über 365-tägig</v>
      </c>
      <c r="D259" t="str">
        <f t="shared" si="24"/>
        <v>Andere Zeigen, über 365-tägig</v>
      </c>
      <c r="E259" s="1185" t="str">
        <f>Texte!A1492</f>
        <v>Andere Ziegen über 1-jährig</v>
      </c>
    </row>
    <row r="260" spans="2:5">
      <c r="B260" t="str">
        <f>Texte!A3771</f>
        <v>Jungziegen, über 180 bis 365-tägig</v>
      </c>
      <c r="C260" t="str">
        <f>B260</f>
        <v>Jungziegen, über 180 bis 365-tägig</v>
      </c>
      <c r="D260" t="str">
        <f t="shared" si="24"/>
        <v>Jungziegen, über 180 bis 365-tägig</v>
      </c>
      <c r="E260">
        <f>B263</f>
        <v>0</v>
      </c>
    </row>
    <row r="261" spans="2:5">
      <c r="B261" t="str">
        <f>Texte!A3772</f>
        <v>Zicklein bis 180-tägig, Milchziegenherde</v>
      </c>
      <c r="C261" t="str">
        <f>B261</f>
        <v>Zicklein bis 180-tägig, Milchziegenherde</v>
      </c>
      <c r="D261" t="str">
        <f t="shared" si="24"/>
        <v>Zicklein bis 180-tägig, Milchziegenherde</v>
      </c>
    </row>
    <row r="262" spans="2:5">
      <c r="B262" t="str">
        <f>Texte!A3773</f>
        <v>Zicklein bis 180-tägig, Mutterziegenherde</v>
      </c>
      <c r="C262" t="str">
        <f>B262</f>
        <v>Zicklein bis 180-tägig, Mutterziegenherde</v>
      </c>
      <c r="D262" t="str">
        <f t="shared" si="24"/>
        <v>Zicklein bis 180-tägig, Mutterziegenherde</v>
      </c>
    </row>
    <row r="263" spans="2:5" ht="12.75">
      <c r="C263" s="1185" t="str">
        <f>Texte!A399</f>
        <v>Anderes:</v>
      </c>
    </row>
    <row r="264" spans="2:5">
      <c r="B264" s="182" t="str">
        <f>Texte!A3774</f>
        <v>Weitere raufutterverzehrende Nutztiere</v>
      </c>
      <c r="C264" t="str">
        <f>B264</f>
        <v>Weitere raufutterverzehrende Nutztiere</v>
      </c>
      <c r="D264" t="str">
        <f>B264</f>
        <v>Weitere raufutterverzehrende Nutztiere</v>
      </c>
    </row>
    <row r="265" spans="2:5">
      <c r="B265" t="str">
        <f>Texte!A3775</f>
        <v>Bisons über 900-tägig</v>
      </c>
      <c r="C265" t="str">
        <f t="shared" ref="C265:C272" si="25">B265</f>
        <v>Bisons über 900-tägig</v>
      </c>
      <c r="D265" t="str">
        <f>B265</f>
        <v>Bisons über 900-tägig</v>
      </c>
    </row>
    <row r="266" spans="2:5">
      <c r="B266" t="str">
        <f>Texte!A3776</f>
        <v>Bisons bis 900-tägig, Zucht und Mast</v>
      </c>
      <c r="C266" t="str">
        <f t="shared" si="25"/>
        <v>Bisons bis 900-tägig, Zucht und Mast</v>
      </c>
      <c r="D266" t="str">
        <f>B266</f>
        <v>Bisons bis 900-tägig, Zucht und Mast</v>
      </c>
    </row>
    <row r="267" spans="2:5" ht="12.75">
      <c r="B267" t="str">
        <f>Texte!A3777</f>
        <v>Damhirsche, 2 Tiere, Muttertier und Nachwuchs</v>
      </c>
      <c r="C267" t="str">
        <f t="shared" si="25"/>
        <v>Damhirsche, 2 Tiere, Muttertier und Nachwuchs</v>
      </c>
      <c r="D267" s="1185" t="str">
        <f>Texte!A1497</f>
        <v>Damhirsche</v>
      </c>
      <c r="E267" s="1185" t="str">
        <f>Texte!A1496</f>
        <v>Einheit</v>
      </c>
    </row>
    <row r="268" spans="2:5" ht="12.75">
      <c r="B268" t="str">
        <f>Texte!A3778</f>
        <v>Rothirsche, 2 Tiere, Muttertier und Nachwuchs</v>
      </c>
      <c r="C268" t="str">
        <f t="shared" si="25"/>
        <v>Rothirsche, 2 Tiere, Muttertier und Nachwuchs</v>
      </c>
      <c r="D268" s="1185" t="str">
        <f>Texte!A1498</f>
        <v>Rothirsche</v>
      </c>
    </row>
    <row r="269" spans="2:5">
      <c r="B269" t="str">
        <f>Texte!A3779</f>
        <v>Lamas über 2-jährig</v>
      </c>
      <c r="C269" t="str">
        <f>B269</f>
        <v>Lamas über 2-jährig</v>
      </c>
      <c r="D269" t="str">
        <f>B269</f>
        <v>Lamas über 2-jährig</v>
      </c>
    </row>
    <row r="270" spans="2:5">
      <c r="B270" t="str">
        <f>Texte!A3780</f>
        <v>Lamas bis 2-jährig</v>
      </c>
      <c r="C270" t="str">
        <f t="shared" si="25"/>
        <v>Lamas bis 2-jährig</v>
      </c>
      <c r="D270" t="str">
        <f>B270</f>
        <v>Lamas bis 2-jährig</v>
      </c>
    </row>
    <row r="271" spans="2:5">
      <c r="B271" t="str">
        <f>Texte!A3781</f>
        <v>Alpakas über 2-jährig</v>
      </c>
      <c r="C271" t="str">
        <f t="shared" si="25"/>
        <v>Alpakas über 2-jährig</v>
      </c>
      <c r="D271" t="str">
        <f>B271</f>
        <v>Alpakas über 2-jährig</v>
      </c>
    </row>
    <row r="272" spans="2:5">
      <c r="B272" t="str">
        <f>Texte!A3782</f>
        <v>Alpakas bis 2-jährig</v>
      </c>
      <c r="C272" t="str">
        <f t="shared" si="25"/>
        <v>Alpakas bis 2-jährig</v>
      </c>
      <c r="D272" t="str">
        <f>B272</f>
        <v>Alpakas bis 2-jährig</v>
      </c>
    </row>
    <row r="273" spans="2:5" ht="12.75">
      <c r="B273" t="str">
        <f>Texte!A3784</f>
        <v>Kaninchen, Zibben inkl. Jungtiere bis ca. 35-tägig</v>
      </c>
      <c r="C273" t="str">
        <f>B273</f>
        <v>Kaninchen, Zibben inkl. Jungtiere bis ca. 35-tägig</v>
      </c>
      <c r="D273" s="1185" t="str">
        <f>Texte!A1503</f>
        <v>Kaninchen: Zibben inkl. Jungtiere bis 35-t.</v>
      </c>
    </row>
    <row r="274" spans="2:5">
      <c r="B274" t="str">
        <f>Texte!A3785</f>
        <v>Kaninchen, Jungtiere über ca. 35-tägig</v>
      </c>
      <c r="C274" t="str">
        <f>B274</f>
        <v>Kaninchen, Jungtiere über ca. 35-tägig</v>
      </c>
      <c r="D274" t="str">
        <f>B274</f>
        <v>Kaninchen, Jungtiere über ca. 35-tägig</v>
      </c>
    </row>
    <row r="275" spans="2:5">
      <c r="B275" t="str">
        <f>Texte!A3786</f>
        <v>Kaninchen aus Import/Export Bilanz</v>
      </c>
      <c r="C275" s="182" t="str">
        <f>B276</f>
        <v>Schweine</v>
      </c>
      <c r="D275" s="182" t="str">
        <f>B276</f>
        <v>Schweine</v>
      </c>
    </row>
    <row r="276" spans="2:5" ht="12.75">
      <c r="B276" s="182" t="str">
        <f>Texte!A3787</f>
        <v>Schweine</v>
      </c>
      <c r="C276" t="str">
        <f>B277</f>
        <v>Zuchtschweine inkl. Ferkel bis 26 kg LG</v>
      </c>
      <c r="D276" t="str">
        <f>B277</f>
        <v>Zuchtschweine inkl. Ferkel bis 26 kg LG</v>
      </c>
      <c r="E276" s="1185" t="str">
        <f>Texte!A1506</f>
        <v>Zuchtschweine als kombinierte Einheit erfassen</v>
      </c>
    </row>
    <row r="277" spans="2:5" ht="12.75">
      <c r="B277" t="str">
        <f>Texte!A3788</f>
        <v>Zuchtschweine inkl. Ferkel bis 26 kg LG</v>
      </c>
      <c r="C277" s="1185" t="str">
        <f>Texte!A404</f>
        <v xml:space="preserve">Mastschweine, Remonten </v>
      </c>
      <c r="D277" t="str">
        <f>C277</f>
        <v xml:space="preserve">Mastschweine, Remonten </v>
      </c>
      <c r="E277" s="1185" t="str">
        <f>Texte!A1507</f>
        <v>MSP</v>
      </c>
    </row>
    <row r="278" spans="2:5" ht="12.75">
      <c r="B278" t="str">
        <f>Texte!A3790</f>
        <v>Mastschweine, Remonten, 3.32 Umtriebe pro Jahr</v>
      </c>
      <c r="C278" t="str">
        <f>B279</f>
        <v>Zuchteber</v>
      </c>
      <c r="D278" t="str">
        <f>B279</f>
        <v>Zuchteber</v>
      </c>
      <c r="E278" s="1185" t="str">
        <f>Texte!A1508</f>
        <v>Zuchtschweine inkl. Ferkel</v>
      </c>
    </row>
    <row r="279" spans="2:5">
      <c r="B279" t="str">
        <f>Texte!A3791</f>
        <v>Zuchteber</v>
      </c>
      <c r="C279" t="str">
        <f>B280</f>
        <v>Zuchtschweine, säugend</v>
      </c>
      <c r="D279" t="str">
        <f>B280</f>
        <v>Zuchtschweine, säugend</v>
      </c>
    </row>
    <row r="280" spans="2:5">
      <c r="B280" t="str">
        <f>Texte!A3792</f>
        <v>Zuchtschweine, säugend</v>
      </c>
      <c r="C280" t="str">
        <f>B281</f>
        <v>Zuchtsauen über 6 Monate, nicht säugend</v>
      </c>
      <c r="D280" t="str">
        <f>B281</f>
        <v>Zuchtsauen über 6 Monate, nicht säugend</v>
      </c>
    </row>
    <row r="281" spans="2:5" ht="12.75">
      <c r="B281" t="str">
        <f>Texte!A3793</f>
        <v>Zuchtsauen über 6 Monate, nicht säugend</v>
      </c>
      <c r="C281" t="str">
        <f>B282</f>
        <v>Ferkel, abgesetzt, 8 bis 26 kg LG, 9.61 Umtriebe</v>
      </c>
      <c r="D281" s="1185" t="str">
        <f>Texte!A1513</f>
        <v xml:space="preserve">Ferkel abgesetzt </v>
      </c>
    </row>
    <row r="282" spans="2:5" ht="12.75">
      <c r="B282" t="str">
        <f>Texte!A3794</f>
        <v>Ferkel, abgesetzt, 8 bis 26 kg LG, 9.61 Umtriebe</v>
      </c>
      <c r="C282" s="1185" t="str">
        <f>Texte!A399</f>
        <v>Anderes:</v>
      </c>
      <c r="D282" s="1185" t="str">
        <f>B283</f>
        <v/>
      </c>
    </row>
    <row r="283" spans="2:5" ht="12.75">
      <c r="B283" t="str">
        <f>IF(Tierb!C70 = "", "",Tierb!C70)</f>
        <v/>
      </c>
      <c r="C283" s="1185" t="str">
        <f>Texte!A399</f>
        <v>Anderes:</v>
      </c>
      <c r="D283" s="1185" t="str">
        <f>B284</f>
        <v/>
      </c>
    </row>
    <row r="284" spans="2:5" ht="12.75">
      <c r="B284" t="str">
        <f>IF(Tierb!C71 = "", "",Tierb!C71)</f>
        <v/>
      </c>
      <c r="C284" s="1185"/>
      <c r="D284" s="1185"/>
    </row>
    <row r="285" spans="2:5" ht="12.75">
      <c r="B285" t="str">
        <f>Texte!A3795</f>
        <v>Schweine aus Import/Export Bilanz</v>
      </c>
      <c r="C285" s="1185"/>
      <c r="D285" s="1185"/>
    </row>
    <row r="286" spans="2:5" ht="12.75">
      <c r="B286" s="182" t="str">
        <f>Texte!A3796</f>
        <v>Geflügel</v>
      </c>
      <c r="C286" s="182" t="str">
        <f t="shared" ref="C286:C292" si="26">B286</f>
        <v>Geflügel</v>
      </c>
      <c r="D286" s="182" t="str">
        <f>C286</f>
        <v>Geflügel</v>
      </c>
      <c r="E286" s="1185" t="str">
        <f>Texte!A1517</f>
        <v>LHP/MPP</v>
      </c>
    </row>
    <row r="287" spans="2:5">
      <c r="B287" t="str">
        <f>Texte!A3797</f>
        <v>Lege- und Zuchthennen</v>
      </c>
      <c r="C287" t="str">
        <f>Texte!A3797</f>
        <v>Lege- und Zuchthennen</v>
      </c>
      <c r="D287" t="str">
        <f>C287</f>
        <v>Lege- und Zuchthennen</v>
      </c>
    </row>
    <row r="288" spans="2:5">
      <c r="B288" t="str">
        <f>Texte!A3798</f>
        <v>Junghennen, 2.25 Umtriebe</v>
      </c>
      <c r="C288" t="str">
        <f t="shared" si="26"/>
        <v>Junghennen, 2.25 Umtriebe</v>
      </c>
      <c r="D288" t="str">
        <f>B288</f>
        <v>Junghennen, 2.25 Umtriebe</v>
      </c>
    </row>
    <row r="289" spans="2:4">
      <c r="B289" t="str">
        <f>Texte!A3799</f>
        <v>Mastpoulets</v>
      </c>
      <c r="C289" t="str">
        <f t="shared" si="26"/>
        <v>Mastpoulets</v>
      </c>
      <c r="D289" t="str">
        <f>B289</f>
        <v>Mastpoulets</v>
      </c>
    </row>
    <row r="290" spans="2:4" ht="12.75">
      <c r="B290" s="987" t="str">
        <f>Tierb!B76</f>
        <v>Masttruten, 2.8 Umtriebe</v>
      </c>
      <c r="C290" s="1185" t="str">
        <f>Texte!A3800</f>
        <v>Masttruten</v>
      </c>
      <c r="D290" t="str">
        <f>C290</f>
        <v>Masttruten</v>
      </c>
    </row>
    <row r="291" spans="2:4" ht="12.75">
      <c r="B291" t="str">
        <f>Texte!A3801</f>
        <v>Trutenvormast, bis 1.5 kg LG, 6 Umtriebe</v>
      </c>
      <c r="C291" t="str">
        <f t="shared" si="26"/>
        <v>Trutenvormast, bis 1.5 kg LG, 6 Umtriebe</v>
      </c>
      <c r="D291" s="1185" t="str">
        <f>Texte!A1524</f>
        <v>Trutenvormast, 6 Umtriebe</v>
      </c>
    </row>
    <row r="292" spans="2:4" ht="12.75">
      <c r="B292" t="str">
        <f>Texte!A3802</f>
        <v>Trutenausmast, 1.5 bis 13 kg LG, 2.9 Umtriebe</v>
      </c>
      <c r="C292" t="str">
        <f t="shared" si="26"/>
        <v>Trutenausmast, 1.5 bis 13 kg LG, 2.9 Umtriebe</v>
      </c>
      <c r="D292" s="1185" t="str">
        <f>Texte!A1525</f>
        <v>Trutenausmast, 2.9 Umtriebe</v>
      </c>
    </row>
    <row r="293" spans="2:4" ht="12.75">
      <c r="B293" t="str">
        <f>IF(Tierb!C79 = "", "",Tierb!C79)</f>
        <v/>
      </c>
      <c r="C293" s="1185" t="str">
        <f>Texte!A399</f>
        <v>Anderes:</v>
      </c>
      <c r="D293" s="1185" t="str">
        <f>B293</f>
        <v/>
      </c>
    </row>
    <row r="294" spans="2:4" ht="12.75">
      <c r="D294" s="1185"/>
    </row>
    <row r="296" spans="2:4" ht="12.75">
      <c r="C296" s="1185" t="str">
        <f>Texte!A3803</f>
        <v>Masttruten, 2.8 Umtriebe</v>
      </c>
      <c r="D296" s="1185"/>
    </row>
    <row r="297" spans="2:4" ht="12.75">
      <c r="D297" s="1185"/>
    </row>
    <row r="301" spans="2:4">
      <c r="B301" t="str">
        <f>Texte!A173</f>
        <v>Eigentumsverhältnis</v>
      </c>
    </row>
    <row r="302" spans="2:4">
      <c r="B302" s="2002" t="s">
        <v>11108</v>
      </c>
    </row>
    <row r="303" spans="2:4">
      <c r="B303" s="2002"/>
      <c r="C303">
        <v>0</v>
      </c>
    </row>
    <row r="304" spans="2:4">
      <c r="B304" t="str">
        <f>Texte!A174</f>
        <v>Eigentümer</v>
      </c>
      <c r="C304">
        <v>1</v>
      </c>
    </row>
    <row r="305" spans="2:3">
      <c r="B305" t="str">
        <f>Texte!A175</f>
        <v>Vollpacht, Gewerbepacht</v>
      </c>
      <c r="C305">
        <v>2</v>
      </c>
    </row>
  </sheetData>
  <phoneticPr fontId="65" type="noConversion"/>
  <pageMargins left="0.6692913385826772" right="0.74803149606299213" top="0.59055118110236227" bottom="0.98425196850393704" header="0.51181102362204722" footer="0.51181102362204722"/>
  <pageSetup paperSize="9" orientation="landscape" r:id="rId1"/>
  <headerFooter alignWithMargins="0">
    <oddFooter>&amp;C&amp;9&amp;F&amp;R&amp;"Arial,Standard"&amp;9Seite &amp;P&amp;L&amp;"Arial,Fett"&amp;11AGRIDEA &amp;"Arial,Standard"&amp;9 Nachweis Version 9.9</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6">
    <tabColor indexed="10"/>
  </sheetPr>
  <dimension ref="A1:H5433"/>
  <sheetViews>
    <sheetView showRowColHeaders="0" workbookViewId="0">
      <pane ySplit="6" topLeftCell="A7" activePane="bottomLeft" state="frozen"/>
      <selection pane="bottomLeft"/>
      <extLst>
        <ext xmlns:xlsdti="http://schemas.microsoft.com/office/spreadsheetml/2023/showDataTypeIcons" uri="{77bfe23e-c014-4d31-8a63-9c772dbf06b6}">
          <xlsdti:showDataTypeIcons visible="0"/>
        </ext>
      </extLst>
    </sheetView>
  </sheetViews>
  <sheetFormatPr baseColWidth="10" defaultColWidth="42.140625" defaultRowHeight="12.75"/>
  <cols>
    <col min="1" max="1" width="43.28515625" style="2411" customWidth="1"/>
    <col min="2" max="2" width="71.5703125" style="2411" customWidth="1"/>
    <col min="3" max="3" width="71.5703125" style="2413" customWidth="1"/>
    <col min="4" max="4" width="71.5703125" style="2427" customWidth="1"/>
    <col min="5" max="5" width="3.42578125" style="2413" customWidth="1"/>
    <col min="6" max="6" width="9.28515625" style="2413" customWidth="1"/>
    <col min="7" max="7" width="51.28515625" style="2421" customWidth="1"/>
    <col min="8" max="8" width="53.28515625" style="2421" customWidth="1"/>
    <col min="9" max="16384" width="42.140625" style="2411"/>
  </cols>
  <sheetData>
    <row r="1" spans="1:6">
      <c r="A1" s="2422" t="s">
        <v>1517</v>
      </c>
      <c r="C1" s="2410"/>
      <c r="D1" s="2424"/>
      <c r="E1" s="2411"/>
      <c r="F1" s="2411"/>
    </row>
    <row r="2" spans="1:6">
      <c r="A2" s="2422">
        <v>1</v>
      </c>
      <c r="B2" s="2410"/>
      <c r="C2" s="3102"/>
      <c r="D2" s="3103"/>
      <c r="E2" s="2411"/>
      <c r="F2" s="2411"/>
    </row>
    <row r="3" spans="1:6">
      <c r="A3" s="2411" t="s">
        <v>1518</v>
      </c>
      <c r="B3" s="2410"/>
      <c r="C3" s="2410"/>
      <c r="D3" s="3103"/>
      <c r="E3" s="2411"/>
      <c r="F3" s="2411"/>
    </row>
    <row r="4" spans="1:6">
      <c r="A4" s="2411" t="s">
        <v>1519</v>
      </c>
      <c r="B4" s="2410"/>
      <c r="C4" s="2411"/>
      <c r="D4" s="2414"/>
      <c r="E4" s="2411"/>
      <c r="F4" s="2411"/>
    </row>
    <row r="5" spans="1:6">
      <c r="A5" s="2411" t="s">
        <v>1520</v>
      </c>
      <c r="C5" s="2411"/>
      <c r="D5" s="2421"/>
      <c r="E5" s="2420" t="s">
        <v>11343</v>
      </c>
      <c r="F5" s="2411"/>
    </row>
    <row r="6" spans="1:6">
      <c r="B6" s="2411" t="s">
        <v>1518</v>
      </c>
      <c r="C6" s="2411" t="s">
        <v>1519</v>
      </c>
      <c r="D6" s="2421" t="s">
        <v>1520</v>
      </c>
      <c r="E6" s="2411" t="s">
        <v>7734</v>
      </c>
      <c r="F6" s="2411" t="s">
        <v>7735</v>
      </c>
    </row>
    <row r="7" spans="1:6" ht="12.75" customHeight="1">
      <c r="A7" s="2455" t="str">
        <f t="shared" ref="A7:A12" si="0">IF($A$2=1,B7,IF($A$2=2,C7,IF($A$2=3,D7,"")))</f>
        <v>Texte</v>
      </c>
      <c r="B7" s="2410" t="s">
        <v>1521</v>
      </c>
      <c r="C7" s="2410" t="s">
        <v>2688</v>
      </c>
      <c r="D7" s="2414" t="s">
        <v>6675</v>
      </c>
    </row>
    <row r="8" spans="1:6" ht="12.75" customHeight="1">
      <c r="A8" s="2410" t="str">
        <f t="shared" si="0"/>
        <v>Sprache:</v>
      </c>
      <c r="B8" s="2410" t="s">
        <v>654</v>
      </c>
      <c r="C8" s="2410" t="s">
        <v>655</v>
      </c>
      <c r="D8" s="2414" t="s">
        <v>8426</v>
      </c>
    </row>
    <row r="9" spans="1:6" ht="12.75" customHeight="1">
      <c r="A9" s="2410" t="str">
        <f t="shared" si="0"/>
        <v>Häufig verwendete Begriffe</v>
      </c>
      <c r="B9" s="2410" t="s">
        <v>6676</v>
      </c>
      <c r="C9" s="2410" t="s">
        <v>6677</v>
      </c>
      <c r="D9" s="2414" t="s">
        <v>2923</v>
      </c>
    </row>
    <row r="10" spans="1:6" ht="12.75" customHeight="1">
      <c r="A10" s="2410" t="str">
        <f t="shared" si="0"/>
        <v xml:space="preserve">                                             Produktionsplanung</v>
      </c>
      <c r="B10" s="2410" t="s">
        <v>8416</v>
      </c>
      <c r="C10" s="2410" t="s">
        <v>8418</v>
      </c>
      <c r="D10" s="2414" t="s">
        <v>11115</v>
      </c>
    </row>
    <row r="11" spans="1:6" ht="12.75" customHeight="1">
      <c r="A11" s="2410" t="str">
        <f t="shared" si="0"/>
        <v xml:space="preserve">                                             Erfolgsrechnung</v>
      </c>
      <c r="B11" s="2410" t="s">
        <v>8415</v>
      </c>
      <c r="C11" s="2410" t="s">
        <v>8419</v>
      </c>
      <c r="D11" s="2414" t="s">
        <v>8427</v>
      </c>
    </row>
    <row r="12" spans="1:6" ht="12.75" customHeight="1">
      <c r="A12" s="2410" t="str">
        <f t="shared" si="0"/>
        <v xml:space="preserve">                                             Finanzplan</v>
      </c>
      <c r="B12" s="2410" t="s">
        <v>8417</v>
      </c>
      <c r="C12" s="2410" t="s">
        <v>8420</v>
      </c>
      <c r="D12" s="2414" t="s">
        <v>8421</v>
      </c>
    </row>
    <row r="13" spans="1:6" ht="12.75" customHeight="1">
      <c r="A13" s="2410" t="str">
        <f>IF($A$2=1,B13,IF($A$2=2,C13,IF($A$2=3,IF(D13="",C13,D13),"")))</f>
        <v>Betrieb:</v>
      </c>
      <c r="B13" s="2410" t="s">
        <v>2331</v>
      </c>
      <c r="C13" s="2410" t="s">
        <v>7276</v>
      </c>
      <c r="D13" s="2414" t="s">
        <v>7088</v>
      </c>
    </row>
    <row r="14" spans="1:6" ht="12.75" customHeight="1">
      <c r="A14" s="2410" t="str">
        <f t="shared" ref="A14:A80" si="1">IF($A$2=1,B14,IF($A$2=2,C14,IF($A$2=3,IF(D14="",C14,D14),"")))</f>
        <v>Variante:</v>
      </c>
      <c r="B14" s="2410" t="s">
        <v>5349</v>
      </c>
      <c r="C14" s="2410" t="s">
        <v>5349</v>
      </c>
      <c r="D14" s="2414" t="s">
        <v>6094</v>
      </c>
    </row>
    <row r="15" spans="1:6" ht="12.75" customHeight="1">
      <c r="A15" s="2410" t="str">
        <f t="shared" si="1"/>
        <v>Jahr:</v>
      </c>
      <c r="B15" s="2410" t="s">
        <v>5350</v>
      </c>
      <c r="C15" s="2410" t="s">
        <v>7277</v>
      </c>
      <c r="D15" s="2414" t="s">
        <v>7546</v>
      </c>
    </row>
    <row r="16" spans="1:6" ht="12.75" customHeight="1">
      <c r="A16" s="2410" t="str">
        <f t="shared" si="1"/>
        <v>GVE</v>
      </c>
      <c r="B16" s="2410" t="s">
        <v>6685</v>
      </c>
      <c r="C16" s="2410" t="s">
        <v>3184</v>
      </c>
      <c r="D16" s="2414" t="s">
        <v>199</v>
      </c>
    </row>
    <row r="17" spans="1:4" ht="12.75" customHeight="1">
      <c r="A17" s="2410" t="str">
        <f t="shared" si="1"/>
        <v xml:space="preserve">Stand der Bestimmungen: gültig ab 1.1.2025 oder 1.1.2026, gemäss den vorgeschlagenen Verordnungen des </v>
      </c>
      <c r="B17" s="2410" t="str">
        <f>"Stand der Bestimmungen: gültig ab 1.1." &amp; TEXT(Q!GültigAb_Nachweis,"@") &amp; " oder 1.1." &amp; TEXT(Q!GültigAb_Nachweis + 1,"@") &amp; ", gemäss den vorgeschlagenen Verordnungen des "</f>
        <v xml:space="preserve">Stand der Bestimmungen: gültig ab 1.1.2025 oder 1.1.2026, gemäss den vorgeschlagenen Verordnungen des </v>
      </c>
      <c r="C17" s="2410" t="str">
        <f>"État des dispositions en vigueur depuis le 01.01." &amp; TEXT(Q!GültigAb_Nachweis,"@") &amp; " ou le 01.01." &amp; TEXT(Q!GültigAb_Nachweis  + 1, "@") &amp; ", état selon de l'ordonnances du "</f>
        <v xml:space="preserve">État des dispositions en vigueur depuis le 01.01.2025 ou le 01.01.2026, état selon de l'ordonnances du </v>
      </c>
      <c r="D17" s="2414" t="str">
        <f>"Stato delle disposizioni valide dal  01.01." &amp; TEXT(Q!GültigAb_Nachweis,"@") &amp;" o 01.01." &amp; TEXT(Q!GültigAb_Nachweis  + 1, "@") &amp; " . Stato secondo l'ordinanza del"</f>
        <v>Stato delle disposizioni valide dal  01.01.2025 o 01.01.2026 . Stato secondo l'ordinanza del</v>
      </c>
    </row>
    <row r="18" spans="1:4" ht="24" customHeight="1">
      <c r="A18" s="2410" t="str">
        <f>IF($A$2=1,B18,IF($A$2=2,C18,IF($A$2=3,IF(D18="",C18,D18),"")))</f>
        <v xml:space="preserve">Bundesrates vor der Wintersession. Die Berechnung erfolgt für das im Blatt "Allg" eingestellte Jahr. </v>
      </c>
      <c r="B18" s="2410" t="s">
        <v>1674</v>
      </c>
      <c r="C18" s="2410" t="s">
        <v>1675</v>
      </c>
      <c r="D18" s="2414" t="s">
        <v>8428</v>
      </c>
    </row>
    <row r="19" spans="1:4" ht="12.75" customHeight="1">
      <c r="A19" s="2410" t="str">
        <f>IF($A$2=1,B19,IF($A$2=2,C19,IF($A$2=3,IF(D19="",C19,D19),"")))</f>
        <v>Stand der Bestimmungen: gültig ab 01.01.2025</v>
      </c>
      <c r="B19" s="2410" t="str">
        <f>"Stand der Bestimmungen: gültig ab 01.01." &amp; Q!GültigAb_Nachweis</f>
        <v>Stand der Bestimmungen: gültig ab 01.01.2025</v>
      </c>
      <c r="C19" s="2410" t="str">
        <f>"État des dispositions en vigueur depuis le 01.01." &amp; Q!GültigAb_Nachweis</f>
        <v>État des dispositions en vigueur depuis le 01.01.2025</v>
      </c>
      <c r="D19" s="2414" t="str">
        <f>"Stato delle disposizioni in vigore dal 01.01." &amp; Q!GültigAb_Nachweis</f>
        <v>Stato delle disposizioni in vigore dal 01.01.2025</v>
      </c>
    </row>
    <row r="20" spans="1:4" ht="13.7" customHeight="1">
      <c r="A20" s="2410" t="str">
        <f t="shared" si="1"/>
        <v>Stand der Bestimmungen gültig ab 1.1.2025 oder 1.1.2026 oder 1.1.2027, gemäss den vorgeschlagenen Verordnungen des</v>
      </c>
      <c r="B20" s="2410" t="str">
        <f>"Stand der Bestimmungen gültig ab 1.1." &amp; Q!E3 &amp; " oder 1.1." &amp; Q!E3 + 1 &amp; " oder 1.1." &amp; Q!E3 + 2 &amp; ", gemäss den vorgeschlagenen Verordnungen des"</f>
        <v>Stand der Bestimmungen gültig ab 1.1.2025 oder 1.1.2026 oder 1.1.2027, gemäss den vorgeschlagenen Verordnungen des</v>
      </c>
      <c r="C20" s="2410" t="str">
        <f>"État des dispositions en vigueur depuis le 01.01." &amp; Q!E3 &amp; " ou le 01.01." &amp; Q!E3 + 1 &amp; " ou le 01.01." &amp; Q!E3 + 2 &amp; ", état selon de l'ordonnances du "</f>
        <v xml:space="preserve">État des dispositions en vigueur depuis le 01.01.2025 ou le 01.01.2026 ou le 01.01.2027, état selon de l'ordonnances du </v>
      </c>
      <c r="D20" s="2414" t="str">
        <f>"Stato delle disposizioni valide dal 01.01." &amp; Q!E3  &amp;" o dal 01.01." &amp;  Q!E3 + 2 &amp; ". Stato secondo l'ordinanza del"</f>
        <v>Stato delle disposizioni valide dal 01.01.2025 o dal 01.01.2027. Stato secondo l'ordinanza del</v>
      </c>
    </row>
    <row r="21" spans="1:4" ht="13.7" customHeight="1">
      <c r="A21" s="2410" t="str">
        <f>IF($A$2=1,B21,IF($A$2=2,C21,IF($A$2=3,IF(D21="",C21,D21),"")))</f>
        <v xml:space="preserve">Die Berechnung erfolgt für das im Blatt "Allg" eingestellte Jahr. </v>
      </c>
      <c r="B21" s="2410" t="s">
        <v>6589</v>
      </c>
      <c r="C21" s="2410" t="s">
        <v>6590</v>
      </c>
      <c r="D21" s="2414" t="s">
        <v>8429</v>
      </c>
    </row>
    <row r="22" spans="1:4" ht="24" customHeight="1">
      <c r="A22" s="2410" t="str">
        <f t="shared" si="1"/>
        <v>AGRIDEA lehnt jede Haftung und Gewährleistung ab, die aus Berechnungen mit diesem Instrument abgeleitet werden.</v>
      </c>
      <c r="B22" s="2410" t="s">
        <v>1981</v>
      </c>
      <c r="C22" s="2410" t="s">
        <v>2459</v>
      </c>
      <c r="D22" s="2414" t="s">
        <v>8430</v>
      </c>
    </row>
    <row r="23" spans="1:4" ht="12.75" customHeight="1">
      <c r="A23" s="2410" t="str">
        <f t="shared" si="1"/>
        <v>Seite</v>
      </c>
      <c r="B23" s="2410" t="s">
        <v>4468</v>
      </c>
      <c r="C23" s="2410" t="s">
        <v>4663</v>
      </c>
      <c r="D23" s="2414" t="s">
        <v>2488</v>
      </c>
    </row>
    <row r="24" spans="1:4" ht="12.75" customHeight="1">
      <c r="A24" s="2410" t="str">
        <f t="shared" si="1"/>
        <v>Betriebsvoranschlag</v>
      </c>
      <c r="B24" s="2410" t="s">
        <v>6091</v>
      </c>
      <c r="C24" s="2410" t="s">
        <v>2489</v>
      </c>
      <c r="D24" s="2414" t="s">
        <v>2924</v>
      </c>
    </row>
    <row r="25" spans="1:4" ht="12.75" customHeight="1">
      <c r="A25" s="2410" t="str">
        <f t="shared" si="1"/>
        <v>Deckblatt</v>
      </c>
      <c r="B25" s="2410" t="s">
        <v>4704</v>
      </c>
      <c r="C25" s="2410" t="s">
        <v>2490</v>
      </c>
      <c r="D25" s="2414" t="s">
        <v>2925</v>
      </c>
    </row>
    <row r="26" spans="1:4" ht="12.75" customHeight="1">
      <c r="A26" s="2410"/>
      <c r="B26" s="2410"/>
      <c r="C26" s="2410"/>
      <c r="D26" s="2414" t="s">
        <v>2926</v>
      </c>
    </row>
    <row r="27" spans="1:4" ht="12.75" customHeight="1">
      <c r="A27" s="2410" t="str">
        <f t="shared" si="1"/>
        <v xml:space="preserve">Blatt aktualisieren </v>
      </c>
      <c r="B27" s="2410" t="s">
        <v>1566</v>
      </c>
      <c r="C27" s="2410" t="s">
        <v>6730</v>
      </c>
      <c r="D27" s="2414" t="s">
        <v>8431</v>
      </c>
    </row>
    <row r="28" spans="1:4" ht="12.75" customHeight="1">
      <c r="A28" s="2410" t="str">
        <f t="shared" si="1"/>
        <v>SAK für Direktzahlungen</v>
      </c>
      <c r="B28" s="2410" t="s">
        <v>5215</v>
      </c>
      <c r="C28" s="2410" t="s">
        <v>5850</v>
      </c>
      <c r="D28" s="2414" t="s">
        <v>8432</v>
      </c>
    </row>
    <row r="29" spans="1:4" ht="12.75" customHeight="1">
      <c r="A29" s="2410" t="str">
        <f t="shared" si="1"/>
        <v>SAK für Strukturverbesserungen</v>
      </c>
      <c r="B29" s="2410" t="s">
        <v>1872</v>
      </c>
      <c r="C29" s="2410" t="s">
        <v>6988</v>
      </c>
      <c r="D29" s="2414" t="s">
        <v>8433</v>
      </c>
    </row>
    <row r="30" spans="1:4" ht="12.75" customHeight="1">
      <c r="A30" s="2410" t="str">
        <f t="shared" si="1"/>
        <v>Allgemeine Betriebsdaten</v>
      </c>
      <c r="B30" s="2410" t="s">
        <v>1873</v>
      </c>
      <c r="C30" s="2410" t="s">
        <v>3964</v>
      </c>
      <c r="D30" s="2414" t="s">
        <v>8434</v>
      </c>
    </row>
    <row r="31" spans="1:4" ht="12.75" customHeight="1">
      <c r="A31" s="2410" t="str">
        <f t="shared" si="1"/>
        <v>Höhe über Meer</v>
      </c>
      <c r="B31" s="2410" t="s">
        <v>1874</v>
      </c>
      <c r="C31" s="2410" t="s">
        <v>4529</v>
      </c>
      <c r="D31" s="2414" t="s">
        <v>2927</v>
      </c>
    </row>
    <row r="32" spans="1:4" ht="12.75" customHeight="1">
      <c r="A32" s="2410" t="str">
        <f t="shared" si="1"/>
        <v>Produktionskatasterzone</v>
      </c>
      <c r="B32" s="2410" t="s">
        <v>1875</v>
      </c>
      <c r="C32" s="2410" t="s">
        <v>3407</v>
      </c>
      <c r="D32" s="2414" t="s">
        <v>2928</v>
      </c>
    </row>
    <row r="33" spans="1:4" ht="12.75" customHeight="1">
      <c r="A33" s="2410" t="str">
        <f t="shared" si="1"/>
        <v>Milchkontingent</v>
      </c>
      <c r="B33" s="2410" t="s">
        <v>1876</v>
      </c>
      <c r="C33" s="2410" t="s">
        <v>6989</v>
      </c>
      <c r="D33" s="2414" t="s">
        <v>414</v>
      </c>
    </row>
    <row r="34" spans="1:4" ht="12.75" customHeight="1">
      <c r="A34" s="2410" t="str">
        <f t="shared" si="1"/>
        <v>Hochstammbäume</v>
      </c>
      <c r="B34" s="2410" t="s">
        <v>4211</v>
      </c>
      <c r="C34" s="2410" t="s">
        <v>6990</v>
      </c>
      <c r="D34" s="2414" t="s">
        <v>11116</v>
      </c>
    </row>
    <row r="35" spans="1:4" ht="12.75" customHeight="1">
      <c r="A35" s="2410" t="str">
        <f t="shared" si="1"/>
        <v>Produktionsform</v>
      </c>
      <c r="B35" s="2410" t="s">
        <v>4212</v>
      </c>
      <c r="C35" s="2410" t="s">
        <v>4530</v>
      </c>
      <c r="D35" s="2414" t="s">
        <v>8436</v>
      </c>
    </row>
    <row r="36" spans="1:4" ht="12.75" customHeight="1">
      <c r="A36" s="2410" t="str">
        <f t="shared" si="1"/>
        <v>Gemeinschaft</v>
      </c>
      <c r="B36" s="2410" t="s">
        <v>607</v>
      </c>
      <c r="C36" s="2410" t="s">
        <v>3388</v>
      </c>
      <c r="D36" s="2414" t="s">
        <v>5795</v>
      </c>
    </row>
    <row r="37" spans="1:4" ht="12.75" customHeight="1">
      <c r="A37" s="2410" t="str">
        <f t="shared" si="1"/>
        <v>Bodennutzung</v>
      </c>
      <c r="B37" s="2410" t="s">
        <v>636</v>
      </c>
      <c r="C37" s="2410" t="s">
        <v>6991</v>
      </c>
      <c r="D37" s="2414" t="s">
        <v>5796</v>
      </c>
    </row>
    <row r="38" spans="1:4" ht="12.75" customHeight="1">
      <c r="A38" s="2410" t="str">
        <f t="shared" si="1"/>
        <v>Fläche ha</v>
      </c>
      <c r="B38" s="2410" t="s">
        <v>1647</v>
      </c>
      <c r="C38" s="2410" t="s">
        <v>1549</v>
      </c>
      <c r="D38" s="2414" t="s">
        <v>1560</v>
      </c>
    </row>
    <row r="39" spans="1:4" ht="12.75" customHeight="1">
      <c r="A39" s="2410" t="str">
        <f t="shared" si="1"/>
        <v>Tiere</v>
      </c>
      <c r="B39" s="2410" t="s">
        <v>3064</v>
      </c>
      <c r="C39" s="2410" t="s">
        <v>1698</v>
      </c>
      <c r="D39" s="2414" t="s">
        <v>8437</v>
      </c>
    </row>
    <row r="40" spans="1:4" ht="12.75" customHeight="1">
      <c r="A40" s="2410" t="str">
        <f t="shared" si="1"/>
        <v>Anzahl Einheiten</v>
      </c>
      <c r="B40" s="2410" t="s">
        <v>3065</v>
      </c>
      <c r="C40" s="2410" t="s">
        <v>1550</v>
      </c>
      <c r="D40" s="2414" t="s">
        <v>8438</v>
      </c>
    </row>
    <row r="41" spans="1:4" ht="12.75" customHeight="1">
      <c r="A41" s="2410" t="str">
        <f t="shared" si="1"/>
        <v>Grünland</v>
      </c>
      <c r="B41" s="2410" t="s">
        <v>6526</v>
      </c>
      <c r="C41" s="2410" t="s">
        <v>1551</v>
      </c>
      <c r="D41" s="2414" t="s">
        <v>6357</v>
      </c>
    </row>
    <row r="42" spans="1:4" ht="12.75" customHeight="1">
      <c r="A42" s="2410" t="str">
        <f t="shared" si="1"/>
        <v>Futterhackfrüchte</v>
      </c>
      <c r="B42" s="2410" t="s">
        <v>6527</v>
      </c>
      <c r="C42" s="2410" t="s">
        <v>1552</v>
      </c>
      <c r="D42" s="2414" t="s">
        <v>11117</v>
      </c>
    </row>
    <row r="43" spans="1:4" ht="12.75" customHeight="1">
      <c r="A43" s="2410" t="str">
        <f t="shared" si="1"/>
        <v>Getreide</v>
      </c>
      <c r="B43" s="2410" t="s">
        <v>4508</v>
      </c>
      <c r="C43" s="2410" t="s">
        <v>1553</v>
      </c>
      <c r="D43" s="2414" t="s">
        <v>5798</v>
      </c>
    </row>
    <row r="44" spans="1:4" ht="12.75" customHeight="1">
      <c r="A44" s="2410" t="str">
        <f t="shared" si="1"/>
        <v>Markthackfrüchte</v>
      </c>
      <c r="B44" s="2410" t="s">
        <v>6144</v>
      </c>
      <c r="C44" s="2410" t="s">
        <v>1524</v>
      </c>
      <c r="D44" s="2414" t="s">
        <v>11118</v>
      </c>
    </row>
    <row r="45" spans="1:4" ht="12.75" customHeight="1">
      <c r="A45" s="2410" t="str">
        <f t="shared" si="1"/>
        <v>Gemüsebau, Diverses</v>
      </c>
      <c r="B45" s="2410" t="s">
        <v>718</v>
      </c>
      <c r="C45" s="2410" t="s">
        <v>2035</v>
      </c>
      <c r="D45" s="2414" t="s">
        <v>11569</v>
      </c>
    </row>
    <row r="46" spans="1:4" ht="12.75" customHeight="1">
      <c r="A46" s="2410" t="str">
        <f t="shared" si="1"/>
        <v>Dauerkulturen</v>
      </c>
      <c r="B46" s="2410" t="s">
        <v>6869</v>
      </c>
      <c r="C46" s="2410" t="s">
        <v>7392</v>
      </c>
      <c r="D46" s="2414" t="s">
        <v>392</v>
      </c>
    </row>
    <row r="47" spans="1:4" ht="12.75" customHeight="1">
      <c r="A47" s="2410" t="str">
        <f t="shared" si="1"/>
        <v>Kulturen in geschütztem Anbau</v>
      </c>
      <c r="B47" s="2410" t="s">
        <v>5617</v>
      </c>
      <c r="C47" s="2410" t="s">
        <v>7393</v>
      </c>
      <c r="D47" s="2414" t="s">
        <v>11119</v>
      </c>
    </row>
    <row r="48" spans="1:4" ht="12.75" customHeight="1">
      <c r="A48" s="2410" t="str">
        <f t="shared" si="1"/>
        <v>Übriges</v>
      </c>
      <c r="B48" s="2410" t="s">
        <v>5618</v>
      </c>
      <c r="C48" s="2410" t="s">
        <v>7394</v>
      </c>
      <c r="D48" s="2414" t="s">
        <v>393</v>
      </c>
    </row>
    <row r="49" spans="1:4" ht="12.75" customHeight="1">
      <c r="A49" s="2410" t="str">
        <f t="shared" si="1"/>
        <v>Streue- und Torfland</v>
      </c>
      <c r="B49" s="2410" t="s">
        <v>1061</v>
      </c>
      <c r="C49" s="2410" t="s">
        <v>3967</v>
      </c>
      <c r="D49" s="2414" t="s">
        <v>11120</v>
      </c>
    </row>
    <row r="50" spans="1:4" ht="12.75" customHeight="1">
      <c r="A50" s="2410" t="str">
        <f t="shared" si="1"/>
        <v>Landw. Nutzfläche</v>
      </c>
      <c r="B50" s="2410" t="s">
        <v>5619</v>
      </c>
      <c r="C50" s="2410" t="s">
        <v>5533</v>
      </c>
      <c r="D50" s="2414" t="s">
        <v>394</v>
      </c>
    </row>
    <row r="51" spans="1:4" ht="12.75" customHeight="1">
      <c r="A51" s="2410" t="str">
        <f t="shared" si="1"/>
        <v>Hecken u. Feldgehölze, Uferwiesen</v>
      </c>
      <c r="B51" s="2410" t="s">
        <v>7305</v>
      </c>
      <c r="C51" s="2410" t="s">
        <v>909</v>
      </c>
      <c r="D51" s="2414" t="s">
        <v>8444</v>
      </c>
    </row>
    <row r="52" spans="1:4" ht="12.75" customHeight="1">
      <c r="A52" s="2410" t="str">
        <f t="shared" si="1"/>
        <v>Wald</v>
      </c>
      <c r="B52" s="2410" t="s">
        <v>5620</v>
      </c>
      <c r="C52" s="2410" t="s">
        <v>7395</v>
      </c>
      <c r="D52" s="2414" t="s">
        <v>395</v>
      </c>
    </row>
    <row r="53" spans="1:4" ht="12.75" customHeight="1">
      <c r="A53" s="2410" t="str">
        <f t="shared" si="1"/>
        <v>Unproduktiv</v>
      </c>
      <c r="B53" s="2410" t="s">
        <v>5621</v>
      </c>
      <c r="C53" s="2410" t="s">
        <v>7396</v>
      </c>
      <c r="D53" s="2414" t="s">
        <v>8445</v>
      </c>
    </row>
    <row r="54" spans="1:4" ht="12.75" customHeight="1">
      <c r="A54" s="2410" t="str">
        <f t="shared" si="1"/>
        <v>Betriebsfläche</v>
      </c>
      <c r="B54" s="2410" t="s">
        <v>5622</v>
      </c>
      <c r="C54" s="2410" t="s">
        <v>7397</v>
      </c>
      <c r="D54" s="2414" t="s">
        <v>1416</v>
      </c>
    </row>
    <row r="55" spans="1:4" ht="12.75" customHeight="1">
      <c r="A55" s="2410" t="str">
        <f t="shared" si="1"/>
        <v>Technische Bilanzen</v>
      </c>
      <c r="B55" s="2410" t="s">
        <v>6391</v>
      </c>
      <c r="C55" s="2410" t="s">
        <v>3503</v>
      </c>
      <c r="D55" s="2414" t="s">
        <v>1417</v>
      </c>
    </row>
    <row r="56" spans="1:4" ht="12.75" customHeight="1">
      <c r="A56" s="2410" t="str">
        <f t="shared" si="1"/>
        <v>Einheit</v>
      </c>
      <c r="B56" s="2410" t="s">
        <v>6392</v>
      </c>
      <c r="C56" s="2410" t="s">
        <v>6215</v>
      </c>
      <c r="D56" s="2414" t="s">
        <v>1418</v>
      </c>
    </row>
    <row r="57" spans="1:4" ht="12.75" customHeight="1">
      <c r="A57" s="2410" t="str">
        <f t="shared" si="1"/>
        <v>Soll</v>
      </c>
      <c r="B57" s="2410" t="s">
        <v>6393</v>
      </c>
      <c r="C57" s="2410" t="s">
        <v>3154</v>
      </c>
      <c r="D57" s="2414" t="s">
        <v>1419</v>
      </c>
    </row>
    <row r="58" spans="1:4" ht="12.75" customHeight="1">
      <c r="A58" s="2410" t="str">
        <f t="shared" si="1"/>
        <v>Ist</v>
      </c>
      <c r="B58" s="2410" t="s">
        <v>2202</v>
      </c>
      <c r="C58" s="2410" t="s">
        <v>2836</v>
      </c>
      <c r="D58" s="2414" t="s">
        <v>1420</v>
      </c>
    </row>
    <row r="59" spans="1:4" ht="12.75" customHeight="1">
      <c r="A59" s="2410" t="str">
        <f t="shared" si="1"/>
        <v>Zu erstellen</v>
      </c>
      <c r="B59" s="2410" t="s">
        <v>2203</v>
      </c>
      <c r="C59" s="2410" t="s">
        <v>758</v>
      </c>
      <c r="D59" s="2414" t="s">
        <v>1421</v>
      </c>
    </row>
    <row r="60" spans="1:4" ht="12.75" customHeight="1">
      <c r="A60" s="2410" t="str">
        <f t="shared" si="1"/>
        <v>Ökologische Ausgleichsfläche</v>
      </c>
      <c r="B60" s="2410" t="s">
        <v>2204</v>
      </c>
      <c r="C60" s="2410" t="s">
        <v>2837</v>
      </c>
      <c r="D60" s="2414" t="s">
        <v>1422</v>
      </c>
    </row>
    <row r="61" spans="1:4" ht="12.75" customHeight="1">
      <c r="A61" s="2410" t="str">
        <f t="shared" si="1"/>
        <v>% der LN</v>
      </c>
      <c r="B61" s="2410" t="s">
        <v>2205</v>
      </c>
      <c r="C61" s="2410" t="s">
        <v>2838</v>
      </c>
      <c r="D61" s="2414" t="s">
        <v>1423</v>
      </c>
    </row>
    <row r="62" spans="1:4" ht="12.75" customHeight="1">
      <c r="A62" s="2410" t="str">
        <f t="shared" si="1"/>
        <v>Nährstoffbilanz</v>
      </c>
      <c r="B62" s="2410" t="s">
        <v>1510</v>
      </c>
      <c r="C62" s="2410" t="s">
        <v>2839</v>
      </c>
      <c r="D62" s="2414" t="s">
        <v>11121</v>
      </c>
    </row>
    <row r="63" spans="1:4" ht="12.75" customHeight="1">
      <c r="A63" s="2410" t="str">
        <f t="shared" si="1"/>
        <v>N (max. Fehlerbereich + 10 %)</v>
      </c>
      <c r="B63" s="2781" t="s">
        <v>11861</v>
      </c>
      <c r="C63" s="2781" t="s">
        <v>11863</v>
      </c>
      <c r="D63" s="2780" t="s">
        <v>11865</v>
      </c>
    </row>
    <row r="64" spans="1:4" ht="12.75" customHeight="1">
      <c r="A64" s="2410" t="str">
        <f t="shared" si="1"/>
        <v>P2O5 (max. Fehlerbereich + 10 %)</v>
      </c>
      <c r="B64" s="2781" t="s">
        <v>11862</v>
      </c>
      <c r="C64" s="2781" t="s">
        <v>11864</v>
      </c>
      <c r="D64" s="2780" t="s">
        <v>11866</v>
      </c>
    </row>
    <row r="65" spans="1:4" ht="12.75" customHeight="1">
      <c r="A65" s="2410" t="str">
        <f t="shared" si="1"/>
        <v>Arbeitskraftbilanz Betrieb</v>
      </c>
      <c r="B65" s="2410" t="s">
        <v>4592</v>
      </c>
      <c r="C65" s="2410" t="s">
        <v>6532</v>
      </c>
      <c r="D65" s="2414" t="s">
        <v>8446</v>
      </c>
    </row>
    <row r="66" spans="1:4" ht="12.75" customHeight="1">
      <c r="A66" s="2410" t="str">
        <f t="shared" si="1"/>
        <v>Akh</v>
      </c>
      <c r="B66" s="2410" t="s">
        <v>4101</v>
      </c>
      <c r="C66" s="2410" t="s">
        <v>5582</v>
      </c>
      <c r="D66" s="2414" t="s">
        <v>8447</v>
      </c>
    </row>
    <row r="67" spans="1:4" ht="12.75" customHeight="1">
      <c r="A67" s="2410" t="str">
        <f t="shared" si="1"/>
        <v>Grundfutter-TS-Bilanz</v>
      </c>
      <c r="B67" s="2410" t="s">
        <v>2557</v>
      </c>
      <c r="C67" s="2410" t="s">
        <v>2135</v>
      </c>
      <c r="D67" s="2414" t="s">
        <v>8448</v>
      </c>
    </row>
    <row r="68" spans="1:4" ht="12.75" customHeight="1">
      <c r="A68" s="2410" t="str">
        <f t="shared" si="1"/>
        <v>dt TS</v>
      </c>
      <c r="B68" s="2410" t="s">
        <v>2639</v>
      </c>
      <c r="C68" s="2410" t="s">
        <v>6533</v>
      </c>
      <c r="D68" s="2414" t="s">
        <v>5879</v>
      </c>
    </row>
    <row r="69" spans="1:4" ht="12.75" customHeight="1">
      <c r="A69" s="2410" t="str">
        <f t="shared" si="1"/>
        <v>Milchbilanz</v>
      </c>
      <c r="B69" s="2410" t="s">
        <v>2640</v>
      </c>
      <c r="C69" s="2410" t="s">
        <v>6743</v>
      </c>
      <c r="D69" s="2414" t="s">
        <v>8449</v>
      </c>
    </row>
    <row r="70" spans="1:4" ht="12.75" customHeight="1">
      <c r="A70" s="2410" t="str">
        <f t="shared" si="1"/>
        <v>kg Milch</v>
      </c>
      <c r="B70" s="2410" t="s">
        <v>2641</v>
      </c>
      <c r="C70" s="2410" t="s">
        <v>6534</v>
      </c>
      <c r="D70" s="2414" t="s">
        <v>1433</v>
      </c>
    </row>
    <row r="71" spans="1:4" ht="12.75" customHeight="1">
      <c r="A71" s="2410" t="str">
        <f t="shared" si="1"/>
        <v>Hofdünger</v>
      </c>
      <c r="B71" s="2410" t="s">
        <v>2642</v>
      </c>
      <c r="C71" s="2410" t="s">
        <v>6159</v>
      </c>
      <c r="D71" s="2414" t="s">
        <v>8450</v>
      </c>
    </row>
    <row r="72" spans="1:4" ht="12.75" customHeight="1">
      <c r="A72" s="2410" t="str">
        <f t="shared" si="1"/>
        <v>Güllelagerraum</v>
      </c>
      <c r="B72" s="2410" t="s">
        <v>219</v>
      </c>
      <c r="C72" s="2410" t="s">
        <v>6160</v>
      </c>
      <c r="D72" s="2414" t="s">
        <v>11570</v>
      </c>
    </row>
    <row r="73" spans="1:4" ht="12.75" customHeight="1">
      <c r="A73" s="2410" t="str">
        <f t="shared" si="1"/>
        <v>Mistlagerplatz</v>
      </c>
      <c r="B73" s="2410" t="s">
        <v>6247</v>
      </c>
      <c r="C73" s="2410" t="s">
        <v>6161</v>
      </c>
      <c r="D73" s="2414" t="s">
        <v>11571</v>
      </c>
    </row>
    <row r="74" spans="1:4" ht="12.75" customHeight="1">
      <c r="A74" s="2410" t="str">
        <f t="shared" si="1"/>
        <v>Futterlager</v>
      </c>
      <c r="B74" s="2410" t="s">
        <v>6248</v>
      </c>
      <c r="C74" s="2410" t="s">
        <v>4564</v>
      </c>
      <c r="D74" s="2414" t="s">
        <v>11572</v>
      </c>
    </row>
    <row r="75" spans="1:4" ht="12.75" customHeight="1">
      <c r="A75" s="2410">
        <f t="shared" si="1"/>
        <v>0</v>
      </c>
      <c r="B75" s="2410"/>
      <c r="C75" s="2410" t="s">
        <v>4563</v>
      </c>
      <c r="D75" s="2414" t="s">
        <v>8452</v>
      </c>
    </row>
    <row r="76" spans="1:4" ht="12.75" customHeight="1">
      <c r="A76" s="2410" t="str">
        <f t="shared" si="1"/>
        <v>Heuraum</v>
      </c>
      <c r="B76" s="2410" t="s">
        <v>6206</v>
      </c>
      <c r="C76" s="2410" t="s">
        <v>6119</v>
      </c>
      <c r="D76" s="2414" t="s">
        <v>11573</v>
      </c>
    </row>
    <row r="77" spans="1:4" ht="12.75" customHeight="1">
      <c r="A77" s="2410" t="str">
        <f t="shared" si="1"/>
        <v>Siloraum</v>
      </c>
      <c r="B77" s="2410" t="s">
        <v>3229</v>
      </c>
      <c r="C77" s="2410" t="s">
        <v>6120</v>
      </c>
      <c r="D77" s="2414" t="s">
        <v>11574</v>
      </c>
    </row>
    <row r="78" spans="1:4" ht="12.75" customHeight="1">
      <c r="A78" s="2410" t="str">
        <f t="shared" si="1"/>
        <v>Strohlager</v>
      </c>
      <c r="B78" s="2410" t="s">
        <v>3230</v>
      </c>
      <c r="C78" s="2410" t="s">
        <v>4842</v>
      </c>
      <c r="D78" s="2414" t="s">
        <v>11575</v>
      </c>
    </row>
    <row r="79" spans="1:4" ht="12.75" customHeight="1">
      <c r="A79" s="2410" t="str">
        <f t="shared" si="1"/>
        <v>Finanzielle Kenngrössen</v>
      </c>
      <c r="B79" s="2410" t="s">
        <v>3231</v>
      </c>
      <c r="C79" s="2410" t="s">
        <v>4843</v>
      </c>
      <c r="D79" s="2414" t="s">
        <v>8453</v>
      </c>
    </row>
    <row r="80" spans="1:4" ht="12.75" customHeight="1">
      <c r="A80" s="2410" t="str">
        <f t="shared" si="1"/>
        <v>Projekte</v>
      </c>
      <c r="B80" s="2410" t="s">
        <v>3232</v>
      </c>
      <c r="C80" s="2410" t="s">
        <v>2700</v>
      </c>
      <c r="D80" s="2414" t="s">
        <v>405</v>
      </c>
    </row>
    <row r="81" spans="1:4" ht="12.75" customHeight="1">
      <c r="A81" s="2410" t="str">
        <f t="shared" ref="A81:A146" si="2">IF($A$2=1,B81,IF($A$2=2,C81,IF($A$2=3,IF(D81="",C81,D81),"")))</f>
        <v>Mittelbedarf</v>
      </c>
      <c r="B81" s="2410" t="s">
        <v>3233</v>
      </c>
      <c r="C81" s="2410" t="s">
        <v>4844</v>
      </c>
      <c r="D81" s="2414" t="s">
        <v>406</v>
      </c>
    </row>
    <row r="82" spans="1:4" ht="12.75" customHeight="1">
      <c r="A82" s="2410" t="str">
        <f t="shared" si="2"/>
        <v>Mittelbeschaffung</v>
      </c>
      <c r="B82" s="2410" t="s">
        <v>3234</v>
      </c>
      <c r="C82" s="2410" t="s">
        <v>4060</v>
      </c>
      <c r="D82" s="2414" t="s">
        <v>407</v>
      </c>
    </row>
    <row r="83" spans="1:4" ht="12.75" customHeight="1">
      <c r="A83" s="2410" t="str">
        <f t="shared" si="2"/>
        <v>Erfolgsrechnung</v>
      </c>
      <c r="B83" s="2410" t="s">
        <v>429</v>
      </c>
      <c r="C83" s="2410" t="s">
        <v>4061</v>
      </c>
      <c r="D83" s="2414" t="s">
        <v>408</v>
      </c>
    </row>
    <row r="84" spans="1:4" ht="12.75" customHeight="1">
      <c r="A84" s="2410" t="str">
        <f t="shared" si="2"/>
        <v>Bruttoergebnis 1</v>
      </c>
      <c r="B84" s="2410" t="s">
        <v>7983</v>
      </c>
      <c r="C84" s="2410" t="s">
        <v>8354</v>
      </c>
      <c r="D84" s="2414" t="s">
        <v>8454</v>
      </c>
    </row>
    <row r="85" spans="1:4" ht="12.75" customHeight="1">
      <c r="A85" s="2410" t="str">
        <f t="shared" si="2"/>
        <v>Erfolg Landwirtschaft</v>
      </c>
      <c r="B85" s="2410" t="s">
        <v>8339</v>
      </c>
      <c r="C85" s="2410" t="s">
        <v>8344</v>
      </c>
      <c r="D85" s="2414" t="s">
        <v>8455</v>
      </c>
    </row>
    <row r="86" spans="1:4" ht="12.75" customHeight="1">
      <c r="A86" s="2410" t="str">
        <f t="shared" si="2"/>
        <v>Eigenkapitalbildung, -verlust</v>
      </c>
      <c r="B86" s="2410" t="s">
        <v>8356</v>
      </c>
      <c r="C86" s="2410" t="s">
        <v>8030</v>
      </c>
      <c r="D86" s="2414" t="s">
        <v>11576</v>
      </c>
    </row>
    <row r="87" spans="1:4" ht="12.75" customHeight="1">
      <c r="A87" s="2410" t="str">
        <f t="shared" si="2"/>
        <v>Eigenkapitalveränderung</v>
      </c>
      <c r="B87" s="2410" t="s">
        <v>8033</v>
      </c>
      <c r="C87" s="2410" t="s">
        <v>4517</v>
      </c>
      <c r="D87" s="2414" t="s">
        <v>409</v>
      </c>
    </row>
    <row r="88" spans="1:4" ht="12.75" customHeight="1">
      <c r="A88" s="2410" t="str">
        <f t="shared" si="2"/>
        <v>Erfolg Gesamtsystem</v>
      </c>
      <c r="B88" s="2410" t="s">
        <v>8340</v>
      </c>
      <c r="C88" s="2410" t="s">
        <v>8355</v>
      </c>
      <c r="D88" s="2414" t="s">
        <v>8468</v>
      </c>
    </row>
    <row r="89" spans="1:4" ht="12.75" customHeight="1">
      <c r="A89" s="2410" t="str">
        <f t="shared" si="2"/>
        <v>Arbeitsverdienst Gemeinschaft</v>
      </c>
      <c r="B89" s="2410" t="s">
        <v>5677</v>
      </c>
      <c r="C89" s="2410" t="s">
        <v>3352</v>
      </c>
      <c r="D89" s="2414" t="s">
        <v>8456</v>
      </c>
    </row>
    <row r="90" spans="1:4" ht="12.75" customHeight="1">
      <c r="A90" s="2410" t="str">
        <f t="shared" si="2"/>
        <v>Finanzplan</v>
      </c>
      <c r="B90" s="2410" t="s">
        <v>4921</v>
      </c>
      <c r="C90" s="2410" t="s">
        <v>4518</v>
      </c>
      <c r="D90" s="2414" t="s">
        <v>411</v>
      </c>
    </row>
    <row r="91" spans="1:4" ht="12.75" customHeight="1">
      <c r="A91" s="2410" t="str">
        <f t="shared" si="2"/>
        <v>Cashflow vor Zinsen</v>
      </c>
      <c r="B91" s="2410" t="s">
        <v>6231</v>
      </c>
      <c r="C91" s="2410" t="s">
        <v>4519</v>
      </c>
      <c r="D91" s="2414" t="s">
        <v>8457</v>
      </c>
    </row>
    <row r="92" spans="1:4" ht="12.75" customHeight="1">
      <c r="A92" s="2410" t="str">
        <f t="shared" si="2"/>
        <v>Bestand nettomonetäres UV</v>
      </c>
      <c r="B92" s="2410" t="s">
        <v>6880</v>
      </c>
      <c r="C92" s="2410" t="s">
        <v>3164</v>
      </c>
      <c r="D92" s="2414" t="s">
        <v>8458</v>
      </c>
    </row>
    <row r="93" spans="1:4" ht="12.2" customHeight="1">
      <c r="A93" s="2410">
        <f t="shared" si="2"/>
        <v>0</v>
      </c>
      <c r="B93" s="2410"/>
      <c r="C93" s="2410"/>
      <c r="D93" s="2414"/>
    </row>
    <row r="94" spans="1:4" ht="12.75" customHeight="1">
      <c r="A94" s="2410" t="str">
        <f t="shared" si="2"/>
        <v>Import</v>
      </c>
      <c r="B94" s="2410" t="s">
        <v>3183</v>
      </c>
      <c r="C94" s="2410" t="s">
        <v>6937</v>
      </c>
      <c r="D94" s="2414" t="s">
        <v>8459</v>
      </c>
    </row>
    <row r="95" spans="1:4" ht="12.75" customHeight="1">
      <c r="A95" s="2410" t="str">
        <f t="shared" si="2"/>
        <v>Variante 1</v>
      </c>
      <c r="B95" s="2410" t="s">
        <v>4306</v>
      </c>
      <c r="C95" s="2410" t="s">
        <v>4306</v>
      </c>
      <c r="D95" s="2414" t="s">
        <v>4306</v>
      </c>
    </row>
    <row r="96" spans="1:4" ht="12.75" customHeight="1">
      <c r="A96" s="2410" t="str">
        <f t="shared" si="2"/>
        <v>Variante 2</v>
      </c>
      <c r="B96" s="2410" t="s">
        <v>3512</v>
      </c>
      <c r="C96" s="2410" t="s">
        <v>3512</v>
      </c>
      <c r="D96" s="2414" t="s">
        <v>3512</v>
      </c>
    </row>
    <row r="97" spans="1:4" ht="12.75" customHeight="1">
      <c r="A97" s="2410" t="str">
        <f t="shared" si="2"/>
        <v>Variante 3</v>
      </c>
      <c r="B97" s="2410" t="s">
        <v>3513</v>
      </c>
      <c r="C97" s="2410" t="s">
        <v>3513</v>
      </c>
      <c r="D97" s="2414" t="s">
        <v>3513</v>
      </c>
    </row>
    <row r="98" spans="1:4" ht="12.75" customHeight="1">
      <c r="A98" s="2410" t="str">
        <f t="shared" si="2"/>
        <v>Variante 4</v>
      </c>
      <c r="B98" s="2410" t="s">
        <v>3514</v>
      </c>
      <c r="C98" s="2410" t="s">
        <v>3514</v>
      </c>
      <c r="D98" s="2414" t="s">
        <v>3514</v>
      </c>
    </row>
    <row r="99" spans="1:4" ht="12.75" customHeight="1">
      <c r="A99" s="2410" t="str">
        <f t="shared" si="2"/>
        <v>Betrieb</v>
      </c>
      <c r="B99" s="2410" t="s">
        <v>6092</v>
      </c>
      <c r="C99" s="2410" t="s">
        <v>6216</v>
      </c>
      <c r="D99" s="2414" t="s">
        <v>7088</v>
      </c>
    </row>
    <row r="100" spans="1:4" ht="12.75" customHeight="1">
      <c r="A100" s="2410" t="str">
        <f t="shared" si="2"/>
        <v>Variantenbezeichnung</v>
      </c>
      <c r="B100" s="2410" t="s">
        <v>3515</v>
      </c>
      <c r="C100" s="2410" t="s">
        <v>6094</v>
      </c>
      <c r="D100" s="2414" t="s">
        <v>6094</v>
      </c>
    </row>
    <row r="101" spans="1:4" ht="12.75" customHeight="1">
      <c r="A101" s="2410" t="str">
        <f t="shared" si="2"/>
        <v>Jahre</v>
      </c>
      <c r="B101" s="2410" t="s">
        <v>3516</v>
      </c>
      <c r="C101" s="2410" t="s">
        <v>7102</v>
      </c>
      <c r="D101" s="2414" t="s">
        <v>8460</v>
      </c>
    </row>
    <row r="102" spans="1:4" ht="12.75" customHeight="1">
      <c r="A102" s="2410" t="str">
        <f t="shared" si="2"/>
        <v>Allgemeine Betriebsdaten</v>
      </c>
      <c r="B102" s="2410" t="s">
        <v>1873</v>
      </c>
      <c r="C102" s="2410" t="s">
        <v>3964</v>
      </c>
      <c r="D102" s="2414" t="s">
        <v>8434</v>
      </c>
    </row>
    <row r="103" spans="1:4" ht="12.75" customHeight="1">
      <c r="A103" s="2410" t="str">
        <f t="shared" si="2"/>
        <v>Höhe über Meer</v>
      </c>
      <c r="B103" s="2410" t="s">
        <v>1874</v>
      </c>
      <c r="C103" s="2410" t="s">
        <v>4529</v>
      </c>
      <c r="D103" s="2414" t="s">
        <v>2927</v>
      </c>
    </row>
    <row r="104" spans="1:4" ht="12.75" customHeight="1">
      <c r="A104" s="2410" t="str">
        <f t="shared" si="2"/>
        <v>Produktionskatasterzone</v>
      </c>
      <c r="B104" s="2410" t="s">
        <v>1875</v>
      </c>
      <c r="C104" s="2410" t="s">
        <v>4532</v>
      </c>
      <c r="D104" s="2414" t="s">
        <v>2928</v>
      </c>
    </row>
    <row r="105" spans="1:4" ht="12.75" customHeight="1">
      <c r="A105" s="2410" t="str">
        <f t="shared" si="2"/>
        <v>Produktionsform</v>
      </c>
      <c r="B105" s="2410" t="s">
        <v>4212</v>
      </c>
      <c r="C105" s="2410" t="s">
        <v>4530</v>
      </c>
      <c r="D105" s="2414" t="s">
        <v>8436</v>
      </c>
    </row>
    <row r="106" spans="1:4" ht="12.75" customHeight="1">
      <c r="A106" s="2410" t="str">
        <f t="shared" si="2"/>
        <v>Betriebsgemeinschaft</v>
      </c>
      <c r="B106" s="2410" t="s">
        <v>1882</v>
      </c>
      <c r="C106" s="2410" t="s">
        <v>3388</v>
      </c>
      <c r="D106" s="2414" t="s">
        <v>413</v>
      </c>
    </row>
    <row r="107" spans="1:4" ht="12.75" customHeight="1">
      <c r="A107" s="2410" t="str">
        <f t="shared" si="2"/>
        <v>Milchablieferung</v>
      </c>
      <c r="B107" s="2410" t="s">
        <v>5674</v>
      </c>
      <c r="C107" s="2410" t="s">
        <v>6295</v>
      </c>
      <c r="D107" s="2414" t="s">
        <v>414</v>
      </c>
    </row>
    <row r="108" spans="1:4" ht="12.75" customHeight="1">
      <c r="A108" s="2410" t="str">
        <f t="shared" si="2"/>
        <v>Bodennutzung</v>
      </c>
      <c r="B108" s="2410" t="s">
        <v>636</v>
      </c>
      <c r="C108" s="2410" t="s">
        <v>6991</v>
      </c>
      <c r="D108" s="2414" t="s">
        <v>5796</v>
      </c>
    </row>
    <row r="109" spans="1:4" ht="12.75" customHeight="1">
      <c r="A109" s="2410" t="str">
        <f t="shared" si="2"/>
        <v>Grünland</v>
      </c>
      <c r="B109" s="2410" t="s">
        <v>6526</v>
      </c>
      <c r="C109" s="2410" t="s">
        <v>1551</v>
      </c>
      <c r="D109" s="2414" t="s">
        <v>6357</v>
      </c>
    </row>
    <row r="110" spans="1:4" ht="12.75" customHeight="1">
      <c r="A110" s="2410" t="str">
        <f t="shared" si="2"/>
        <v>Futterhackfrüchte</v>
      </c>
      <c r="B110" s="2410" t="s">
        <v>6527</v>
      </c>
      <c r="C110" s="2410" t="s">
        <v>1552</v>
      </c>
      <c r="D110" s="2414" t="s">
        <v>11117</v>
      </c>
    </row>
    <row r="111" spans="1:4" ht="12.75" customHeight="1">
      <c r="A111" s="2410" t="str">
        <f t="shared" si="2"/>
        <v>Getreide</v>
      </c>
      <c r="B111" s="2410" t="s">
        <v>4508</v>
      </c>
      <c r="C111" s="2410" t="s">
        <v>1553</v>
      </c>
      <c r="D111" s="2414" t="s">
        <v>5798</v>
      </c>
    </row>
    <row r="112" spans="1:4" ht="12.75" customHeight="1">
      <c r="A112" s="2410" t="str">
        <f t="shared" si="2"/>
        <v>Markthackfrüchte</v>
      </c>
      <c r="B112" s="2410" t="s">
        <v>6144</v>
      </c>
      <c r="C112" s="2410" t="s">
        <v>1524</v>
      </c>
      <c r="D112" s="2414" t="s">
        <v>11118</v>
      </c>
    </row>
    <row r="113" spans="1:4" ht="12.75" customHeight="1">
      <c r="A113" s="2410" t="str">
        <f t="shared" si="2"/>
        <v>Gemüsebau und Diverses</v>
      </c>
      <c r="B113" s="2410" t="s">
        <v>8349</v>
      </c>
      <c r="C113" s="2410" t="s">
        <v>8350</v>
      </c>
      <c r="D113" s="2414" t="s">
        <v>11569</v>
      </c>
    </row>
    <row r="114" spans="1:4" ht="12.75" customHeight="1">
      <c r="A114" s="2410" t="str">
        <f t="shared" si="2"/>
        <v>Dauerkulturen</v>
      </c>
      <c r="B114" s="2410" t="s">
        <v>6869</v>
      </c>
      <c r="C114" s="2410" t="s">
        <v>7392</v>
      </c>
      <c r="D114" s="2414" t="s">
        <v>392</v>
      </c>
    </row>
    <row r="115" spans="1:4" ht="12.75" customHeight="1">
      <c r="A115" s="2410" t="str">
        <f t="shared" si="2"/>
        <v>Kulturen in geschütztem Anbau</v>
      </c>
      <c r="B115" s="2410" t="s">
        <v>5617</v>
      </c>
      <c r="C115" s="2410" t="s">
        <v>7393</v>
      </c>
      <c r="D115" s="2414" t="s">
        <v>11119</v>
      </c>
    </row>
    <row r="116" spans="1:4" ht="12.75" customHeight="1">
      <c r="A116" s="2410" t="str">
        <f t="shared" si="2"/>
        <v>Übriges</v>
      </c>
      <c r="B116" s="2410" t="s">
        <v>5618</v>
      </c>
      <c r="C116" s="2410" t="s">
        <v>3877</v>
      </c>
      <c r="D116" s="2414" t="s">
        <v>393</v>
      </c>
    </row>
    <row r="117" spans="1:4" ht="12.75" customHeight="1">
      <c r="A117" s="2410" t="str">
        <f t="shared" si="2"/>
        <v>Landw. Nutzfläche</v>
      </c>
      <c r="B117" s="2410" t="s">
        <v>5619</v>
      </c>
      <c r="C117" s="2410" t="s">
        <v>4249</v>
      </c>
      <c r="D117" s="2414" t="s">
        <v>394</v>
      </c>
    </row>
    <row r="118" spans="1:4" ht="12.75" customHeight="1">
      <c r="A118" s="2410" t="str">
        <f t="shared" si="2"/>
        <v>Wald</v>
      </c>
      <c r="B118" s="2410" t="s">
        <v>5620</v>
      </c>
      <c r="C118" s="2410" t="s">
        <v>7395</v>
      </c>
      <c r="D118" s="2414" t="s">
        <v>395</v>
      </c>
    </row>
    <row r="119" spans="1:4" ht="12.75" customHeight="1">
      <c r="A119" s="2410" t="str">
        <f t="shared" si="2"/>
        <v>Tiere</v>
      </c>
      <c r="B119" s="2410" t="s">
        <v>3064</v>
      </c>
      <c r="C119" s="2410" t="s">
        <v>1698</v>
      </c>
      <c r="D119" s="2414" t="s">
        <v>8437</v>
      </c>
    </row>
    <row r="120" spans="1:4" ht="12.75" customHeight="1">
      <c r="A120" s="2410" t="str">
        <f t="shared" si="2"/>
        <v>Rindvieh</v>
      </c>
      <c r="B120" s="2410" t="s">
        <v>2588</v>
      </c>
      <c r="C120" s="2410" t="s">
        <v>712</v>
      </c>
      <c r="D120" s="2414" t="s">
        <v>2218</v>
      </c>
    </row>
    <row r="121" spans="1:4" ht="12.75" customHeight="1">
      <c r="A121" s="2410" t="str">
        <f t="shared" si="2"/>
        <v>Equiden</v>
      </c>
      <c r="B121" s="2410" t="s">
        <v>5431</v>
      </c>
      <c r="C121" s="2410" t="s">
        <v>59</v>
      </c>
      <c r="D121" s="2414" t="s">
        <v>2219</v>
      </c>
    </row>
    <row r="122" spans="1:4" ht="12.75" customHeight="1">
      <c r="A122" s="2410" t="str">
        <f t="shared" si="2"/>
        <v>Kleinwiederkäuer</v>
      </c>
      <c r="B122" s="2410" t="s">
        <v>2590</v>
      </c>
      <c r="C122" s="2410" t="s">
        <v>3848</v>
      </c>
      <c r="D122" s="2414" t="s">
        <v>2220</v>
      </c>
    </row>
    <row r="123" spans="1:4" ht="12.75" customHeight="1">
      <c r="A123" s="2410" t="str">
        <f t="shared" si="2"/>
        <v>Andere Raufutterverzehrer</v>
      </c>
      <c r="B123" s="2410" t="s">
        <v>4020</v>
      </c>
      <c r="C123" s="2410" t="s">
        <v>2337</v>
      </c>
      <c r="D123" s="2414" t="s">
        <v>8461</v>
      </c>
    </row>
    <row r="124" spans="1:4" ht="12.75" customHeight="1">
      <c r="A124" s="2410" t="str">
        <f t="shared" si="2"/>
        <v>Schweine</v>
      </c>
      <c r="B124" s="2410" t="s">
        <v>2279</v>
      </c>
      <c r="C124" s="2410" t="s">
        <v>1585</v>
      </c>
      <c r="D124" s="2414" t="s">
        <v>1918</v>
      </c>
    </row>
    <row r="125" spans="1:4" ht="12.75" customHeight="1">
      <c r="A125" s="2410" t="str">
        <f t="shared" si="2"/>
        <v>Geflügel</v>
      </c>
      <c r="B125" s="2410" t="s">
        <v>2280</v>
      </c>
      <c r="C125" s="2410" t="s">
        <v>3957</v>
      </c>
      <c r="D125" s="2414" t="s">
        <v>8462</v>
      </c>
    </row>
    <row r="126" spans="1:4" ht="12.75" customHeight="1">
      <c r="A126" s="2410" t="str">
        <f t="shared" si="2"/>
        <v>Arbeitsbedarf total</v>
      </c>
      <c r="B126" s="2410" t="s">
        <v>4144</v>
      </c>
      <c r="C126" s="2410" t="s">
        <v>4147</v>
      </c>
      <c r="D126" s="2414" t="s">
        <v>8463</v>
      </c>
    </row>
    <row r="127" spans="1:4" ht="12.75" customHeight="1">
      <c r="A127" s="2410" t="str">
        <f t="shared" si="2"/>
        <v>für Betrieb, Nebenerwerb und Haushalt</v>
      </c>
      <c r="B127" s="2410" t="s">
        <v>4145</v>
      </c>
      <c r="C127" s="2410" t="s">
        <v>4146</v>
      </c>
      <c r="D127" s="2414" t="s">
        <v>8464</v>
      </c>
    </row>
    <row r="128" spans="1:4" ht="12.75" customHeight="1">
      <c r="A128" s="2410" t="str">
        <f t="shared" si="2"/>
        <v>Erfolgsrechnung</v>
      </c>
      <c r="B128" s="2410" t="s">
        <v>429</v>
      </c>
      <c r="C128" s="2410" t="s">
        <v>3878</v>
      </c>
      <c r="D128" s="2414" t="s">
        <v>408</v>
      </c>
    </row>
    <row r="129" spans="1:4" ht="12.75" customHeight="1">
      <c r="A129" s="2410" t="str">
        <f t="shared" si="2"/>
        <v>Bruttoergebnis 1</v>
      </c>
      <c r="B129" s="2410" t="s">
        <v>7983</v>
      </c>
      <c r="C129" s="2410" t="s">
        <v>8341</v>
      </c>
      <c r="D129" s="2414" t="s">
        <v>8465</v>
      </c>
    </row>
    <row r="130" spans="1:4" ht="12.75" customHeight="1">
      <c r="A130" s="2410" t="str">
        <f t="shared" si="2"/>
        <v>EBITDA</v>
      </c>
      <c r="B130" s="2410" t="s">
        <v>8336</v>
      </c>
      <c r="C130" s="2410" t="s">
        <v>8336</v>
      </c>
      <c r="D130" s="2414" t="s">
        <v>8336</v>
      </c>
    </row>
    <row r="131" spans="1:4" ht="12.75" customHeight="1">
      <c r="A131" s="2410" t="str">
        <f t="shared" si="2"/>
        <v>EBIT</v>
      </c>
      <c r="B131" s="2410" t="s">
        <v>8337</v>
      </c>
      <c r="C131" s="2410" t="s">
        <v>8337</v>
      </c>
      <c r="D131" s="2414" t="s">
        <v>8337</v>
      </c>
    </row>
    <row r="132" spans="1:4" ht="12.75" customHeight="1">
      <c r="A132" s="2410" t="str">
        <f t="shared" si="2"/>
        <v>EBT</v>
      </c>
      <c r="B132" s="2410" t="s">
        <v>8338</v>
      </c>
      <c r="C132" s="2410" t="s">
        <v>8338</v>
      </c>
      <c r="D132" s="2414" t="s">
        <v>8338</v>
      </c>
    </row>
    <row r="133" spans="1:4" ht="12.75" customHeight="1">
      <c r="A133" s="2410" t="str">
        <f t="shared" si="2"/>
        <v>Erfolg Nebenbetriebe</v>
      </c>
      <c r="B133" s="2410" t="s">
        <v>8347</v>
      </c>
      <c r="C133" s="2410" t="s">
        <v>8348</v>
      </c>
      <c r="D133" s="2414" t="s">
        <v>8466</v>
      </c>
    </row>
    <row r="134" spans="1:4" ht="12.75" customHeight="1">
      <c r="A134" s="2410" t="str">
        <f t="shared" si="2"/>
        <v>Erfolg Liegenschaften</v>
      </c>
      <c r="B134" s="2410" t="s">
        <v>8346</v>
      </c>
      <c r="C134" s="2410" t="s">
        <v>8345</v>
      </c>
      <c r="D134" s="2414" t="s">
        <v>8467</v>
      </c>
    </row>
    <row r="135" spans="1:4" ht="12.75" customHeight="1">
      <c r="A135" s="2410" t="str">
        <f t="shared" si="2"/>
        <v>Erfolg Landwirtschaft</v>
      </c>
      <c r="B135" s="2410" t="s">
        <v>8339</v>
      </c>
      <c r="C135" s="2410" t="s">
        <v>8344</v>
      </c>
      <c r="D135" s="2414" t="s">
        <v>8455</v>
      </c>
    </row>
    <row r="136" spans="1:4" ht="12.75" customHeight="1">
      <c r="A136" s="2410" t="str">
        <f t="shared" si="2"/>
        <v>Eigenkapitalbildung, -verzehr</v>
      </c>
      <c r="B136" s="2410" t="s">
        <v>8342</v>
      </c>
      <c r="C136" s="2410" t="s">
        <v>8030</v>
      </c>
      <c r="D136" s="2414" t="s">
        <v>11577</v>
      </c>
    </row>
    <row r="137" spans="1:4" ht="12.75" customHeight="1">
      <c r="A137" s="2410" t="str">
        <f t="shared" si="2"/>
        <v>Eigenkapitalveränderung</v>
      </c>
      <c r="B137" s="2410" t="s">
        <v>8033</v>
      </c>
      <c r="C137" s="2410" t="s">
        <v>4517</v>
      </c>
      <c r="D137" s="2414" t="s">
        <v>409</v>
      </c>
    </row>
    <row r="138" spans="1:4" ht="12.75" customHeight="1">
      <c r="A138" s="2410" t="str">
        <f t="shared" si="2"/>
        <v>Erfolg Gesamtsystem</v>
      </c>
      <c r="B138" s="2410" t="s">
        <v>8340</v>
      </c>
      <c r="C138" s="2410" t="s">
        <v>8343</v>
      </c>
      <c r="D138" s="2414" t="s">
        <v>8468</v>
      </c>
    </row>
    <row r="139" spans="1:4" ht="12.75" customHeight="1">
      <c r="A139" s="2410" t="str">
        <f t="shared" si="2"/>
        <v>Zinsanspruch Eigenkapital</v>
      </c>
      <c r="B139" s="2410" t="s">
        <v>5676</v>
      </c>
      <c r="C139" s="2410" t="s">
        <v>673</v>
      </c>
      <c r="D139" s="2414" t="s">
        <v>8469</v>
      </c>
    </row>
    <row r="140" spans="1:4" ht="12.75" customHeight="1">
      <c r="A140" s="2410" t="str">
        <f t="shared" si="2"/>
        <v>Arbeitsverdienst Gemeinschaft</v>
      </c>
      <c r="B140" s="2410" t="s">
        <v>5677</v>
      </c>
      <c r="C140" s="2410" t="s">
        <v>3352</v>
      </c>
      <c r="D140" s="2414" t="s">
        <v>8456</v>
      </c>
    </row>
    <row r="141" spans="1:4" ht="12.75" customHeight="1">
      <c r="A141" s="2410" t="str">
        <f t="shared" si="2"/>
        <v>Mittelflussrechnung</v>
      </c>
      <c r="B141" s="2410" t="s">
        <v>5678</v>
      </c>
      <c r="C141" s="2410" t="s">
        <v>6778</v>
      </c>
      <c r="D141" s="2414" t="s">
        <v>8470</v>
      </c>
    </row>
    <row r="142" spans="1:4" ht="12.75" customHeight="1">
      <c r="A142" s="2410" t="str">
        <f t="shared" si="2"/>
        <v>Mittelfluss Landwirtschaft vor Zinsen</v>
      </c>
      <c r="B142" s="2410" t="s">
        <v>4301</v>
      </c>
      <c r="C142" s="2410" t="s">
        <v>6938</v>
      </c>
      <c r="D142" s="2414" t="s">
        <v>11122</v>
      </c>
    </row>
    <row r="143" spans="1:4" ht="12.75" customHeight="1">
      <c r="A143" s="2410" t="str">
        <f t="shared" si="2"/>
        <v>Mittelfluss vor Privat u. Zinsen</v>
      </c>
      <c r="B143" s="2410" t="s">
        <v>4302</v>
      </c>
      <c r="C143" s="2410" t="s">
        <v>3250</v>
      </c>
      <c r="D143" s="2414" t="s">
        <v>11123</v>
      </c>
    </row>
    <row r="144" spans="1:4" ht="12.75" customHeight="1">
      <c r="A144" s="2410" t="str">
        <f t="shared" si="2"/>
        <v>Cashflow vor Zinsen</v>
      </c>
      <c r="B144" s="2410" t="s">
        <v>6231</v>
      </c>
      <c r="C144" s="2410" t="s">
        <v>3251</v>
      </c>
      <c r="D144" s="2414" t="s">
        <v>8471</v>
      </c>
    </row>
    <row r="145" spans="1:4" ht="12.75" customHeight="1">
      <c r="A145" s="2410" t="str">
        <f t="shared" si="2"/>
        <v>Saldo Investitionsbereich</v>
      </c>
      <c r="B145" s="2410" t="s">
        <v>4303</v>
      </c>
      <c r="C145" s="2410" t="s">
        <v>2108</v>
      </c>
      <c r="D145" s="2414" t="s">
        <v>8472</v>
      </c>
    </row>
    <row r="146" spans="1:4" ht="12.75" customHeight="1">
      <c r="A146" s="2410" t="str">
        <f t="shared" si="2"/>
        <v>Saldo Finanzierungsbereich</v>
      </c>
      <c r="B146" s="2410" t="s">
        <v>5411</v>
      </c>
      <c r="C146" s="2410" t="s">
        <v>1635</v>
      </c>
      <c r="D146" s="2414" t="s">
        <v>8473</v>
      </c>
    </row>
    <row r="147" spans="1:4" ht="12.75" customHeight="1">
      <c r="A147" s="2410" t="str">
        <f t="shared" ref="A147:A215" si="3">IF($A$2=1,B147,IF($A$2=2,C147,IF($A$2=3,IF(D147="",C147,D147),"")))</f>
        <v>Veränderung nettomonetäres UV</v>
      </c>
      <c r="B147" s="2410" t="s">
        <v>6027</v>
      </c>
      <c r="C147" s="2410" t="s">
        <v>5507</v>
      </c>
      <c r="D147" s="2414" t="s">
        <v>8474</v>
      </c>
    </row>
    <row r="148" spans="1:4" ht="12.75" customHeight="1">
      <c r="A148" s="2410" t="str">
        <f t="shared" si="3"/>
        <v>Nettomonetäres Umlaufvermögen</v>
      </c>
      <c r="B148" s="2410" t="s">
        <v>3374</v>
      </c>
      <c r="C148" s="2410" t="s">
        <v>5984</v>
      </c>
      <c r="D148" s="2414" t="s">
        <v>8475</v>
      </c>
    </row>
    <row r="149" spans="1:4" ht="12.75" customHeight="1">
      <c r="A149" s="2410" t="str">
        <f t="shared" si="3"/>
        <v>Kennziffern</v>
      </c>
      <c r="B149" s="2410" t="s">
        <v>3375</v>
      </c>
      <c r="C149" s="2410" t="s">
        <v>263</v>
      </c>
      <c r="D149" s="2414" t="s">
        <v>580</v>
      </c>
    </row>
    <row r="150" spans="1:4" ht="12.75" customHeight="1">
      <c r="A150" s="2410" t="str">
        <f t="shared" si="3"/>
        <v>Verschuldungsfaktor *)</v>
      </c>
      <c r="B150" s="2410" t="s">
        <v>6138</v>
      </c>
      <c r="C150" s="2410" t="s">
        <v>6450</v>
      </c>
      <c r="D150" s="2414" t="s">
        <v>8476</v>
      </c>
    </row>
    <row r="151" spans="1:4" ht="12.75" customHeight="1">
      <c r="A151" s="2410" t="str">
        <f t="shared" si="3"/>
        <v>* Gibt an, wieviel mal der letzte Cashflow erarbeitet werden müsste, um schuldenfrei zu werden</v>
      </c>
      <c r="B151" s="2410" t="s">
        <v>5409</v>
      </c>
      <c r="C151" s="2410" t="s">
        <v>3070</v>
      </c>
      <c r="D151" s="2414" t="s">
        <v>8477</v>
      </c>
    </row>
    <row r="152" spans="1:4" ht="12.75" customHeight="1">
      <c r="A152" s="2410" t="str">
        <f t="shared" si="3"/>
        <v>Kommentar:</v>
      </c>
      <c r="B152" s="2410" t="s">
        <v>5958</v>
      </c>
      <c r="C152" s="2410" t="s">
        <v>3071</v>
      </c>
      <c r="D152" s="2414" t="s">
        <v>8478</v>
      </c>
    </row>
    <row r="153" spans="1:4" ht="12.75" customHeight="1">
      <c r="A153" s="2410">
        <f t="shared" si="3"/>
        <v>0</v>
      </c>
      <c r="B153" s="2410"/>
      <c r="C153" s="2410"/>
      <c r="D153" s="2414"/>
    </row>
    <row r="154" spans="1:4" ht="12.75" customHeight="1">
      <c r="A154" s="2410" t="str">
        <f t="shared" si="3"/>
        <v>Auto-Korrektur von Eingabefehlern</v>
      </c>
      <c r="B154" s="2410" t="s">
        <v>332</v>
      </c>
      <c r="C154" s="2410" t="s">
        <v>3962</v>
      </c>
      <c r="D154" s="2414" t="s">
        <v>8479</v>
      </c>
    </row>
    <row r="155" spans="1:4" ht="12.75" customHeight="1">
      <c r="A155" s="2410" t="str">
        <f t="shared" si="3"/>
        <v>Alle Blätter aktualisieren</v>
      </c>
      <c r="B155" s="2410" t="s">
        <v>370</v>
      </c>
      <c r="C155" s="2410" t="s">
        <v>4812</v>
      </c>
      <c r="D155" s="2414" t="s">
        <v>8480</v>
      </c>
    </row>
    <row r="156" spans="1:4" ht="12.75" customHeight="1">
      <c r="A156" s="2410" t="str">
        <f t="shared" si="3"/>
        <v>BetVor light erstellen</v>
      </c>
      <c r="B156" s="2410" t="s">
        <v>5250</v>
      </c>
      <c r="C156" s="2410" t="s">
        <v>4813</v>
      </c>
      <c r="D156" s="2414" t="s">
        <v>8481</v>
      </c>
    </row>
    <row r="157" spans="1:4" ht="12.75" customHeight="1">
      <c r="A157" s="2410" t="str">
        <f t="shared" si="3"/>
        <v>Nachweis erstellen</v>
      </c>
      <c r="B157" s="2410" t="s">
        <v>5331</v>
      </c>
      <c r="C157" s="2410" t="s">
        <v>4814</v>
      </c>
      <c r="D157" s="2414" t="s">
        <v>8482</v>
      </c>
    </row>
    <row r="158" spans="1:4" ht="12.75" customHeight="1">
      <c r="A158" s="2410" t="str">
        <f t="shared" si="3"/>
        <v>Dirzahl erstellen</v>
      </c>
      <c r="B158" s="2410" t="s">
        <v>3961</v>
      </c>
      <c r="C158" s="2410" t="s">
        <v>4815</v>
      </c>
      <c r="D158" s="2414" t="s">
        <v>8483</v>
      </c>
    </row>
    <row r="159" spans="1:4" ht="12.75" customHeight="1">
      <c r="A159" s="2410" t="str">
        <f t="shared" si="3"/>
        <v xml:space="preserve">Allgemeine Angaben zum Betrieb </v>
      </c>
      <c r="B159" s="2410" t="s">
        <v>5960</v>
      </c>
      <c r="C159" s="2410" t="s">
        <v>3964</v>
      </c>
      <c r="D159" s="2414" t="s">
        <v>412</v>
      </c>
    </row>
    <row r="160" spans="1:4" ht="12.75" customHeight="1">
      <c r="A160" s="2410" t="str">
        <f t="shared" si="3"/>
        <v>Betriebsnummer</v>
      </c>
      <c r="B160" s="2410" t="s">
        <v>3436</v>
      </c>
      <c r="C160" s="2410" t="s">
        <v>4816</v>
      </c>
      <c r="D160" s="2414" t="s">
        <v>8484</v>
      </c>
    </row>
    <row r="161" spans="1:4" ht="12.75" customHeight="1">
      <c r="A161" s="2410" t="str">
        <f t="shared" si="3"/>
        <v>Erntejahr</v>
      </c>
      <c r="B161" s="2410" t="s">
        <v>3437</v>
      </c>
      <c r="C161" s="2410" t="s">
        <v>2578</v>
      </c>
      <c r="D161" s="2414" t="s">
        <v>8460</v>
      </c>
    </row>
    <row r="162" spans="1:4" ht="12.75" customHeight="1">
      <c r="A162" s="2410" t="str">
        <f t="shared" si="3"/>
        <v>Variante</v>
      </c>
      <c r="B162" s="2410" t="s">
        <v>6094</v>
      </c>
      <c r="C162" s="2410" t="s">
        <v>6094</v>
      </c>
      <c r="D162" s="2414" t="s">
        <v>6094</v>
      </c>
    </row>
    <row r="163" spans="1:4" ht="12.75" customHeight="1">
      <c r="A163" s="2410" t="str">
        <f t="shared" si="3"/>
        <v>Datenübernahme aus Feldbuch</v>
      </c>
      <c r="B163" s="2410" t="s">
        <v>330</v>
      </c>
      <c r="C163" s="2410" t="s">
        <v>7271</v>
      </c>
      <c r="D163" s="2414" t="s">
        <v>8485</v>
      </c>
    </row>
    <row r="164" spans="1:4" ht="12.75" customHeight="1">
      <c r="A164" s="2410" t="str">
        <f t="shared" si="3"/>
        <v xml:space="preserve">verheiratet </v>
      </c>
      <c r="B164" s="2410" t="s">
        <v>331</v>
      </c>
      <c r="C164" s="2410" t="s">
        <v>7272</v>
      </c>
      <c r="D164" s="2414" t="s">
        <v>11578</v>
      </c>
    </row>
    <row r="165" spans="1:4" ht="12.75" customHeight="1">
      <c r="A165" s="2410" t="str">
        <f t="shared" si="3"/>
        <v>Name, Vorname</v>
      </c>
      <c r="B165" s="2410" t="s">
        <v>11516</v>
      </c>
      <c r="C165" s="2410" t="s">
        <v>11517</v>
      </c>
      <c r="D165" s="2414" t="s">
        <v>11579</v>
      </c>
    </row>
    <row r="166" spans="1:4" ht="12.75" customHeight="1">
      <c r="A166" s="2410" t="str">
        <f t="shared" si="3"/>
        <v>Strasse, Hof</v>
      </c>
      <c r="B166" s="2410" t="s">
        <v>11518</v>
      </c>
      <c r="C166" s="2410" t="s">
        <v>11519</v>
      </c>
      <c r="D166" s="2414" t="s">
        <v>11580</v>
      </c>
    </row>
    <row r="167" spans="1:4" ht="12.75" customHeight="1">
      <c r="A167" s="2410" t="str">
        <f t="shared" si="3"/>
        <v>PLZ, Ort</v>
      </c>
      <c r="B167" s="2410" t="s">
        <v>11520</v>
      </c>
      <c r="C167" s="2410" t="s">
        <v>11521</v>
      </c>
      <c r="D167" s="2414" t="s">
        <v>11581</v>
      </c>
    </row>
    <row r="168" spans="1:4" ht="12.75" customHeight="1">
      <c r="A168" s="2410" t="str">
        <f t="shared" si="3"/>
        <v>Telefon</v>
      </c>
      <c r="B168" s="2410" t="s">
        <v>3439</v>
      </c>
      <c r="C168" s="2410" t="s">
        <v>5885</v>
      </c>
      <c r="D168" s="2414" t="s">
        <v>2229</v>
      </c>
    </row>
    <row r="169" spans="1:4" ht="12.75" customHeight="1">
      <c r="A169" s="2410" t="str">
        <f t="shared" si="3"/>
        <v>Kanton</v>
      </c>
      <c r="B169" s="2410" t="s">
        <v>3438</v>
      </c>
      <c r="C169" s="2410" t="s">
        <v>5886</v>
      </c>
      <c r="D169" s="2414" t="s">
        <v>2230</v>
      </c>
    </row>
    <row r="170" spans="1:4" ht="12.75" customHeight="1">
      <c r="A170" s="2410" t="str">
        <f t="shared" si="3"/>
        <v>Fax, E-Mail</v>
      </c>
      <c r="B170" s="2410" t="s">
        <v>11522</v>
      </c>
      <c r="C170" s="2410" t="s">
        <v>11523</v>
      </c>
      <c r="D170" s="2414" t="s">
        <v>11523</v>
      </c>
    </row>
    <row r="171" spans="1:4" ht="12.75" customHeight="1">
      <c r="A171" s="2410" t="str">
        <f t="shared" si="3"/>
        <v>Höhe über Meer</v>
      </c>
      <c r="B171" s="2410" t="s">
        <v>1874</v>
      </c>
      <c r="C171" s="2410" t="s">
        <v>4529</v>
      </c>
      <c r="D171" s="2414" t="s">
        <v>2927</v>
      </c>
    </row>
    <row r="172" spans="1:4" ht="12.75" customHeight="1">
      <c r="A172" s="2410" t="str">
        <f t="shared" si="3"/>
        <v>Produktionsform</v>
      </c>
      <c r="B172" s="2410" t="s">
        <v>4212</v>
      </c>
      <c r="C172" s="2410" t="s">
        <v>4530</v>
      </c>
      <c r="D172" s="2414" t="s">
        <v>8436</v>
      </c>
    </row>
    <row r="173" spans="1:4">
      <c r="A173" s="2410" t="str">
        <f t="shared" si="3"/>
        <v>Eigentumsverhältnis</v>
      </c>
      <c r="B173" s="3327" t="s">
        <v>12199</v>
      </c>
      <c r="C173" s="2410" t="s">
        <v>11105</v>
      </c>
      <c r="D173" s="2414" t="s">
        <v>12002</v>
      </c>
    </row>
    <row r="174" spans="1:4">
      <c r="A174" s="2410" t="str">
        <f t="shared" si="3"/>
        <v>Eigentümer</v>
      </c>
      <c r="B174" s="2410" t="s">
        <v>36</v>
      </c>
      <c r="C174" s="2410" t="s">
        <v>615</v>
      </c>
      <c r="D174" s="2414" t="s">
        <v>1146</v>
      </c>
    </row>
    <row r="175" spans="1:4">
      <c r="A175" s="2410" t="str">
        <f t="shared" si="3"/>
        <v>Vollpacht, Gewerbepacht</v>
      </c>
      <c r="B175" s="2410" t="s">
        <v>11367</v>
      </c>
      <c r="C175" s="2410" t="s">
        <v>11365</v>
      </c>
      <c r="D175" s="2414" t="s">
        <v>11366</v>
      </c>
    </row>
    <row r="176" spans="1:4" ht="12.75" customHeight="1">
      <c r="A176" s="2410" t="str">
        <f>IF($A$2=1,B176,IF($A$2=2,C176,IF($A$2=3,IF(D176="",C176,D176),"")))</f>
        <v>Pächter</v>
      </c>
      <c r="B176" s="2410" t="s">
        <v>11106</v>
      </c>
      <c r="C176" s="2410" t="s">
        <v>11107</v>
      </c>
      <c r="D176" s="2414"/>
    </row>
    <row r="177" spans="1:4" ht="12.75" customHeight="1">
      <c r="A177" s="2410" t="str">
        <f t="shared" si="3"/>
        <v>Gemeinschaften</v>
      </c>
      <c r="B177" s="2410" t="s">
        <v>3099</v>
      </c>
      <c r="C177" s="2410" t="s">
        <v>3388</v>
      </c>
      <c r="D177" s="2414" t="s">
        <v>5795</v>
      </c>
    </row>
    <row r="178" spans="1:4" ht="12.75" customHeight="1">
      <c r="A178" s="2410" t="str">
        <f t="shared" si="3"/>
        <v>Winterfütterung</v>
      </c>
      <c r="B178" s="2410" t="s">
        <v>1818</v>
      </c>
      <c r="C178" s="2410" t="s">
        <v>4531</v>
      </c>
      <c r="D178" s="2414" t="s">
        <v>8488</v>
      </c>
    </row>
    <row r="179" spans="1:4" ht="12.75" customHeight="1">
      <c r="A179" s="2410" t="str">
        <f t="shared" si="3"/>
        <v>Zoneneinteilung</v>
      </c>
      <c r="B179" s="2410" t="s">
        <v>1820</v>
      </c>
      <c r="C179" s="2410" t="s">
        <v>4532</v>
      </c>
      <c r="D179" s="2414" t="s">
        <v>8489</v>
      </c>
    </row>
    <row r="180" spans="1:4" ht="12.75" customHeight="1">
      <c r="A180" s="2410" t="str">
        <f t="shared" si="3"/>
        <v>Silofütterung</v>
      </c>
      <c r="B180" s="2410" t="s">
        <v>1821</v>
      </c>
      <c r="C180" s="2410" t="s">
        <v>5740</v>
      </c>
      <c r="D180" s="2414" t="s">
        <v>8490</v>
      </c>
    </row>
    <row r="181" spans="1:4" ht="12.75" customHeight="1">
      <c r="A181" s="2410" t="str">
        <f t="shared" si="3"/>
        <v>Sömmerung</v>
      </c>
      <c r="B181" s="2410" t="s">
        <v>6349</v>
      </c>
      <c r="C181" s="2410" t="s">
        <v>5044</v>
      </c>
      <c r="D181" s="2414" t="s">
        <v>1384</v>
      </c>
    </row>
    <row r="182" spans="1:4" ht="12.75" customHeight="1">
      <c r="A182" s="2410" t="str">
        <f t="shared" si="3"/>
        <v>BeraterIn: Name, Tel.</v>
      </c>
      <c r="B182" s="2410" t="s">
        <v>11104</v>
      </c>
      <c r="C182" s="2410" t="s">
        <v>5742</v>
      </c>
      <c r="D182" s="2414" t="s">
        <v>11103</v>
      </c>
    </row>
    <row r="183" spans="1:4" ht="12.75" customHeight="1">
      <c r="A183" s="2410" t="str">
        <f t="shared" si="3"/>
        <v>Familie</v>
      </c>
      <c r="B183" s="2410" t="s">
        <v>5352</v>
      </c>
      <c r="C183" s="2410" t="s">
        <v>5741</v>
      </c>
      <c r="D183" s="2414" t="s">
        <v>1386</v>
      </c>
    </row>
    <row r="184" spans="1:4" ht="12.75" customHeight="1">
      <c r="A184" s="2410" t="str">
        <f t="shared" si="3"/>
        <v>Name, Vorname</v>
      </c>
      <c r="B184" s="2410" t="s">
        <v>11516</v>
      </c>
      <c r="C184" s="2410" t="s">
        <v>11517</v>
      </c>
      <c r="D184" s="2414" t="s">
        <v>11579</v>
      </c>
    </row>
    <row r="185" spans="1:4" ht="12.75" customHeight="1">
      <c r="A185" s="2410" t="str">
        <f t="shared" si="3"/>
        <v>Geburtsjahr</v>
      </c>
      <c r="B185" s="2410" t="s">
        <v>5517</v>
      </c>
      <c r="C185" s="2410" t="s">
        <v>5743</v>
      </c>
      <c r="D185" s="2414" t="s">
        <v>1387</v>
      </c>
    </row>
    <row r="186" spans="1:4" ht="12.75" customHeight="1">
      <c r="A186" s="2410" t="str">
        <f t="shared" si="3"/>
        <v>weitere Angaben</v>
      </c>
      <c r="B186" s="2410" t="s">
        <v>5518</v>
      </c>
      <c r="C186" s="2410" t="s">
        <v>684</v>
      </c>
      <c r="D186" s="2414" t="s">
        <v>1388</v>
      </c>
    </row>
    <row r="187" spans="1:4" ht="12.75" customHeight="1">
      <c r="A187" s="2410" t="str">
        <f t="shared" si="3"/>
        <v>Gemeinschaft</v>
      </c>
      <c r="B187" s="2410" t="s">
        <v>607</v>
      </c>
      <c r="C187" s="2410" t="s">
        <v>3388</v>
      </c>
      <c r="D187" s="2414" t="s">
        <v>5795</v>
      </c>
    </row>
    <row r="188" spans="1:4" ht="12.75" customHeight="1">
      <c r="A188" s="2410" t="str">
        <f t="shared" si="3"/>
        <v>Partner A</v>
      </c>
      <c r="B188" s="2410" t="s">
        <v>608</v>
      </c>
      <c r="C188" s="2410" t="s">
        <v>5744</v>
      </c>
      <c r="D188" s="2414" t="s">
        <v>608</v>
      </c>
    </row>
    <row r="189" spans="1:4" ht="12.75" customHeight="1">
      <c r="A189" s="2410" t="str">
        <f t="shared" si="3"/>
        <v>Partner B</v>
      </c>
      <c r="B189" s="2410" t="s">
        <v>609</v>
      </c>
      <c r="C189" s="2410" t="s">
        <v>5745</v>
      </c>
      <c r="D189" s="2414" t="s">
        <v>609</v>
      </c>
    </row>
    <row r="190" spans="1:4" ht="12.75" customHeight="1">
      <c r="A190" s="2410" t="str">
        <f t="shared" si="3"/>
        <v>Partner C</v>
      </c>
      <c r="B190" s="2410" t="s">
        <v>610</v>
      </c>
      <c r="C190" s="2410" t="s">
        <v>5746</v>
      </c>
      <c r="D190" s="2414" t="s">
        <v>610</v>
      </c>
    </row>
    <row r="191" spans="1:4" ht="12.75" customHeight="1">
      <c r="A191" s="2410" t="str">
        <f t="shared" si="3"/>
        <v>Partner D</v>
      </c>
      <c r="B191" s="2410" t="s">
        <v>4797</v>
      </c>
      <c r="C191" s="2410" t="s">
        <v>2060</v>
      </c>
      <c r="D191" s="2414" t="s">
        <v>4797</v>
      </c>
    </row>
    <row r="192" spans="1:4" ht="12.75" customHeight="1">
      <c r="A192" s="2410" t="str">
        <f t="shared" si="3"/>
        <v>Angestellte</v>
      </c>
      <c r="B192" s="2410" t="s">
        <v>5402</v>
      </c>
      <c r="C192" s="2410" t="s">
        <v>6868</v>
      </c>
      <c r="D192" s="2414" t="s">
        <v>1389</v>
      </c>
    </row>
    <row r="193" spans="1:4" ht="12.75" customHeight="1">
      <c r="A193" s="2410" t="str">
        <f t="shared" si="3"/>
        <v>Vertragsmengen</v>
      </c>
      <c r="B193" s="2410" t="s">
        <v>5504</v>
      </c>
      <c r="C193" s="2410" t="s">
        <v>5502</v>
      </c>
      <c r="D193" s="2414" t="s">
        <v>8491</v>
      </c>
    </row>
    <row r="194" spans="1:4" ht="12.75" customHeight="1">
      <c r="A194" s="2410">
        <f t="shared" si="3"/>
        <v>0</v>
      </c>
      <c r="B194" s="2410"/>
      <c r="C194" s="2410" t="s">
        <v>5503</v>
      </c>
      <c r="D194" s="2414" t="s">
        <v>8492</v>
      </c>
    </row>
    <row r="195" spans="1:4" ht="12.75" customHeight="1">
      <c r="A195" s="2410" t="str">
        <f t="shared" si="3"/>
        <v>Milch, vermarktet</v>
      </c>
      <c r="B195" s="2410" t="s">
        <v>6655</v>
      </c>
      <c r="C195" s="2410" t="s">
        <v>6654</v>
      </c>
      <c r="D195" s="2414" t="s">
        <v>4522</v>
      </c>
    </row>
    <row r="196" spans="1:4" ht="12.75" customHeight="1">
      <c r="A196" s="2410" t="str">
        <f t="shared" si="3"/>
        <v>Raps</v>
      </c>
      <c r="B196" s="2410" t="s">
        <v>4798</v>
      </c>
      <c r="C196" s="2410" t="s">
        <v>2317</v>
      </c>
      <c r="D196" s="2414" t="s">
        <v>2317</v>
      </c>
    </row>
    <row r="197" spans="1:4" ht="12.75" customHeight="1">
      <c r="A197" s="2410" t="str">
        <f t="shared" si="3"/>
        <v>Zuckerrüben</v>
      </c>
      <c r="B197" s="2410" t="s">
        <v>4799</v>
      </c>
      <c r="C197" s="2410" t="s">
        <v>5532</v>
      </c>
      <c r="D197" s="2414" t="s">
        <v>8493</v>
      </c>
    </row>
    <row r="198" spans="1:4" ht="12.75" customHeight="1">
      <c r="A198" s="2410" t="str">
        <f t="shared" si="3"/>
        <v>Landw. Nutzfläche</v>
      </c>
      <c r="B198" s="2410" t="s">
        <v>5619</v>
      </c>
      <c r="C198" s="2410" t="s">
        <v>5533</v>
      </c>
      <c r="D198" s="2414" t="s">
        <v>8268</v>
      </c>
    </row>
    <row r="199" spans="1:4" ht="12.75" customHeight="1">
      <c r="A199" s="2410" t="str">
        <f t="shared" si="3"/>
        <v>Eigenland</v>
      </c>
      <c r="B199" s="2410" t="s">
        <v>4800</v>
      </c>
      <c r="C199" s="2410" t="s">
        <v>3076</v>
      </c>
      <c r="D199" s="2414" t="s">
        <v>1390</v>
      </c>
    </row>
    <row r="200" spans="1:4" ht="12.75" customHeight="1">
      <c r="A200" s="2410" t="str">
        <f t="shared" si="3"/>
        <v>Pachtland</v>
      </c>
      <c r="B200" s="2410" t="s">
        <v>4801</v>
      </c>
      <c r="C200" s="2410" t="s">
        <v>533</v>
      </c>
      <c r="D200" s="2414" t="s">
        <v>1391</v>
      </c>
    </row>
    <row r="201" spans="1:4" ht="12.75" customHeight="1">
      <c r="A201" s="2410" t="str">
        <f t="shared" si="3"/>
        <v>Total</v>
      </c>
      <c r="B201" s="2410" t="s">
        <v>4802</v>
      </c>
      <c r="C201" s="2410" t="s">
        <v>4802</v>
      </c>
      <c r="D201" s="2414" t="s">
        <v>6340</v>
      </c>
    </row>
    <row r="202" spans="1:4" ht="12.75" customHeight="1">
      <c r="A202" s="2410" t="str">
        <f t="shared" si="3"/>
        <v>zusätzlich Bauland ohne Beitragsberechtigung</v>
      </c>
      <c r="B202" s="2410" t="s">
        <v>4175</v>
      </c>
      <c r="C202" s="2410" t="s">
        <v>4176</v>
      </c>
      <c r="D202" s="2414" t="s">
        <v>8494</v>
      </c>
    </row>
    <row r="203" spans="1:4" ht="12.75" customHeight="1">
      <c r="A203" s="2410" t="str">
        <f t="shared" si="3"/>
        <v>Bemerkungen</v>
      </c>
      <c r="B203" s="2410" t="s">
        <v>5345</v>
      </c>
      <c r="C203" s="2410" t="s">
        <v>534</v>
      </c>
      <c r="D203" s="2414" t="s">
        <v>2750</v>
      </c>
    </row>
    <row r="204" spans="1:4" ht="12.75" customHeight="1">
      <c r="A204" s="2410" t="str">
        <f t="shared" si="3"/>
        <v>Datum</v>
      </c>
      <c r="B204" s="2410" t="s">
        <v>5346</v>
      </c>
      <c r="C204" s="2410" t="s">
        <v>535</v>
      </c>
      <c r="D204" s="2414" t="s">
        <v>2751</v>
      </c>
    </row>
    <row r="205" spans="1:4" ht="12.75" customHeight="1">
      <c r="A205" s="2410" t="str">
        <f t="shared" si="3"/>
        <v>Unterschrift</v>
      </c>
      <c r="B205" s="2410" t="s">
        <v>5347</v>
      </c>
      <c r="C205" s="2410" t="s">
        <v>536</v>
      </c>
      <c r="D205" s="2414" t="s">
        <v>2752</v>
      </c>
    </row>
    <row r="206" spans="1:4" ht="24" customHeight="1">
      <c r="A206" s="2410" t="str">
        <f t="shared" si="3"/>
        <v>Der (Die) unterzeichnende(n) Betriebsleiter bestätigt (bestätigen) die Richtigkeit der in diesem Betriebsvoranschlag verwendeten Daten.</v>
      </c>
      <c r="B206" s="2410" t="s">
        <v>3272</v>
      </c>
      <c r="C206" s="2410" t="s">
        <v>3494</v>
      </c>
      <c r="D206" s="2414" t="s">
        <v>8495</v>
      </c>
    </row>
    <row r="207" spans="1:4" ht="12.75" customHeight="1">
      <c r="A207" s="2410">
        <f t="shared" si="3"/>
        <v>0</v>
      </c>
      <c r="B207" s="2410"/>
      <c r="C207" s="2410"/>
      <c r="D207" s="2414"/>
    </row>
    <row r="208" spans="1:4" ht="12.75" customHeight="1">
      <c r="A208" s="2410" t="str">
        <f t="shared" si="3"/>
        <v>Nachgewiesene Durchschnittserträge über dem Standardertrag ¹</v>
      </c>
      <c r="B208" s="2410" t="s">
        <v>11335</v>
      </c>
      <c r="C208" s="2410" t="s">
        <v>2315</v>
      </c>
      <c r="D208" s="2414" t="s">
        <v>8496</v>
      </c>
    </row>
    <row r="209" spans="1:4" ht="12.75" customHeight="1">
      <c r="A209" s="2410" t="str">
        <f t="shared" si="3"/>
        <v>Hauptkultur</v>
      </c>
      <c r="B209" s="2410" t="s">
        <v>4258</v>
      </c>
      <c r="C209" s="2410" t="s">
        <v>3312</v>
      </c>
      <c r="D209" s="2414" t="s">
        <v>2753</v>
      </c>
    </row>
    <row r="210" spans="1:4" ht="12.75" customHeight="1">
      <c r="A210" s="2410" t="str">
        <f t="shared" si="3"/>
        <v>Hauptprodukt</v>
      </c>
      <c r="B210" s="2410" t="s">
        <v>5351</v>
      </c>
      <c r="C210" s="2410" t="s">
        <v>3313</v>
      </c>
      <c r="D210" s="2414" t="s">
        <v>2754</v>
      </c>
    </row>
    <row r="211" spans="1:4" ht="12.75" customHeight="1">
      <c r="A211" s="2410" t="str">
        <f t="shared" si="3"/>
        <v>Nebenprodukt</v>
      </c>
      <c r="B211" s="2410" t="s">
        <v>1500</v>
      </c>
      <c r="C211" s="2410" t="s">
        <v>6795</v>
      </c>
      <c r="D211" s="2414" t="s">
        <v>2755</v>
      </c>
    </row>
    <row r="212" spans="1:4" ht="12.75" customHeight="1">
      <c r="A212" s="2410" t="str">
        <f t="shared" si="3"/>
        <v>Feldertrag</v>
      </c>
      <c r="B212" s="2410" t="s">
        <v>5929</v>
      </c>
      <c r="C212" s="2410" t="s">
        <v>3237</v>
      </c>
      <c r="D212" s="2414" t="s">
        <v>8497</v>
      </c>
    </row>
    <row r="213" spans="1:4" ht="12.75" customHeight="1">
      <c r="A213" s="2410" t="str">
        <f t="shared" si="3"/>
        <v>TS</v>
      </c>
      <c r="B213" s="2410" t="s">
        <v>4261</v>
      </c>
      <c r="C213" s="2410" t="s">
        <v>3277</v>
      </c>
      <c r="D213" s="2414" t="s">
        <v>8498</v>
      </c>
    </row>
    <row r="214" spans="1:4" ht="12.75" customHeight="1">
      <c r="A214" s="2410" t="str">
        <f t="shared" si="3"/>
        <v>dt total</v>
      </c>
      <c r="B214" s="2410" t="s">
        <v>4263</v>
      </c>
      <c r="C214" s="2410" t="s">
        <v>11102</v>
      </c>
      <c r="D214" s="2414" t="s">
        <v>11101</v>
      </c>
    </row>
    <row r="215" spans="1:4" ht="12.75" customHeight="1">
      <c r="A215" s="2410" t="str">
        <f t="shared" si="3"/>
        <v>Fläche</v>
      </c>
      <c r="B215" s="2410" t="s">
        <v>5348</v>
      </c>
      <c r="C215" s="2410" t="s">
        <v>1697</v>
      </c>
      <c r="D215" s="2414" t="s">
        <v>2757</v>
      </c>
    </row>
    <row r="216" spans="1:4" ht="12.75" customHeight="1">
      <c r="A216" s="2410" t="str">
        <f t="shared" ref="A216:A290" si="4">IF($A$2=1,B216,IF($A$2=2,C216,IF($A$2=3,IF(D216="",C216,D216),"")))</f>
        <v>Ertrag</v>
      </c>
      <c r="B216" s="2410" t="s">
        <v>4260</v>
      </c>
      <c r="C216" s="2410" t="s">
        <v>3238</v>
      </c>
      <c r="D216" s="2414" t="s">
        <v>5878</v>
      </c>
    </row>
    <row r="217" spans="1:4" ht="12.75" customHeight="1">
      <c r="A217" s="2410" t="str">
        <f t="shared" si="4"/>
        <v>die Fläche des Nebenprodukts darf nicht grösser sein, als die Fläche des Hauptprodukts</v>
      </c>
      <c r="B217" s="2418" t="s">
        <v>7404</v>
      </c>
      <c r="C217" s="2418" t="s">
        <v>5494</v>
      </c>
      <c r="D217" s="2425" t="s">
        <v>8499</v>
      </c>
    </row>
    <row r="218" spans="1:4" ht="12.75" customHeight="1">
      <c r="A218" s="2410" t="str">
        <f t="shared" si="4"/>
        <v>Getreide</v>
      </c>
      <c r="B218" s="2410" t="s">
        <v>4508</v>
      </c>
      <c r="C218" s="2410" t="s">
        <v>1553</v>
      </c>
      <c r="D218" s="2414" t="s">
        <v>5798</v>
      </c>
    </row>
    <row r="219" spans="1:4" ht="12.75" customHeight="1">
      <c r="A219" s="2410" t="str">
        <f t="shared" si="4"/>
        <v>Winterweizen</v>
      </c>
      <c r="B219" s="2410" t="s">
        <v>4264</v>
      </c>
      <c r="C219" s="2410" t="s">
        <v>11732</v>
      </c>
      <c r="D219" s="2414" t="s">
        <v>8500</v>
      </c>
    </row>
    <row r="220" spans="1:4" ht="12.75" customHeight="1">
      <c r="A220" s="2410" t="str">
        <f t="shared" si="4"/>
        <v>Futterweizen</v>
      </c>
      <c r="B220" s="2410" t="s">
        <v>6046</v>
      </c>
      <c r="C220" s="2410" t="s">
        <v>7630</v>
      </c>
      <c r="D220" s="2414" t="s">
        <v>8501</v>
      </c>
    </row>
    <row r="221" spans="1:4" ht="12.75" customHeight="1">
      <c r="A221" s="2410" t="str">
        <f t="shared" si="4"/>
        <v>Sommerweizen</v>
      </c>
      <c r="B221" s="2410" t="s">
        <v>7405</v>
      </c>
      <c r="C221" s="2410" t="s">
        <v>3121</v>
      </c>
      <c r="D221" s="2414" t="s">
        <v>396</v>
      </c>
    </row>
    <row r="222" spans="1:4" ht="12.75" customHeight="1">
      <c r="A222" s="2410" t="str">
        <f t="shared" si="4"/>
        <v>Wintergerste</v>
      </c>
      <c r="B222" s="2410" t="s">
        <v>3794</v>
      </c>
      <c r="C222" s="2410" t="s">
        <v>2045</v>
      </c>
      <c r="D222" s="2414" t="s">
        <v>397</v>
      </c>
    </row>
    <row r="223" spans="1:4" ht="12.75" customHeight="1">
      <c r="A223" s="2410" t="str">
        <f t="shared" si="4"/>
        <v>Sommergerste</v>
      </c>
      <c r="B223" s="2410" t="s">
        <v>5447</v>
      </c>
      <c r="C223" s="2410" t="s">
        <v>2046</v>
      </c>
      <c r="D223" s="2414" t="s">
        <v>398</v>
      </c>
    </row>
    <row r="224" spans="1:4" ht="12.75" customHeight="1">
      <c r="A224" s="2410" t="str">
        <f t="shared" si="4"/>
        <v>Winterhafer</v>
      </c>
      <c r="B224" s="2410" t="s">
        <v>6666</v>
      </c>
      <c r="C224" s="2410" t="s">
        <v>48</v>
      </c>
      <c r="D224" s="2414" t="s">
        <v>399</v>
      </c>
    </row>
    <row r="225" spans="1:4" ht="12.75" customHeight="1">
      <c r="A225" s="2410" t="str">
        <f t="shared" si="4"/>
        <v>Sommerhafer</v>
      </c>
      <c r="B225" s="2410" t="s">
        <v>5511</v>
      </c>
      <c r="C225" s="2410" t="s">
        <v>5512</v>
      </c>
      <c r="D225" s="2414" t="s">
        <v>400</v>
      </c>
    </row>
    <row r="226" spans="1:4" ht="12.75" customHeight="1">
      <c r="A226" s="2410" t="str">
        <f t="shared" si="4"/>
        <v>Winterroggen</v>
      </c>
      <c r="B226" s="2410" t="s">
        <v>4570</v>
      </c>
      <c r="C226" s="2410" t="s">
        <v>5159</v>
      </c>
      <c r="D226" s="2414" t="s">
        <v>401</v>
      </c>
    </row>
    <row r="227" spans="1:4" ht="12.75" customHeight="1">
      <c r="A227" s="2410" t="str">
        <f t="shared" si="4"/>
        <v>Winterroggen, Hybridsorten</v>
      </c>
      <c r="B227" s="2410" t="s">
        <v>7596</v>
      </c>
      <c r="C227" s="2410" t="s">
        <v>7595</v>
      </c>
      <c r="D227" s="2414" t="s">
        <v>8502</v>
      </c>
    </row>
    <row r="228" spans="1:4" ht="12.75" customHeight="1">
      <c r="A228" s="2410" t="str">
        <f t="shared" si="4"/>
        <v>Dinkel, Winterkorn</v>
      </c>
      <c r="B228" s="2410" t="s">
        <v>7597</v>
      </c>
      <c r="C228" s="2410" t="s">
        <v>5626</v>
      </c>
      <c r="D228" s="2414" t="s">
        <v>402</v>
      </c>
    </row>
    <row r="229" spans="1:4" ht="12.75" customHeight="1">
      <c r="A229" s="2410" t="str">
        <f t="shared" si="4"/>
        <v>Emmer, Einkorn</v>
      </c>
      <c r="B229" s="2410" t="s">
        <v>3810</v>
      </c>
      <c r="C229" s="2410" t="s">
        <v>6962</v>
      </c>
      <c r="D229" s="2414" t="s">
        <v>8503</v>
      </c>
    </row>
    <row r="230" spans="1:4" ht="12.75" customHeight="1">
      <c r="A230" s="2410" t="str">
        <f t="shared" si="4"/>
        <v>Wintertriticale</v>
      </c>
      <c r="B230" s="2410" t="s">
        <v>2370</v>
      </c>
      <c r="C230" s="2410" t="s">
        <v>7416</v>
      </c>
      <c r="D230" s="2414" t="s">
        <v>403</v>
      </c>
    </row>
    <row r="231" spans="1:4" ht="12.75" customHeight="1">
      <c r="A231" s="2410" t="str">
        <f t="shared" si="4"/>
        <v>Sommertriticale</v>
      </c>
      <c r="B231" s="2410" t="s">
        <v>291</v>
      </c>
      <c r="C231" s="2410" t="s">
        <v>292</v>
      </c>
      <c r="D231" s="2414" t="s">
        <v>404</v>
      </c>
    </row>
    <row r="232" spans="1:4" ht="12.75" customHeight="1">
      <c r="A232" s="2410" t="str">
        <f t="shared" si="4"/>
        <v>Getreide-Silage</v>
      </c>
      <c r="B232" s="2410" t="s">
        <v>5437</v>
      </c>
      <c r="C232" s="2410" t="s">
        <v>5439</v>
      </c>
      <c r="D232" s="2414" t="s">
        <v>8278</v>
      </c>
    </row>
    <row r="233" spans="1:4" ht="12.75" customHeight="1">
      <c r="A233" s="2410" t="str">
        <f t="shared" si="4"/>
        <v>Getreide-Silage mit Leguminosen</v>
      </c>
      <c r="B233" s="2410" t="s">
        <v>5438</v>
      </c>
      <c r="C233" s="2410" t="s">
        <v>5440</v>
      </c>
      <c r="D233" s="2414" t="s">
        <v>9405</v>
      </c>
    </row>
    <row r="234" spans="1:4" ht="12.75" customHeight="1">
      <c r="A234" s="2410" t="str">
        <f t="shared" si="4"/>
        <v>Markthackfrüchte</v>
      </c>
      <c r="B234" s="2410" t="s">
        <v>6144</v>
      </c>
      <c r="C234" s="2410" t="s">
        <v>1524</v>
      </c>
      <c r="D234" s="2414" t="s">
        <v>11118</v>
      </c>
    </row>
    <row r="235" spans="1:4" ht="12.75" customHeight="1">
      <c r="A235" s="2410" t="str">
        <f t="shared" si="4"/>
        <v>TS - Ertrag</v>
      </c>
      <c r="B235" s="2410" t="s">
        <v>4661</v>
      </c>
      <c r="C235" s="2410" t="s">
        <v>5899</v>
      </c>
      <c r="D235" s="2414" t="s">
        <v>8504</v>
      </c>
    </row>
    <row r="236" spans="1:4" ht="12.75" customHeight="1">
      <c r="A236" s="2410" t="str">
        <f t="shared" si="4"/>
        <v>Winterraps für Speiseöl</v>
      </c>
      <c r="B236" s="2410" t="s">
        <v>5698</v>
      </c>
      <c r="C236" s="2410" t="s">
        <v>1784</v>
      </c>
      <c r="D236" s="2414" t="s">
        <v>8505</v>
      </c>
    </row>
    <row r="237" spans="1:4" ht="12.75" customHeight="1">
      <c r="A237" s="2410" t="str">
        <f t="shared" si="4"/>
        <v>Sommerraps</v>
      </c>
      <c r="B237" s="2410" t="s">
        <v>293</v>
      </c>
      <c r="C237" s="2410" t="s">
        <v>294</v>
      </c>
      <c r="D237" s="2414" t="s">
        <v>1792</v>
      </c>
    </row>
    <row r="238" spans="1:4" ht="12.75" customHeight="1">
      <c r="A238" s="2410" t="str">
        <f t="shared" si="4"/>
        <v>Kartoffeln, Speise- u. Industrie- ²</v>
      </c>
      <c r="B238" s="2410" t="s">
        <v>11336</v>
      </c>
      <c r="C238" s="2410" t="s">
        <v>11582</v>
      </c>
      <c r="D238" s="2414" t="s">
        <v>8506</v>
      </c>
    </row>
    <row r="239" spans="1:4" ht="12.75" customHeight="1">
      <c r="A239" s="2410" t="str">
        <f t="shared" si="4"/>
        <v>Kartoffeln, Früh- ²</v>
      </c>
      <c r="B239" s="2410" t="s">
        <v>7631</v>
      </c>
      <c r="C239" s="2410" t="s">
        <v>7633</v>
      </c>
      <c r="D239" s="2414" t="s">
        <v>8507</v>
      </c>
    </row>
    <row r="240" spans="1:4" ht="12.75" customHeight="1">
      <c r="A240" s="2410" t="str">
        <f t="shared" si="4"/>
        <v>Kartoffeln, Pflanz- ²</v>
      </c>
      <c r="B240" s="2410" t="s">
        <v>7632</v>
      </c>
      <c r="C240" s="2410" t="s">
        <v>7634</v>
      </c>
      <c r="D240" s="2414" t="s">
        <v>8508</v>
      </c>
    </row>
    <row r="241" spans="1:6" ht="39.200000000000003" customHeight="1">
      <c r="A241" s="2410" t="str">
        <f>IF($A$2=1,B241,IF($A$2=2,C241,IF($A$2=3,IF(D241="",C241,D241),"")))</f>
        <v>² Erfassung der sortenspezifischem N-Düngung in den gelben Zellen im
  Blatt "D_Fläche".
³ Edelkastanien</v>
      </c>
      <c r="B241" s="2417" t="str">
        <f>"²" &amp; Q!txtAbstand_em &amp;  "Erfassung der sortenspezifischem N-Düngung in den gelben Zellen im"  &amp; Q!txtAbsatz &amp; Q!txtAbstand_em &amp; " Blatt """  &amp; Q!J68 &amp; """." &amp; Q!txtAbsatz &amp; Q!txt³ &amp; Q!txtAbstand_em &amp;   "Edelkastanien"</f>
        <v>² Erfassung der sortenspezifischem N-Düngung in den gelben Zellen im
  Blatt "D_Fläche".
³ Edelkastanien</v>
      </c>
      <c r="C241" s="2417" t="str">
        <f>"²" &amp; Q!txtAbstand_em &amp;  "Saisie de la N fertilisation Sp'ecifique de la varieté sur dans les cellules jaunes de la feuille « " &amp; Q!J68 &amp; " » ."</f>
        <v>² Saisie de la N fertilisation Sp'ecifique de la varieté sur dans les cellules jaunes de la feuille « D_Fläche » .</v>
      </c>
      <c r="D241" s="2414" t="str">
        <f>"²" &amp; Q!txtAbstand_em &amp;  "Inserisci il fabbisogno specifico di N nelle caselle gialle del foglio «" &amp; Q!$J$68 &amp; "»"</f>
        <v>² Inserisci il fabbisogno specifico di N nelle caselle gialle del foglio «D_Fläche»</v>
      </c>
      <c r="E241" s="2426"/>
      <c r="F241" s="2426"/>
    </row>
    <row r="242" spans="1:6" ht="25.5">
      <c r="A242" s="2410" t="str">
        <f>IF($A$2=1,B242,IF($A$2=2,C242,IF($A$2=3,IF(D242="",C242,D242),"")))</f>
        <v>Erfassung der sortenspezifischem N-Düngung in den gelben Zellen im Blatt "D_Fläche".</v>
      </c>
      <c r="B242" s="2417" t="str">
        <f xml:space="preserve"> "Erfassung der sortenspezifischem N-Düngung in den gelben Zellen im Blatt """  &amp; Q!J68 &amp; """."</f>
        <v>Erfassung der sortenspezifischem N-Düngung in den gelben Zellen im Blatt "D_Fläche".</v>
      </c>
      <c r="C242" s="2417" t="str">
        <f xml:space="preserve"> "Saisie de la N fertilisation Sp'ecifique de la varieté sur dans les cellules jaunes de la feuille « " &amp; Q!J68 &amp; " » ."</f>
        <v>Saisie de la N fertilisation Sp'ecifique de la varieté sur dans les cellules jaunes de la feuille « D_Fläche » .</v>
      </c>
      <c r="D242" s="2414" t="str">
        <f xml:space="preserve"> "Inserisci il fabbisogno specifico di N nelle caselle gialle del foglio «" &amp; Q!$J$68 &amp; "»"</f>
        <v>Inserisci il fabbisogno specifico di N nelle caselle gialle del foglio «D_Fläche»</v>
      </c>
      <c r="E242" s="2426"/>
      <c r="F242" s="2426"/>
    </row>
    <row r="243" spans="1:6" ht="12.75" customHeight="1">
      <c r="A243" s="2410" t="str">
        <f t="shared" si="4"/>
        <v>Zuckerrüben</v>
      </c>
      <c r="B243" s="2410" t="s">
        <v>4799</v>
      </c>
      <c r="C243" s="2410" t="s">
        <v>1786</v>
      </c>
      <c r="D243" s="2414" t="s">
        <v>8493</v>
      </c>
    </row>
    <row r="244" spans="1:6" ht="12.75" customHeight="1">
      <c r="A244" s="2410" t="str">
        <f t="shared" si="4"/>
        <v>Körnermais</v>
      </c>
      <c r="B244" s="2410" t="s">
        <v>1023</v>
      </c>
      <c r="C244" s="2410" t="s">
        <v>2792</v>
      </c>
      <c r="D244" s="2414" t="s">
        <v>4461</v>
      </c>
    </row>
    <row r="245" spans="1:6" ht="12.75" customHeight="1">
      <c r="A245" s="2410" t="str">
        <f t="shared" si="4"/>
        <v>Eiweisserbsen</v>
      </c>
      <c r="B245" s="2410" t="s">
        <v>55</v>
      </c>
      <c r="C245" s="2410" t="s">
        <v>4372</v>
      </c>
      <c r="D245" s="2414" t="s">
        <v>8510</v>
      </c>
    </row>
    <row r="246" spans="1:6" ht="12.75" customHeight="1">
      <c r="A246" s="2410" t="str">
        <f t="shared" si="4"/>
        <v>Ackerbohnen</v>
      </c>
      <c r="B246" s="2410" t="s">
        <v>1099</v>
      </c>
      <c r="C246" s="2410" t="s">
        <v>4373</v>
      </c>
      <c r="D246" s="2414" t="s">
        <v>4462</v>
      </c>
    </row>
    <row r="247" spans="1:6" ht="12.75" customHeight="1">
      <c r="A247" s="2410" t="str">
        <f t="shared" si="4"/>
        <v>Sojabohnen</v>
      </c>
      <c r="B247" s="2410" t="s">
        <v>4114</v>
      </c>
      <c r="C247" s="2410" t="s">
        <v>6152</v>
      </c>
      <c r="D247" s="2414" t="s">
        <v>4623</v>
      </c>
    </row>
    <row r="248" spans="1:6" ht="12.75" customHeight="1">
      <c r="A248" s="2410" t="str">
        <f t="shared" si="4"/>
        <v>Hirse</v>
      </c>
      <c r="B248" s="2410" t="s">
        <v>1025</v>
      </c>
      <c r="C248" s="2410" t="s">
        <v>6584</v>
      </c>
      <c r="D248" s="2414" t="s">
        <v>6585</v>
      </c>
    </row>
    <row r="249" spans="1:6" ht="12.75" customHeight="1">
      <c r="A249" s="2410" t="str">
        <f t="shared" si="4"/>
        <v>Gemüsebau, Diverses</v>
      </c>
      <c r="B249" s="2410" t="s">
        <v>718</v>
      </c>
      <c r="C249" s="2410" t="s">
        <v>2035</v>
      </c>
      <c r="D249" s="2414" t="s">
        <v>11569</v>
      </c>
    </row>
    <row r="250" spans="1:6" ht="12.75" customHeight="1">
      <c r="A250" s="2410" t="str">
        <f t="shared" si="4"/>
        <v>Freilandgemüse</v>
      </c>
      <c r="B250" s="2410" t="s">
        <v>1059</v>
      </c>
      <c r="C250" s="2410" t="s">
        <v>4374</v>
      </c>
      <c r="D250" s="2414" t="s">
        <v>8511</v>
      </c>
    </row>
    <row r="251" spans="1:6" ht="12.75" customHeight="1">
      <c r="A251" s="2410" t="str">
        <f t="shared" si="4"/>
        <v>Freiland-Konservengemüse</v>
      </c>
      <c r="B251" s="2410" t="s">
        <v>5519</v>
      </c>
      <c r="C251" s="2410" t="s">
        <v>4375</v>
      </c>
      <c r="D251" s="2414" t="s">
        <v>11124</v>
      </c>
    </row>
    <row r="252" spans="1:6" ht="12.75" customHeight="1">
      <c r="A252" s="2410" t="str">
        <f t="shared" si="4"/>
        <v>Erdbeeren, 1-jährig</v>
      </c>
      <c r="B252" s="2410" t="s">
        <v>7604</v>
      </c>
      <c r="C252" s="2410" t="s">
        <v>2393</v>
      </c>
      <c r="D252" s="2414" t="s">
        <v>8512</v>
      </c>
    </row>
    <row r="253" spans="1:6" ht="12.75" customHeight="1">
      <c r="A253" s="2410" t="str">
        <f t="shared" si="4"/>
        <v>Heil-, Gewürzpflanzen, 1-jährig</v>
      </c>
      <c r="B253" s="2410" t="s">
        <v>7629</v>
      </c>
      <c r="C253" s="2410" t="s">
        <v>4124</v>
      </c>
      <c r="D253" s="2414" t="s">
        <v>11583</v>
      </c>
    </row>
    <row r="254" spans="1:6" ht="12.75" customHeight="1">
      <c r="A254" s="2410" t="str">
        <f t="shared" si="4"/>
        <v>Schnittblumen, 1-jährig</v>
      </c>
      <c r="B254" s="2410" t="s">
        <v>6192</v>
      </c>
      <c r="C254" s="2410" t="s">
        <v>6193</v>
      </c>
      <c r="D254" s="2414" t="s">
        <v>8513</v>
      </c>
    </row>
    <row r="255" spans="1:6" ht="12.75" customHeight="1">
      <c r="A255" s="2410" t="str">
        <f t="shared" si="4"/>
        <v>Öllein</v>
      </c>
      <c r="B255" s="2410" t="s">
        <v>4115</v>
      </c>
      <c r="C255" s="2410" t="s">
        <v>1920</v>
      </c>
      <c r="D255" s="2414" t="s">
        <v>8514</v>
      </c>
    </row>
    <row r="256" spans="1:6" ht="12.75" customHeight="1">
      <c r="A256" s="2410" t="str">
        <f t="shared" si="4"/>
        <v>Faserlein</v>
      </c>
      <c r="B256" s="2410" t="s">
        <v>4822</v>
      </c>
      <c r="C256" s="2410" t="s">
        <v>1707</v>
      </c>
      <c r="D256" s="2414" t="s">
        <v>795</v>
      </c>
    </row>
    <row r="257" spans="1:4" ht="12.75" customHeight="1">
      <c r="A257" s="2410" t="str">
        <f t="shared" si="4"/>
        <v>Ölhanf</v>
      </c>
      <c r="B257" s="2410" t="s">
        <v>4824</v>
      </c>
      <c r="C257" s="2410" t="s">
        <v>5613</v>
      </c>
      <c r="D257" s="2414" t="s">
        <v>8515</v>
      </c>
    </row>
    <row r="258" spans="1:4" ht="12.75" customHeight="1">
      <c r="A258" s="2410" t="str">
        <f t="shared" si="4"/>
        <v>Faserhanf</v>
      </c>
      <c r="B258" s="2410" t="s">
        <v>906</v>
      </c>
      <c r="C258" s="2410" t="s">
        <v>2689</v>
      </c>
      <c r="D258" s="2414" t="s">
        <v>796</v>
      </c>
    </row>
    <row r="259" spans="1:4" ht="12.75" customHeight="1">
      <c r="A259" s="2410" t="str">
        <f t="shared" si="4"/>
        <v>Winterraps für RME</v>
      </c>
      <c r="B259" s="2410" t="s">
        <v>4739</v>
      </c>
      <c r="C259" s="2410" t="s">
        <v>5614</v>
      </c>
      <c r="D259" s="2414" t="s">
        <v>8516</v>
      </c>
    </row>
    <row r="260" spans="1:4" ht="12.75" customHeight="1">
      <c r="A260" s="2410" t="str">
        <f t="shared" si="4"/>
        <v>Sonnenblumen</v>
      </c>
      <c r="B260" s="2410" t="s">
        <v>4741</v>
      </c>
      <c r="C260" s="2410" t="s">
        <v>5615</v>
      </c>
      <c r="D260" s="2414" t="s">
        <v>797</v>
      </c>
    </row>
    <row r="261" spans="1:4" ht="12.75" customHeight="1">
      <c r="A261" s="2410" t="str">
        <f t="shared" si="4"/>
        <v>Tabak Burley</v>
      </c>
      <c r="B261" s="2410" t="s">
        <v>2173</v>
      </c>
      <c r="C261" s="2410" t="s">
        <v>6460</v>
      </c>
      <c r="D261" s="2414" t="s">
        <v>798</v>
      </c>
    </row>
    <row r="262" spans="1:4" ht="12.75" customHeight="1">
      <c r="A262" s="2410" t="str">
        <f t="shared" si="4"/>
        <v>Tabak Virgine</v>
      </c>
      <c r="B262" s="2410" t="s">
        <v>2175</v>
      </c>
      <c r="C262" s="2410" t="s">
        <v>6461</v>
      </c>
      <c r="D262" s="2414" t="s">
        <v>799</v>
      </c>
    </row>
    <row r="263" spans="1:4" ht="12.75" customHeight="1">
      <c r="A263" s="2410" t="str">
        <f t="shared" si="4"/>
        <v>Rotationsbrache</v>
      </c>
      <c r="B263" s="2410" t="s">
        <v>6927</v>
      </c>
      <c r="C263" s="2410" t="s">
        <v>6462</v>
      </c>
      <c r="D263" s="2414" t="s">
        <v>800</v>
      </c>
    </row>
    <row r="264" spans="1:4" ht="12.75" customHeight="1">
      <c r="A264" s="2410" t="str">
        <f t="shared" si="4"/>
        <v>Buntbrache</v>
      </c>
      <c r="B264" s="2410" t="s">
        <v>2043</v>
      </c>
      <c r="C264" s="2410" t="s">
        <v>6463</v>
      </c>
      <c r="D264" s="2414" t="s">
        <v>801</v>
      </c>
    </row>
    <row r="265" spans="1:4" ht="12.75" customHeight="1">
      <c r="A265" s="2410" t="str">
        <f t="shared" si="4"/>
        <v>Saum auf Ackerfläche</v>
      </c>
      <c r="B265" s="2410" t="s">
        <v>5531</v>
      </c>
      <c r="C265" s="2410" t="s">
        <v>1879</v>
      </c>
      <c r="D265" s="2414" t="s">
        <v>8517</v>
      </c>
    </row>
    <row r="266" spans="1:4" ht="12.75" customHeight="1">
      <c r="A266" s="2410" t="str">
        <f>IF($A$2=1,B266,IF($A$2=2,C266,IF($A$2=3,IF(D266="",C266,D266),"")))</f>
        <v>Nützlingsstreifen</v>
      </c>
      <c r="B266" s="2781" t="s">
        <v>11424</v>
      </c>
      <c r="C266" s="2781" t="s">
        <v>11844</v>
      </c>
      <c r="D266" s="2780" t="s">
        <v>11342</v>
      </c>
    </row>
    <row r="267" spans="1:4" ht="12.75" customHeight="1">
      <c r="A267" s="2410" t="str">
        <f>IF($A$2=1,B267,IF($A$2=2,C267,IF($A$2=3,IF(D267="",C267,D267),"")))</f>
        <v>Nützlingsstreifen (oAF)</v>
      </c>
      <c r="B267" s="2410" t="s">
        <v>11330</v>
      </c>
      <c r="C267" s="2410" t="s">
        <v>11736</v>
      </c>
      <c r="D267" s="2780" t="s">
        <v>11851</v>
      </c>
    </row>
    <row r="268" spans="1:4" ht="12.75" customHeight="1">
      <c r="A268" s="2410" t="str">
        <f>IF($A$2=1,B268,IF($A$2=2,C268,IF($A$2=3,IF(D268="",C268,D268),"")))</f>
        <v>Nützlingsstreifen (DK)</v>
      </c>
      <c r="B268" s="2410" t="s">
        <v>11347</v>
      </c>
      <c r="C268" s="2410" t="s">
        <v>11737</v>
      </c>
      <c r="D268" s="2414" t="s">
        <v>11349</v>
      </c>
    </row>
    <row r="269" spans="1:4" ht="12.75" customHeight="1">
      <c r="A269" s="2410" t="str">
        <f>IF($A$2=1,B269,IF($A$2=2,C269,IF($A$2=3,IF(D269="",C269,D269),"")))</f>
        <v>Getreide in weiter Reihe</v>
      </c>
      <c r="B269" s="2410" t="s">
        <v>11350</v>
      </c>
      <c r="C269" s="2410" t="s">
        <v>11352</v>
      </c>
      <c r="D269" s="2414" t="s">
        <v>11351</v>
      </c>
    </row>
    <row r="270" spans="1:4" ht="12.75" customHeight="1">
      <c r="A270" s="2410" t="str">
        <f t="shared" si="4"/>
        <v>Dauerkulturen</v>
      </c>
      <c r="B270" s="2410" t="s">
        <v>6869</v>
      </c>
      <c r="C270" s="2410" t="s">
        <v>7392</v>
      </c>
      <c r="D270" s="2414" t="s">
        <v>392</v>
      </c>
    </row>
    <row r="271" spans="1:4" ht="12.75" customHeight="1">
      <c r="A271" s="2410" t="str">
        <f t="shared" si="4"/>
        <v>Reben</v>
      </c>
      <c r="B271" s="2410" t="s">
        <v>4839</v>
      </c>
      <c r="C271" s="2410" t="s">
        <v>6464</v>
      </c>
      <c r="D271" s="2414" t="s">
        <v>8518</v>
      </c>
    </row>
    <row r="272" spans="1:4" ht="12.75" customHeight="1">
      <c r="A272" s="2410" t="str">
        <f t="shared" si="4"/>
        <v>Hopfen</v>
      </c>
      <c r="B272" s="2410" t="s">
        <v>4840</v>
      </c>
      <c r="C272" s="2410" t="s">
        <v>4760</v>
      </c>
      <c r="D272" s="2414" t="s">
        <v>802</v>
      </c>
    </row>
    <row r="273" spans="1:4" ht="12.75" customHeight="1">
      <c r="A273" s="2410" t="str">
        <f t="shared" si="4"/>
        <v>Obstanlagen</v>
      </c>
      <c r="B273" s="2410" t="s">
        <v>3139</v>
      </c>
      <c r="C273" s="2410" t="s">
        <v>4761</v>
      </c>
      <c r="D273" s="2414" t="s">
        <v>8519</v>
      </c>
    </row>
    <row r="274" spans="1:4" ht="12.75" customHeight="1">
      <c r="A274" s="2410" t="str">
        <f t="shared" si="4"/>
        <v>Rhabarber, Spargel</v>
      </c>
      <c r="B274" s="2580" t="s">
        <v>11764</v>
      </c>
      <c r="C274" s="2580" t="s">
        <v>11765</v>
      </c>
      <c r="D274" s="2581" t="s">
        <v>11766</v>
      </c>
    </row>
    <row r="275" spans="1:4" ht="12.75" customHeight="1">
      <c r="A275" s="2410" t="str">
        <f t="shared" si="4"/>
        <v>Erdbeeren, mehrjährig</v>
      </c>
      <c r="B275" s="2410" t="s">
        <v>7628</v>
      </c>
      <c r="C275" s="2418" t="s">
        <v>7609</v>
      </c>
      <c r="D275" s="2414" t="s">
        <v>8521</v>
      </c>
    </row>
    <row r="276" spans="1:4" ht="12.75" customHeight="1">
      <c r="A276" s="2410" t="str">
        <f t="shared" si="4"/>
        <v>Strauchbeeren</v>
      </c>
      <c r="B276" s="2410" t="s">
        <v>367</v>
      </c>
      <c r="C276" s="2410" t="s">
        <v>5249</v>
      </c>
      <c r="D276" s="2414" t="s">
        <v>8522</v>
      </c>
    </row>
    <row r="277" spans="1:4" ht="12.75" customHeight="1">
      <c r="A277" s="2410" t="str">
        <f t="shared" si="4"/>
        <v>Alternative Strauchbeeren ²</v>
      </c>
      <c r="B277" s="2410" t="s">
        <v>11337</v>
      </c>
      <c r="C277" s="2410" t="s">
        <v>7971</v>
      </c>
      <c r="D277" s="2414" t="s">
        <v>8523</v>
      </c>
    </row>
    <row r="278" spans="1:4" ht="12.75" customHeight="1">
      <c r="A278" s="2410" t="str">
        <f t="shared" si="4"/>
        <v>Heil-, Gewürzpflanzen, mehrj.</v>
      </c>
      <c r="B278" s="2410" t="s">
        <v>7608</v>
      </c>
      <c r="C278" s="2410" t="s">
        <v>11584</v>
      </c>
      <c r="D278" s="2414" t="s">
        <v>11585</v>
      </c>
    </row>
    <row r="279" spans="1:4" ht="12.75" customHeight="1">
      <c r="A279" s="2410" t="str">
        <f t="shared" si="4"/>
        <v>Chinaschilf</v>
      </c>
      <c r="B279" s="2410" t="s">
        <v>6928</v>
      </c>
      <c r="C279" s="2410" t="s">
        <v>3607</v>
      </c>
      <c r="D279" s="2414" t="s">
        <v>8525</v>
      </c>
    </row>
    <row r="280" spans="1:4" ht="12.75" customHeight="1">
      <c r="A280" s="2410" t="str">
        <f t="shared" si="4"/>
        <v>Christbäume</v>
      </c>
      <c r="B280" s="2410" t="s">
        <v>4157</v>
      </c>
      <c r="C280" s="2410" t="s">
        <v>3025</v>
      </c>
      <c r="D280" s="2414" t="s">
        <v>8526</v>
      </c>
    </row>
    <row r="281" spans="1:4" ht="12.75" customHeight="1">
      <c r="A281" s="2410" t="str">
        <f t="shared" si="4"/>
        <v xml:space="preserve">Selven gepflegt &lt; 100 Bäume / ha </v>
      </c>
      <c r="B281" s="2410" t="s">
        <v>11586</v>
      </c>
      <c r="C281" s="2410" t="s">
        <v>6190</v>
      </c>
      <c r="D281" s="2414" t="s">
        <v>11587</v>
      </c>
    </row>
    <row r="282" spans="1:4" ht="12.75" customHeight="1">
      <c r="A282" s="2410" t="str">
        <f>IF($A$2=1,B282,IF($A$2=2,C282,IF($A$2=3,IF(D282="",C282,D282),"")))</f>
        <v>Permakultur</v>
      </c>
      <c r="B282" s="2411" t="s">
        <v>11109</v>
      </c>
      <c r="C282" s="2413" t="s">
        <v>11110</v>
      </c>
      <c r="D282" s="2427" t="s">
        <v>11111</v>
      </c>
    </row>
    <row r="283" spans="1:4" ht="12.75" customHeight="1">
      <c r="A283" s="2410" t="str">
        <f>IF($A$2=1,B283,IF($A$2=2,C283,IF($A$2=3,IF(D283="",C283,D283),"")))</f>
        <v>Andere Dauerkulturen, inkl. Permakultur</v>
      </c>
      <c r="B283" s="2411" t="s">
        <v>11112</v>
      </c>
      <c r="C283" s="2413" t="s">
        <v>11113</v>
      </c>
      <c r="D283" s="2427" t="s">
        <v>11114</v>
      </c>
    </row>
    <row r="284" spans="1:4" ht="12.75" customHeight="1">
      <c r="A284" s="2410" t="str">
        <f t="shared" si="4"/>
        <v>Andere Dauerkulturen</v>
      </c>
      <c r="B284" s="2410" t="s">
        <v>2593</v>
      </c>
      <c r="C284" s="2410" t="s">
        <v>2327</v>
      </c>
      <c r="D284" s="2414" t="s">
        <v>8528</v>
      </c>
    </row>
    <row r="285" spans="1:4" ht="12.75" customHeight="1">
      <c r="A285" s="2410" t="str">
        <f t="shared" si="4"/>
        <v>extensiv</v>
      </c>
      <c r="B285" s="2410" t="s">
        <v>4266</v>
      </c>
      <c r="C285" s="2410" t="s">
        <v>2328</v>
      </c>
      <c r="D285" s="2414" t="s">
        <v>6353</v>
      </c>
    </row>
    <row r="286" spans="1:4" ht="12.75" customHeight="1">
      <c r="A286" s="2410" t="str">
        <f t="shared" si="4"/>
        <v>extensiv</v>
      </c>
      <c r="B286" s="2410" t="s">
        <v>4266</v>
      </c>
      <c r="C286" s="2410" t="s">
        <v>2682</v>
      </c>
      <c r="D286" s="2414" t="s">
        <v>6353</v>
      </c>
    </row>
    <row r="287" spans="1:4" ht="12.75" customHeight="1">
      <c r="A287" s="2410" t="str">
        <f t="shared" si="4"/>
        <v>wenig intensiv</v>
      </c>
      <c r="B287" s="2410" t="s">
        <v>7406</v>
      </c>
      <c r="C287" s="2410" t="s">
        <v>4341</v>
      </c>
      <c r="D287" s="2414" t="s">
        <v>6354</v>
      </c>
    </row>
    <row r="288" spans="1:4" ht="12.75" customHeight="1">
      <c r="A288" s="2410" t="str">
        <f t="shared" si="4"/>
        <v>wenig intensiv</v>
      </c>
      <c r="B288" s="2410" t="s">
        <v>7406</v>
      </c>
      <c r="C288" s="2410" t="s">
        <v>2679</v>
      </c>
      <c r="D288" s="2414" t="s">
        <v>6354</v>
      </c>
    </row>
    <row r="289" spans="1:4" ht="12.75" customHeight="1">
      <c r="A289" s="2410" t="str">
        <f t="shared" si="4"/>
        <v>mittelintensiv</v>
      </c>
      <c r="B289" s="2410" t="s">
        <v>2758</v>
      </c>
      <c r="C289" s="2410" t="s">
        <v>2681</v>
      </c>
      <c r="D289" s="2414" t="s">
        <v>6355</v>
      </c>
    </row>
    <row r="290" spans="1:4" ht="12.75" customHeight="1">
      <c r="A290" s="2410" t="str">
        <f t="shared" si="4"/>
        <v>intensiv</v>
      </c>
      <c r="B290" s="2410" t="s">
        <v>4660</v>
      </c>
      <c r="C290" s="2410" t="s">
        <v>2680</v>
      </c>
      <c r="D290" s="2414" t="s">
        <v>6356</v>
      </c>
    </row>
    <row r="291" spans="1:4" ht="12.75" customHeight="1">
      <c r="A291" s="2410" t="str">
        <f t="shared" ref="A291:A358" si="5">IF($A$2=1,B291,IF($A$2=2,C291,IF($A$2=3,IF(D291="",C291,D291),"")))</f>
        <v>Grünland</v>
      </c>
      <c r="B291" s="2410" t="s">
        <v>6526</v>
      </c>
      <c r="C291" s="2410" t="s">
        <v>1551</v>
      </c>
      <c r="D291" s="2414" t="s">
        <v>6357</v>
      </c>
    </row>
    <row r="292" spans="1:4" ht="12.75" customHeight="1">
      <c r="A292" s="2410" t="str">
        <f t="shared" si="5"/>
        <v xml:space="preserve">Naturwiese </v>
      </c>
      <c r="B292" s="2410" t="s">
        <v>4265</v>
      </c>
      <c r="C292" s="2410" t="s">
        <v>2683</v>
      </c>
      <c r="D292" s="2414" t="s">
        <v>8529</v>
      </c>
    </row>
    <row r="293" spans="1:4" ht="12.75" customHeight="1">
      <c r="A293" s="2410" t="str">
        <f t="shared" si="5"/>
        <v xml:space="preserve">Naturwiese </v>
      </c>
      <c r="B293" s="2410" t="s">
        <v>4265</v>
      </c>
      <c r="C293" s="2410" t="s">
        <v>2683</v>
      </c>
      <c r="D293" s="2414" t="s">
        <v>8529</v>
      </c>
    </row>
    <row r="294" spans="1:4" ht="12.75" customHeight="1">
      <c r="A294" s="2410" t="str">
        <f t="shared" si="5"/>
        <v>Übrige Wiesen mit Düngeverbot</v>
      </c>
      <c r="B294" s="2410" t="s">
        <v>3795</v>
      </c>
      <c r="C294" s="2410" t="s">
        <v>2684</v>
      </c>
      <c r="D294" s="2414" t="s">
        <v>8530</v>
      </c>
    </row>
    <row r="295" spans="1:4" ht="12.75" customHeight="1">
      <c r="A295" s="2410" t="str">
        <f t="shared" si="5"/>
        <v>Heuwiesen Sömmerungsgebiet, keine BFF</v>
      </c>
      <c r="B295" s="2410" t="s">
        <v>7627</v>
      </c>
      <c r="C295" s="2410" t="s">
        <v>2685</v>
      </c>
      <c r="D295" s="2414" t="s">
        <v>8531</v>
      </c>
    </row>
    <row r="296" spans="1:4" ht="12.75" customHeight="1">
      <c r="A296" s="2410" t="str">
        <f t="shared" si="5"/>
        <v>Waldweide; Wytweiden, Selven</v>
      </c>
      <c r="B296" s="2410" t="s">
        <v>7626</v>
      </c>
      <c r="C296" s="2410" t="s">
        <v>1992</v>
      </c>
      <c r="D296" s="2414" t="s">
        <v>8532</v>
      </c>
    </row>
    <row r="297" spans="1:4" ht="12.75" customHeight="1">
      <c r="A297" s="2410" t="str">
        <f t="shared" si="5"/>
        <v xml:space="preserve">Dauerweide </v>
      </c>
      <c r="B297" s="2410" t="s">
        <v>4571</v>
      </c>
      <c r="C297" s="2410" t="s">
        <v>1993</v>
      </c>
      <c r="D297" s="2414" t="s">
        <v>2039</v>
      </c>
    </row>
    <row r="298" spans="1:4" ht="12.75" customHeight="1">
      <c r="A298" s="2410" t="str">
        <f t="shared" si="5"/>
        <v xml:space="preserve">Dauerweide </v>
      </c>
      <c r="B298" s="2410" t="s">
        <v>4571</v>
      </c>
      <c r="C298" s="2410" t="s">
        <v>1993</v>
      </c>
      <c r="D298" s="2414" t="s">
        <v>2039</v>
      </c>
    </row>
    <row r="299" spans="1:4" ht="12.75" customHeight="1">
      <c r="A299" s="2410" t="str">
        <f t="shared" si="5"/>
        <v xml:space="preserve">Naturwiese, </v>
      </c>
      <c r="B299" s="2410" t="s">
        <v>4879</v>
      </c>
      <c r="C299" s="2410" t="s">
        <v>5478</v>
      </c>
      <c r="D299" s="2414" t="s">
        <v>8529</v>
      </c>
    </row>
    <row r="300" spans="1:4" ht="12.75" customHeight="1">
      <c r="A300" s="2410" t="str">
        <f t="shared" si="5"/>
        <v xml:space="preserve">Weide, Mähw. </v>
      </c>
      <c r="B300" s="2417" t="s">
        <v>2371</v>
      </c>
      <c r="C300" s="2410" t="s">
        <v>5479</v>
      </c>
      <c r="D300" s="2414" t="s">
        <v>8533</v>
      </c>
    </row>
    <row r="301" spans="1:4" ht="12.75" customHeight="1">
      <c r="A301" s="2410" t="str">
        <f t="shared" si="5"/>
        <v xml:space="preserve">Naturwiese, </v>
      </c>
      <c r="B301" s="2417" t="s">
        <v>4879</v>
      </c>
      <c r="C301" s="2410" t="s">
        <v>5478</v>
      </c>
      <c r="D301" s="2414" t="s">
        <v>8529</v>
      </c>
    </row>
    <row r="302" spans="1:4" ht="12.75" customHeight="1">
      <c r="A302" s="2410" t="str">
        <f t="shared" si="5"/>
        <v xml:space="preserve">Weide, Mähw. </v>
      </c>
      <c r="B302" s="2410" t="s">
        <v>2371</v>
      </c>
      <c r="C302" s="2410" t="s">
        <v>5479</v>
      </c>
      <c r="D302" s="2414" t="s">
        <v>8533</v>
      </c>
    </row>
    <row r="303" spans="1:4" ht="12.75" customHeight="1">
      <c r="A303" s="2410" t="str">
        <f t="shared" si="5"/>
        <v xml:space="preserve">Kunstwiese </v>
      </c>
      <c r="B303" s="2410" t="s">
        <v>5699</v>
      </c>
      <c r="C303" s="2410" t="s">
        <v>5480</v>
      </c>
      <c r="D303" s="2414" t="s">
        <v>8534</v>
      </c>
    </row>
    <row r="304" spans="1:4" ht="12.75" customHeight="1">
      <c r="A304" s="2410" t="str">
        <f t="shared" si="5"/>
        <v xml:space="preserve">Kunstwiese </v>
      </c>
      <c r="B304" s="2410" t="s">
        <v>5699</v>
      </c>
      <c r="C304" s="2410" t="s">
        <v>5480</v>
      </c>
      <c r="D304" s="2414" t="s">
        <v>8534</v>
      </c>
    </row>
    <row r="305" spans="1:4" ht="12.75" customHeight="1">
      <c r="A305" s="2410" t="str">
        <f t="shared" si="5"/>
        <v xml:space="preserve">Saatgutproduktion </v>
      </c>
      <c r="B305" s="2410" t="s">
        <v>4140</v>
      </c>
      <c r="C305" s="2410" t="s">
        <v>6827</v>
      </c>
      <c r="D305" s="2414" t="s">
        <v>8535</v>
      </c>
    </row>
    <row r="306" spans="1:4" ht="12.75" customHeight="1">
      <c r="A306" s="2410" t="str">
        <f t="shared" si="5"/>
        <v xml:space="preserve">Saatgutproduktion </v>
      </c>
      <c r="B306" s="2410" t="s">
        <v>4140</v>
      </c>
      <c r="C306" s="2410" t="s">
        <v>363</v>
      </c>
      <c r="D306" s="2414" t="s">
        <v>8535</v>
      </c>
    </row>
    <row r="307" spans="1:4" ht="12.75" customHeight="1">
      <c r="A307" s="2410" t="str">
        <f t="shared" si="5"/>
        <v>Leguminosen</v>
      </c>
      <c r="B307" s="2410" t="s">
        <v>4762</v>
      </c>
      <c r="C307" s="2410" t="s">
        <v>694</v>
      </c>
      <c r="D307" s="2414" t="s">
        <v>8536</v>
      </c>
    </row>
    <row r="308" spans="1:4" ht="12.75" customHeight="1">
      <c r="A308" s="2410" t="str">
        <f t="shared" si="5"/>
        <v>Gräser</v>
      </c>
      <c r="B308" s="2410" t="s">
        <v>6580</v>
      </c>
      <c r="C308" s="2410" t="s">
        <v>361</v>
      </c>
      <c r="D308" s="2414" t="s">
        <v>8537</v>
      </c>
    </row>
    <row r="309" spans="1:4" ht="12.75" customHeight="1">
      <c r="A309" s="2410" t="str">
        <f t="shared" si="5"/>
        <v>Weiden für Schweine</v>
      </c>
      <c r="B309" s="2410" t="s">
        <v>5701</v>
      </c>
      <c r="C309" s="2410" t="s">
        <v>5643</v>
      </c>
      <c r="D309" s="2414" t="s">
        <v>8538</v>
      </c>
    </row>
    <row r="310" spans="1:4" ht="12.75" customHeight="1">
      <c r="A310" s="2410" t="str">
        <f t="shared" si="5"/>
        <v>Futterhackfrüchte</v>
      </c>
      <c r="B310" s="2410" t="s">
        <v>6527</v>
      </c>
      <c r="C310" s="2410" t="s">
        <v>1552</v>
      </c>
      <c r="D310" s="2414" t="s">
        <v>8439</v>
      </c>
    </row>
    <row r="311" spans="1:4" ht="12.75" customHeight="1">
      <c r="A311" s="2410" t="str">
        <f t="shared" si="5"/>
        <v>Silomais</v>
      </c>
      <c r="B311" s="2410" t="s">
        <v>1024</v>
      </c>
      <c r="C311" s="2410" t="s">
        <v>5644</v>
      </c>
      <c r="D311" s="2414" t="s">
        <v>8684</v>
      </c>
    </row>
    <row r="312" spans="1:4" ht="12.75" customHeight="1">
      <c r="A312" s="2410" t="str">
        <f t="shared" si="5"/>
        <v>Ganzpflanzen-Sorghum</v>
      </c>
      <c r="B312" s="2410" t="s">
        <v>7778</v>
      </c>
      <c r="C312" s="2410" t="s">
        <v>7779</v>
      </c>
      <c r="D312" s="2414" t="s">
        <v>11125</v>
      </c>
    </row>
    <row r="313" spans="1:4" ht="12.75" customHeight="1">
      <c r="A313" s="2410" t="str">
        <f t="shared" si="5"/>
        <v>Futterrüben</v>
      </c>
      <c r="B313" s="2410" t="s">
        <v>56</v>
      </c>
      <c r="C313" s="2410" t="s">
        <v>2983</v>
      </c>
      <c r="D313" s="2414" t="s">
        <v>5199</v>
      </c>
    </row>
    <row r="314" spans="1:4" ht="12.75" customHeight="1">
      <c r="A314" s="2410" t="str">
        <f t="shared" si="5"/>
        <v xml:space="preserve">CCM, Feuchtkörnermais  </v>
      </c>
      <c r="B314" s="2410" t="s">
        <v>6151</v>
      </c>
      <c r="C314" s="2410" t="s">
        <v>2984</v>
      </c>
      <c r="D314" s="2414" t="s">
        <v>8683</v>
      </c>
    </row>
    <row r="315" spans="1:4" ht="12.75" customHeight="1">
      <c r="A315" s="2410" t="str">
        <f t="shared" si="5"/>
        <v>Lieschkolbenschrot</v>
      </c>
      <c r="B315" s="2410" t="s">
        <v>1057</v>
      </c>
      <c r="C315" s="2410" t="s">
        <v>1161</v>
      </c>
      <c r="D315" s="2414" t="s">
        <v>11126</v>
      </c>
    </row>
    <row r="316" spans="1:4" ht="12.75" customHeight="1">
      <c r="A316" s="2410" t="str">
        <f t="shared" si="5"/>
        <v>Kulturen in geschütztem Anbau o. Fundam.  S</v>
      </c>
      <c r="B316" s="2410" t="s">
        <v>4520</v>
      </c>
      <c r="C316" s="2410" t="s">
        <v>4326</v>
      </c>
      <c r="D316" s="2414" t="s">
        <v>8541</v>
      </c>
    </row>
    <row r="317" spans="1:4" ht="12.75" customHeight="1">
      <c r="A317" s="2410" t="str">
        <f t="shared" si="5"/>
        <v>Kulturen in geschütztem Anbau m. Fundam. S</v>
      </c>
      <c r="B317" s="2410" t="s">
        <v>4521</v>
      </c>
      <c r="C317" s="2410" t="s">
        <v>6828</v>
      </c>
      <c r="D317" s="2414" t="s">
        <v>8542</v>
      </c>
    </row>
    <row r="318" spans="1:4" ht="12.75" customHeight="1">
      <c r="A318" s="2410" t="str">
        <f t="shared" si="5"/>
        <v>Streue- und Torfland</v>
      </c>
      <c r="B318" s="2410" t="s">
        <v>1061</v>
      </c>
      <c r="C318" s="2410" t="s">
        <v>3967</v>
      </c>
      <c r="D318" s="2414" t="s">
        <v>8443</v>
      </c>
    </row>
    <row r="319" spans="1:4" ht="12.75" customHeight="1">
      <c r="A319" s="2410" t="str">
        <f t="shared" si="5"/>
        <v>Hecken u. Feldgehölze, mit Krautsaum</v>
      </c>
      <c r="B319" s="2410" t="s">
        <v>7624</v>
      </c>
      <c r="C319" s="2410" t="s">
        <v>7622</v>
      </c>
      <c r="D319" s="2414" t="s">
        <v>8543</v>
      </c>
    </row>
    <row r="320" spans="1:4" ht="12.75" customHeight="1">
      <c r="A320" s="2410" t="str">
        <f t="shared" si="5"/>
        <v>Hecken u. Feldgehölze, mit Pufferstreifen</v>
      </c>
      <c r="B320" s="2410" t="s">
        <v>7625</v>
      </c>
      <c r="C320" s="2410" t="s">
        <v>7623</v>
      </c>
      <c r="D320" s="2414" t="s">
        <v>8544</v>
      </c>
    </row>
    <row r="321" spans="1:5" ht="12.75" customHeight="1">
      <c r="A321" s="2410" t="str">
        <f t="shared" si="5"/>
        <v xml:space="preserve"> = Landw. Nutzfläche (LN)</v>
      </c>
      <c r="B321" s="2410" t="s">
        <v>6815</v>
      </c>
      <c r="C321" s="2410" t="s">
        <v>2196</v>
      </c>
      <c r="D321" s="2414" t="s">
        <v>5860</v>
      </c>
      <c r="E321" s="2428"/>
    </row>
    <row r="322" spans="1:5" ht="12.75" customHeight="1" thickBot="1">
      <c r="A322" s="2410" t="str">
        <f t="shared" si="5"/>
        <v>LN plus Bauland ohne Beitragsberechtigung</v>
      </c>
      <c r="B322" s="2410" t="s">
        <v>4533</v>
      </c>
      <c r="C322" s="2410" t="s">
        <v>4534</v>
      </c>
      <c r="D322" s="2414" t="s">
        <v>8545</v>
      </c>
    </row>
    <row r="323" spans="1:5" ht="12.75" customHeight="1" thickBot="1">
      <c r="A323" s="2410" t="str">
        <f t="shared" si="5"/>
        <v>Uferwiese, ohne Weiden</v>
      </c>
      <c r="B323" s="2778" t="s">
        <v>11830</v>
      </c>
      <c r="C323" s="2779" t="s">
        <v>11831</v>
      </c>
      <c r="D323" s="2779" t="s">
        <v>11832</v>
      </c>
    </row>
    <row r="324" spans="1:5" ht="12.75" customHeight="1">
      <c r="A324" s="2410" t="str">
        <f t="shared" si="5"/>
        <v>Wald</v>
      </c>
      <c r="B324" s="2410" t="s">
        <v>5620</v>
      </c>
      <c r="C324" s="2410" t="s">
        <v>7395</v>
      </c>
      <c r="D324" s="2414" t="s">
        <v>395</v>
      </c>
    </row>
    <row r="325" spans="1:5" ht="12.75" customHeight="1">
      <c r="A325" s="2410" t="str">
        <f t="shared" si="5"/>
        <v>Unproduktive Flächen</v>
      </c>
      <c r="B325" s="2410" t="s">
        <v>4823</v>
      </c>
      <c r="C325" s="2410" t="s">
        <v>2834</v>
      </c>
      <c r="D325" s="2414" t="s">
        <v>8445</v>
      </c>
    </row>
    <row r="326" spans="1:5" ht="12.75" customHeight="1">
      <c r="A326" s="2410" t="str">
        <f t="shared" si="5"/>
        <v>Betriebsfläche</v>
      </c>
      <c r="B326" s="2410" t="s">
        <v>5622</v>
      </c>
      <c r="C326" s="2410" t="s">
        <v>7397</v>
      </c>
      <c r="D326" s="2414" t="s">
        <v>1416</v>
      </c>
    </row>
    <row r="327" spans="1:5" ht="12.75" customHeight="1">
      <c r="A327" s="2410" t="str">
        <f t="shared" si="5"/>
        <v>LN kontrollieren!</v>
      </c>
      <c r="B327" s="2410" t="s">
        <v>4677</v>
      </c>
      <c r="C327" s="2410" t="s">
        <v>5827</v>
      </c>
      <c r="D327" s="2414" t="s">
        <v>8547</v>
      </c>
    </row>
    <row r="328" spans="1:5" ht="12.75" customHeight="1">
      <c r="A328" s="2410" t="str">
        <f t="shared" si="5"/>
        <v>Zweit-, Dritt- oder Zwischenkulturen</v>
      </c>
      <c r="B328" s="2410" t="s">
        <v>4740</v>
      </c>
      <c r="C328" s="2410" t="s">
        <v>6577</v>
      </c>
      <c r="D328" s="2414" t="s">
        <v>8548</v>
      </c>
    </row>
    <row r="329" spans="1:5" ht="12.75" customHeight="1">
      <c r="A329" s="2410" t="str">
        <f t="shared" si="5"/>
        <v>Grünmais</v>
      </c>
      <c r="B329" s="2410" t="s">
        <v>2172</v>
      </c>
      <c r="C329" s="2410" t="s">
        <v>6242</v>
      </c>
      <c r="D329" s="2780" t="s">
        <v>11833</v>
      </c>
    </row>
    <row r="330" spans="1:5" ht="12.75" customHeight="1">
      <c r="A330" s="2410" t="str">
        <f t="shared" si="5"/>
        <v>Ganzpflanzen-Sorghum, Zweitkultur</v>
      </c>
      <c r="B330" s="2410" t="s">
        <v>7780</v>
      </c>
      <c r="C330" s="2410" t="s">
        <v>7781</v>
      </c>
      <c r="D330" s="2780" t="s">
        <v>11834</v>
      </c>
    </row>
    <row r="331" spans="1:5" ht="12.75" customHeight="1">
      <c r="A331" s="2410" t="str">
        <f t="shared" si="5"/>
        <v>Zwischenfutter, ohne Kunstwiesen</v>
      </c>
      <c r="B331" s="2410" t="s">
        <v>7618</v>
      </c>
      <c r="C331" s="2410" t="s">
        <v>7613</v>
      </c>
      <c r="D331" s="2780" t="s">
        <v>11835</v>
      </c>
    </row>
    <row r="332" spans="1:5" ht="12.75" customHeight="1">
      <c r="A332" s="2410" t="str">
        <f t="shared" si="5"/>
        <v>Zwischenfutter, herbstgesäte Kunstwiesen</v>
      </c>
      <c r="B332" s="2410" t="s">
        <v>7617</v>
      </c>
      <c r="C332" s="2410" t="s">
        <v>7614</v>
      </c>
      <c r="D332" s="2780" t="s">
        <v>11836</v>
      </c>
    </row>
    <row r="333" spans="1:5" ht="12.75" customHeight="1">
      <c r="A333" s="2410" t="str">
        <f t="shared" si="5"/>
        <v>Äugstlen</v>
      </c>
      <c r="B333" s="2410" t="s">
        <v>2176</v>
      </c>
      <c r="C333" s="2410" t="s">
        <v>6243</v>
      </c>
      <c r="D333" s="2414" t="s">
        <v>8550</v>
      </c>
    </row>
    <row r="334" spans="1:5" ht="12.75" customHeight="1">
      <c r="A334" s="2410" t="str">
        <f t="shared" si="5"/>
        <v>Frühjahrsschnitt vor Wiesenumbruch</v>
      </c>
      <c r="B334" s="2410" t="s">
        <v>2042</v>
      </c>
      <c r="C334" s="2410" t="s">
        <v>6244</v>
      </c>
      <c r="D334" s="2414" t="s">
        <v>8551</v>
      </c>
    </row>
    <row r="335" spans="1:5" ht="12.75" customHeight="1">
      <c r="A335" s="2410" t="str">
        <f t="shared" si="5"/>
        <v>Geerntetes Futterrübenlaub</v>
      </c>
      <c r="B335" s="2410" t="s">
        <v>8118</v>
      </c>
      <c r="C335" s="2410" t="s">
        <v>4829</v>
      </c>
      <c r="D335" s="2414" t="s">
        <v>5794</v>
      </c>
    </row>
    <row r="336" spans="1:5" ht="12.75" customHeight="1">
      <c r="A336" s="2410" t="str">
        <f t="shared" si="5"/>
        <v>Gründüngung, Nichtleguminosen</v>
      </c>
      <c r="B336" s="2410" t="s">
        <v>7616</v>
      </c>
      <c r="C336" s="2410" t="s">
        <v>7619</v>
      </c>
      <c r="D336" s="2780" t="s">
        <v>11837</v>
      </c>
    </row>
    <row r="337" spans="1:6" ht="12.75" customHeight="1">
      <c r="A337" s="2410" t="str">
        <f t="shared" si="5"/>
        <v>Gründüngung, Leguminosen</v>
      </c>
      <c r="B337" s="2410" t="s">
        <v>7615</v>
      </c>
      <c r="C337" s="2410" t="s">
        <v>7620</v>
      </c>
      <c r="D337" s="2780" t="s">
        <v>11838</v>
      </c>
    </row>
    <row r="338" spans="1:6" ht="12.75" customHeight="1">
      <c r="A338" s="2410" t="str">
        <f t="shared" si="5"/>
        <v>Freilandgemüse</v>
      </c>
      <c r="B338" s="2410" t="s">
        <v>1059</v>
      </c>
      <c r="C338" s="2410" t="s">
        <v>7621</v>
      </c>
      <c r="D338" s="2414" t="s">
        <v>8511</v>
      </c>
    </row>
    <row r="339" spans="1:6" ht="12.75" customHeight="1">
      <c r="A339" s="2410" t="str">
        <f t="shared" si="5"/>
        <v>Ackerschonstreifen</v>
      </c>
      <c r="B339" s="2410" t="s">
        <v>3140</v>
      </c>
      <c r="C339" s="2410" t="s">
        <v>2546</v>
      </c>
      <c r="D339" s="2414" t="s">
        <v>8553</v>
      </c>
    </row>
    <row r="340" spans="1:6" ht="12.75" customHeight="1">
      <c r="A340" s="2410" t="str">
        <f t="shared" si="5"/>
        <v>Hochstamm-Feldobst-, Nussbäume, … ³</v>
      </c>
      <c r="B340" s="2580" t="s">
        <v>11761</v>
      </c>
      <c r="C340" s="2580" t="s">
        <v>11762</v>
      </c>
      <c r="D340" s="2581" t="s">
        <v>11763</v>
      </c>
    </row>
    <row r="341" spans="1:6" ht="12.75" customHeight="1">
      <c r="A341" s="2410" t="str">
        <f t="shared" si="5"/>
        <v>Einheimische Einzelbäume</v>
      </c>
      <c r="B341" s="2580" t="s">
        <v>11745</v>
      </c>
      <c r="C341" s="2410" t="s">
        <v>3788</v>
      </c>
      <c r="D341" s="2414" t="s">
        <v>8554</v>
      </c>
    </row>
    <row r="342" spans="1:6" ht="12.75" customHeight="1">
      <c r="A342" s="2410" t="str">
        <f t="shared" si="5"/>
        <v xml:space="preserve"> (Stück)</v>
      </c>
      <c r="B342" s="2410" t="s">
        <v>2181</v>
      </c>
      <c r="C342" s="2410" t="s">
        <v>3844</v>
      </c>
      <c r="D342" s="2414" t="s">
        <v>11128</v>
      </c>
    </row>
    <row r="343" spans="1:6" ht="51">
      <c r="A343" s="2410" t="str">
        <f t="shared" si="5"/>
        <v xml:space="preserve">S  =  Spezialkulturen
*)      Die Nummern beziehen sich auf Formular A
         der landw. Betriebsstrukturerhebung.
**)    Nur Hauptkulturenfläche erfassen, Rest unter Zweit-, Drittkulturen; </v>
      </c>
      <c r="B343" s="2417" t="s">
        <v>11733</v>
      </c>
      <c r="C343" s="2417" t="s">
        <v>4090</v>
      </c>
      <c r="D343" s="2581" t="s">
        <v>11746</v>
      </c>
      <c r="E343" s="2426"/>
      <c r="F343" s="2426"/>
    </row>
    <row r="344" spans="1:6" ht="51">
      <c r="A344" s="2410" t="str">
        <f t="shared" si="5"/>
        <v xml:space="preserve">        Nährstoffbedarf  in den Blättern GEM1 oder GEM2 erfassen.                    
***)   Nährstoffbedarf  in den Blättern GEM1 oder GEM2 erfassen. 
****)  Nährstoffbedarf im Blatt OB erfassen
*****) Baumschulen, Ziersträucher, Ziergehölze, Zierstauden</v>
      </c>
      <c r="B344" s="2417" t="s">
        <v>7635</v>
      </c>
      <c r="C344" s="2417" t="s">
        <v>7636</v>
      </c>
      <c r="D344" s="2414" t="s">
        <v>11129</v>
      </c>
      <c r="E344" s="2426"/>
      <c r="F344" s="2426"/>
    </row>
    <row r="345" spans="1:6" ht="25.5">
      <c r="A345" s="2410" t="str">
        <f t="shared" si="5"/>
        <v>Nicht möglich für Kulturen in Nitrat-Projektgebieten nach Art 62a Gewässerschutzgesetz.</v>
      </c>
      <c r="B345" s="2583" t="s">
        <v>11755</v>
      </c>
      <c r="C345" s="2583" t="s">
        <v>11756</v>
      </c>
      <c r="D345" s="2581" t="s">
        <v>11757</v>
      </c>
      <c r="E345" s="2426"/>
      <c r="F345" s="2426"/>
    </row>
    <row r="346" spans="1:6" ht="38.25">
      <c r="A346" s="2410" t="str">
        <f t="shared" si="5"/>
        <v>Solche Flächen sind im Blatt "D_Fläche" mit ha-Ertrag in den entsprechenden gelben Zellen einzutragen und werden dann nur mit dem Standard-N-Bedarf in die Suisse-Bilanz übertragen!</v>
      </c>
      <c r="B346" s="2417" t="s">
        <v>4444</v>
      </c>
      <c r="C346" s="3120" t="s">
        <v>7025</v>
      </c>
      <c r="D346" s="3121" t="s">
        <v>11734</v>
      </c>
      <c r="E346" s="2426"/>
      <c r="F346" s="2426"/>
    </row>
    <row r="347" spans="1:6" ht="12.75" customHeight="1">
      <c r="A347" s="2410" t="str">
        <f t="shared" si="5"/>
        <v>Edelkastanien</v>
      </c>
      <c r="B347" s="2580" t="s">
        <v>11758</v>
      </c>
      <c r="C347" s="2410" t="s">
        <v>11759</v>
      </c>
      <c r="D347" s="2414" t="s">
        <v>11760</v>
      </c>
    </row>
    <row r="348" spans="1:6" ht="12.75" customHeight="1">
      <c r="A348" s="2410" t="str">
        <f t="shared" si="5"/>
        <v>ACKERSCHONSTREIFEN werden neu direkt im Blatt "Kennz" erfasst.</v>
      </c>
      <c r="B348" s="3327" t="s">
        <v>12179</v>
      </c>
      <c r="C348" s="3327" t="s">
        <v>12180</v>
      </c>
      <c r="D348" s="3326" t="s">
        <v>12181</v>
      </c>
    </row>
    <row r="349" spans="1:6" ht="12.75" customHeight="1">
      <c r="A349" s="2410" t="str">
        <f t="shared" si="5"/>
        <v xml:space="preserve">Rindviehbestand hier erfassen, keine Jungviehbilanz </v>
      </c>
      <c r="B349" s="2410" t="s">
        <v>7109</v>
      </c>
      <c r="C349" s="2410" t="s">
        <v>2887</v>
      </c>
      <c r="D349" s="2414" t="s">
        <v>8555</v>
      </c>
    </row>
    <row r="350" spans="1:6" ht="24" customHeight="1">
      <c r="A350" s="2410" t="str">
        <f t="shared" si="5"/>
        <v>Milchviehbestand aus Jungviehbilanz übernehmen</v>
      </c>
      <c r="B350" s="2417" t="s">
        <v>7238</v>
      </c>
      <c r="C350" s="2417" t="s">
        <v>1382</v>
      </c>
      <c r="D350" s="2414" t="s">
        <v>11130</v>
      </c>
    </row>
    <row r="351" spans="1:6" ht="12.75" customHeight="1">
      <c r="A351" s="2410" t="str">
        <f t="shared" si="5"/>
        <v>GVE der Rinder und Wasserbüffel nach neuen Kategorien anzeigen</v>
      </c>
      <c r="B351" s="2410" t="s">
        <v>1809</v>
      </c>
      <c r="C351" s="2410" t="s">
        <v>808</v>
      </c>
      <c r="D351" s="2414" t="s">
        <v>8556</v>
      </c>
    </row>
    <row r="352" spans="1:6" ht="12.75" customHeight="1">
      <c r="A352" s="2410" t="str">
        <f t="shared" si="5"/>
        <v>Tierart bzw.Tierkategorie</v>
      </c>
      <c r="B352" s="2410" t="s">
        <v>5085</v>
      </c>
      <c r="C352" s="2410" t="s">
        <v>3162</v>
      </c>
      <c r="D352" s="2414" t="s">
        <v>8557</v>
      </c>
    </row>
    <row r="353" spans="1:4" ht="12.75" customHeight="1">
      <c r="A353" s="2410" t="str">
        <f t="shared" si="5"/>
        <v>Ein-</v>
      </c>
      <c r="B353" s="2417" t="s">
        <v>6983</v>
      </c>
      <c r="C353" s="2417" t="s">
        <v>6215</v>
      </c>
      <c r="D353" s="2414" t="s">
        <v>8558</v>
      </c>
    </row>
    <row r="354" spans="1:4" ht="12.75" customHeight="1">
      <c r="A354" s="2410" t="str">
        <f t="shared" si="5"/>
        <v>heit</v>
      </c>
      <c r="B354" s="2410" t="s">
        <v>5086</v>
      </c>
      <c r="C354" s="2410"/>
      <c r="D354" s="2414" t="s">
        <v>1610</v>
      </c>
    </row>
    <row r="355" spans="1:4" ht="12.75" customHeight="1">
      <c r="A355" s="2410" t="str">
        <f t="shared" si="5"/>
        <v xml:space="preserve">Anzahl </v>
      </c>
      <c r="B355" s="2410" t="s">
        <v>6984</v>
      </c>
      <c r="C355" s="2417" t="s">
        <v>3163</v>
      </c>
      <c r="D355" s="2414" t="s">
        <v>3773</v>
      </c>
    </row>
    <row r="356" spans="1:4" ht="12.75" customHeight="1">
      <c r="A356" s="2410" t="str">
        <f t="shared" si="5"/>
        <v>Ein-</v>
      </c>
      <c r="B356" s="2410" t="s">
        <v>6983</v>
      </c>
      <c r="C356" s="2410" t="s">
        <v>4068</v>
      </c>
      <c r="D356" s="2414" t="s">
        <v>3360</v>
      </c>
    </row>
    <row r="357" spans="1:4" ht="12.75" customHeight="1">
      <c r="A357" s="2410" t="str">
        <f t="shared" si="5"/>
        <v>heit.</v>
      </c>
      <c r="B357" s="2781" t="s">
        <v>11967</v>
      </c>
      <c r="C357" s="2787" t="s">
        <v>11968</v>
      </c>
      <c r="D357" s="2780" t="s">
        <v>11968</v>
      </c>
    </row>
    <row r="358" spans="1:4" ht="12.75" customHeight="1">
      <c r="A358" s="2410" t="str">
        <f t="shared" si="5"/>
        <v>GVE-</v>
      </c>
      <c r="B358" s="2410" t="s">
        <v>6985</v>
      </c>
      <c r="C358" s="2410" t="s">
        <v>4070</v>
      </c>
      <c r="D358" s="2414" t="s">
        <v>8559</v>
      </c>
    </row>
    <row r="359" spans="1:4" ht="12.75" customHeight="1">
      <c r="A359" s="2410" t="str">
        <f t="shared" ref="A359:A401" si="6">IF($A$2=1,B359,IF($A$2=2,C359,IF($A$2=3,IF(D359="",C359,D359),"")))</f>
        <v>Faktor</v>
      </c>
      <c r="B359" s="2410" t="s">
        <v>1339</v>
      </c>
      <c r="C359" s="2410" t="s">
        <v>4071</v>
      </c>
      <c r="D359" s="2414" t="s">
        <v>4777</v>
      </c>
    </row>
    <row r="360" spans="1:4" ht="12.75" customHeight="1">
      <c r="A360" s="2410">
        <f t="shared" si="6"/>
        <v>0</v>
      </c>
      <c r="B360" s="2410"/>
      <c r="C360" s="2410" t="s">
        <v>3184</v>
      </c>
      <c r="D360" s="2414" t="s">
        <v>199</v>
      </c>
    </row>
    <row r="361" spans="1:4" ht="12.75" customHeight="1">
      <c r="A361" s="2410" t="str">
        <f t="shared" si="6"/>
        <v>Bei-</v>
      </c>
      <c r="B361" s="2410" t="s">
        <v>6986</v>
      </c>
      <c r="C361" s="2410" t="s">
        <v>3184</v>
      </c>
      <c r="D361" s="2414" t="s">
        <v>199</v>
      </c>
    </row>
    <row r="362" spans="1:4" ht="12.75" customHeight="1">
      <c r="A362" s="2410" t="str">
        <f t="shared" si="6"/>
        <v>trags-</v>
      </c>
      <c r="B362" s="2410" t="s">
        <v>1340</v>
      </c>
      <c r="C362" s="2410" t="s">
        <v>4072</v>
      </c>
      <c r="D362" s="2414" t="s">
        <v>8560</v>
      </c>
    </row>
    <row r="363" spans="1:4" ht="12.75" customHeight="1">
      <c r="A363" s="2410" t="str">
        <f t="shared" si="6"/>
        <v>GVE</v>
      </c>
      <c r="B363" s="2410" t="s">
        <v>6685</v>
      </c>
      <c r="C363" s="2410" t="s">
        <v>4073</v>
      </c>
      <c r="D363" s="2414" t="s">
        <v>8561</v>
      </c>
    </row>
    <row r="364" spans="1:4" ht="12.75" customHeight="1">
      <c r="A364" s="2410" t="str">
        <f t="shared" si="6"/>
        <v>Abzug /</v>
      </c>
      <c r="B364" s="2410" t="s">
        <v>6987</v>
      </c>
      <c r="C364" s="2410" t="s">
        <v>4074</v>
      </c>
      <c r="D364" s="2414" t="s">
        <v>11735</v>
      </c>
    </row>
    <row r="365" spans="1:4" ht="12.75" customHeight="1">
      <c r="A365" s="2410" t="str">
        <f t="shared" si="6"/>
        <v>Zuschlag</v>
      </c>
      <c r="B365" s="2410" t="s">
        <v>1341</v>
      </c>
      <c r="C365" s="2410" t="s">
        <v>221</v>
      </c>
      <c r="D365" s="2414" t="s">
        <v>8562</v>
      </c>
    </row>
    <row r="366" spans="1:4" ht="12.75" customHeight="1">
      <c r="A366" s="2410" t="str">
        <f t="shared" si="6"/>
        <v>± Tiere</v>
      </c>
      <c r="B366" s="2410" t="s">
        <v>6496</v>
      </c>
      <c r="C366" s="2410" t="s">
        <v>222</v>
      </c>
      <c r="D366" s="2414" t="s">
        <v>8563</v>
      </c>
    </row>
    <row r="367" spans="1:4" ht="12.75" customHeight="1">
      <c r="A367" s="2410" t="str">
        <f t="shared" si="6"/>
        <v>Tage</v>
      </c>
      <c r="B367" s="2410" t="s">
        <v>6497</v>
      </c>
      <c r="C367" s="2410" t="s">
        <v>223</v>
      </c>
      <c r="D367" s="2414" t="s">
        <v>8564</v>
      </c>
    </row>
    <row r="368" spans="1:4" ht="12.75" customHeight="1">
      <c r="A368" s="2410" t="str">
        <f t="shared" si="6"/>
        <v>Anzahl</v>
      </c>
      <c r="B368" s="2410" t="s">
        <v>7044</v>
      </c>
      <c r="C368" s="2410" t="s">
        <v>1348</v>
      </c>
      <c r="D368" s="2414" t="s">
        <v>3773</v>
      </c>
    </row>
    <row r="369" spans="1:4" ht="12.75" customHeight="1">
      <c r="A369" s="2410" t="str">
        <f t="shared" si="6"/>
        <v>korri-</v>
      </c>
      <c r="B369" s="2410" t="s">
        <v>1342</v>
      </c>
      <c r="C369" s="2410" t="s">
        <v>1349</v>
      </c>
      <c r="D369" s="2414" t="s">
        <v>1613</v>
      </c>
    </row>
    <row r="370" spans="1:4" ht="12.75" customHeight="1">
      <c r="A370" s="2410" t="str">
        <f t="shared" si="6"/>
        <v>giert</v>
      </c>
      <c r="B370" s="2410" t="s">
        <v>6498</v>
      </c>
      <c r="C370" s="2410" t="s">
        <v>1350</v>
      </c>
      <c r="D370" s="2414" t="s">
        <v>1614</v>
      </c>
    </row>
    <row r="371" spans="1:4" ht="12.75" customHeight="1">
      <c r="A371" s="2410" t="str">
        <f t="shared" si="6"/>
        <v>GVE</v>
      </c>
      <c r="B371" s="2410" t="s">
        <v>6685</v>
      </c>
      <c r="C371" s="2410" t="s">
        <v>3184</v>
      </c>
      <c r="D371" s="2414" t="s">
        <v>199</v>
      </c>
    </row>
    <row r="372" spans="1:4" ht="12.75" customHeight="1">
      <c r="A372" s="2410" t="str">
        <f t="shared" si="6"/>
        <v>korri-</v>
      </c>
      <c r="B372" s="2410" t="s">
        <v>1342</v>
      </c>
      <c r="C372" s="2410" t="s">
        <v>1349</v>
      </c>
      <c r="D372" s="2414" t="s">
        <v>1613</v>
      </c>
    </row>
    <row r="373" spans="1:4" ht="12.75" customHeight="1">
      <c r="A373" s="2410" t="str">
        <f t="shared" si="6"/>
        <v>giert</v>
      </c>
      <c r="B373" s="2410" t="s">
        <v>6498</v>
      </c>
      <c r="C373" s="2410" t="s">
        <v>1351</v>
      </c>
      <c r="D373" s="2414" t="s">
        <v>8565</v>
      </c>
    </row>
    <row r="374" spans="1:4" ht="12.75" customHeight="1">
      <c r="A374" s="2410">
        <f t="shared" si="6"/>
        <v>0</v>
      </c>
      <c r="B374" s="2410"/>
      <c r="C374" s="2410" t="s">
        <v>1352</v>
      </c>
      <c r="D374" s="2414" t="s">
        <v>8566</v>
      </c>
    </row>
    <row r="375" spans="1:4" ht="12.75" customHeight="1">
      <c r="A375" s="2410" t="str">
        <f t="shared" si="6"/>
        <v>Laufhof</v>
      </c>
      <c r="B375" s="2410" t="s">
        <v>4544</v>
      </c>
      <c r="C375" s="2410" t="s">
        <v>1353</v>
      </c>
      <c r="D375" s="2414" t="s">
        <v>8567</v>
      </c>
    </row>
    <row r="376" spans="1:4" ht="12.75" customHeight="1">
      <c r="A376" s="2410" t="str">
        <f t="shared" si="6"/>
        <v>Tiere</v>
      </c>
      <c r="B376" s="2410" t="s">
        <v>3064</v>
      </c>
      <c r="C376" s="2410" t="s">
        <v>2345</v>
      </c>
      <c r="D376" s="2414" t="s">
        <v>8568</v>
      </c>
    </row>
    <row r="377" spans="1:4" ht="12.75" customHeight="1">
      <c r="A377" s="2410" t="str">
        <f t="shared" si="6"/>
        <v>Weide</v>
      </c>
      <c r="B377" s="2410" t="s">
        <v>61</v>
      </c>
      <c r="C377" s="2410" t="s">
        <v>2346</v>
      </c>
      <c r="D377" s="2414" t="s">
        <v>2039</v>
      </c>
    </row>
    <row r="378" spans="1:4" ht="12.75" customHeight="1">
      <c r="A378" s="2410" t="str">
        <f t="shared" si="6"/>
        <v>Tiere</v>
      </c>
      <c r="B378" s="2410" t="s">
        <v>3064</v>
      </c>
      <c r="C378" s="2410" t="s">
        <v>2345</v>
      </c>
      <c r="D378" s="2414" t="s">
        <v>8568</v>
      </c>
    </row>
    <row r="379" spans="1:4" ht="12.75" customHeight="1">
      <c r="A379" s="2410" t="str">
        <f t="shared" si="6"/>
        <v>RAUS</v>
      </c>
      <c r="B379" s="2410" t="s">
        <v>2846</v>
      </c>
      <c r="C379" s="2410" t="s">
        <v>5255</v>
      </c>
      <c r="D379" s="2414" t="s">
        <v>1616</v>
      </c>
    </row>
    <row r="380" spans="1:4" ht="12.75" customHeight="1">
      <c r="A380" s="2410" t="str">
        <f t="shared" si="6"/>
        <v>ja / nein</v>
      </c>
      <c r="B380" s="2410" t="s">
        <v>11588</v>
      </c>
      <c r="C380" s="2410" t="s">
        <v>5256</v>
      </c>
      <c r="D380" s="2414" t="s">
        <v>11589</v>
      </c>
    </row>
    <row r="381" spans="1:4" ht="12.75" customHeight="1">
      <c r="A381" s="2410" t="str">
        <f t="shared" si="6"/>
        <v>BTS</v>
      </c>
      <c r="B381" s="2410" t="s">
        <v>6103</v>
      </c>
      <c r="C381" s="2410" t="s">
        <v>5257</v>
      </c>
      <c r="D381" s="2414" t="s">
        <v>5873</v>
      </c>
    </row>
    <row r="382" spans="1:4" ht="12.75" customHeight="1">
      <c r="A382" s="2410" t="str">
        <f t="shared" si="6"/>
        <v>ja / nein</v>
      </c>
      <c r="B382" s="2410" t="s">
        <v>11588</v>
      </c>
      <c r="C382" s="2410" t="s">
        <v>5256</v>
      </c>
      <c r="D382" s="2414" t="s">
        <v>11589</v>
      </c>
    </row>
    <row r="383" spans="1:4" ht="12.75" customHeight="1">
      <c r="A383" s="2410" t="str">
        <f t="shared" si="6"/>
        <v>Stück</v>
      </c>
      <c r="B383" s="2410" t="s">
        <v>4322</v>
      </c>
      <c r="C383" s="2410" t="s">
        <v>5258</v>
      </c>
      <c r="D383" s="2414" t="s">
        <v>8569</v>
      </c>
    </row>
    <row r="384" spans="1:4" ht="12.75" customHeight="1">
      <c r="A384" s="2410" t="str">
        <f t="shared" si="6"/>
        <v>Platz</v>
      </c>
      <c r="B384" s="2410" t="s">
        <v>5735</v>
      </c>
      <c r="C384" s="2410" t="s">
        <v>5259</v>
      </c>
      <c r="D384" s="2414" t="s">
        <v>8570</v>
      </c>
    </row>
    <row r="385" spans="1:4" ht="12.75" customHeight="1">
      <c r="A385" s="2410" t="str">
        <f t="shared" si="6"/>
        <v>Anzahl</v>
      </c>
      <c r="B385" s="2410" t="s">
        <v>7044</v>
      </c>
      <c r="C385" s="2410" t="s">
        <v>5260</v>
      </c>
      <c r="D385" s="2414" t="s">
        <v>3773</v>
      </c>
    </row>
    <row r="386" spans="1:4" ht="12.75" customHeight="1">
      <c r="A386" s="2410" t="str">
        <f t="shared" si="6"/>
        <v>Einheit</v>
      </c>
      <c r="B386" s="2410" t="s">
        <v>6392</v>
      </c>
      <c r="C386" s="2410" t="s">
        <v>6215</v>
      </c>
      <c r="D386" s="2414" t="s">
        <v>1610</v>
      </c>
    </row>
    <row r="387" spans="1:4" ht="12.75" customHeight="1">
      <c r="A387" s="2410" t="str">
        <f t="shared" si="6"/>
        <v>100 Pl.</v>
      </c>
      <c r="B387" s="2410" t="s">
        <v>5537</v>
      </c>
      <c r="C387" s="2410" t="s">
        <v>5537</v>
      </c>
      <c r="D387" s="2414" t="s">
        <v>8571</v>
      </c>
    </row>
    <row r="388" spans="1:4" ht="12.75" customHeight="1">
      <c r="A388" s="2410" t="str">
        <f t="shared" si="6"/>
        <v>Rindvieh</v>
      </c>
      <c r="B388" s="2410" t="s">
        <v>2588</v>
      </c>
      <c r="C388" s="2410" t="s">
        <v>712</v>
      </c>
      <c r="D388" s="2414" t="s">
        <v>2218</v>
      </c>
    </row>
    <row r="389" spans="1:4" ht="12.75" customHeight="1">
      <c r="A389" s="2410" t="str">
        <f t="shared" si="6"/>
        <v>Tiere der Rindergattung und Wasserbüffel</v>
      </c>
      <c r="B389" s="2410" t="s">
        <v>218</v>
      </c>
      <c r="C389" s="2410" t="s">
        <v>713</v>
      </c>
      <c r="D389" s="2414" t="s">
        <v>3739</v>
      </c>
    </row>
    <row r="390" spans="1:4" ht="12.75" customHeight="1">
      <c r="A390" s="2410" t="str">
        <f t="shared" si="6"/>
        <v>Milchkühe</v>
      </c>
      <c r="B390" s="2410" t="s">
        <v>2350</v>
      </c>
      <c r="C390" s="2410" t="s">
        <v>709</v>
      </c>
      <c r="D390" s="2414" t="s">
        <v>8572</v>
      </c>
    </row>
    <row r="391" spans="1:4" ht="12.75" customHeight="1">
      <c r="A391" s="2410" t="str">
        <f>IF($A$2=1,B391,IF($A$2=2,C391,IF($A$2=3,IF(D391="",C391,D391),"")))</f>
        <v>Galt- oder Ausmastkühe</v>
      </c>
      <c r="B391" s="2410" t="s">
        <v>1546</v>
      </c>
      <c r="C391" s="2410" t="s">
        <v>7972</v>
      </c>
      <c r="D391" s="2414" t="s">
        <v>11131</v>
      </c>
    </row>
    <row r="392" spans="1:4" ht="12.75" customHeight="1">
      <c r="A392" s="2410" t="str">
        <f t="shared" si="6"/>
        <v>Ø Milchmenge:</v>
      </c>
      <c r="B392" s="2410" t="s">
        <v>2351</v>
      </c>
      <c r="C392" s="2410" t="s">
        <v>710</v>
      </c>
      <c r="D392" s="2414" t="s">
        <v>8573</v>
      </c>
    </row>
    <row r="393" spans="1:4" ht="12.75" customHeight="1">
      <c r="A393" s="2410" t="str">
        <f t="shared" si="6"/>
        <v>Equiden &gt; 148 cm, über 900-tägig</v>
      </c>
      <c r="B393" s="2410" t="s">
        <v>7313</v>
      </c>
      <c r="C393" s="2410" t="s">
        <v>5429</v>
      </c>
      <c r="D393" s="2414" t="s">
        <v>8574</v>
      </c>
    </row>
    <row r="394" spans="1:4" ht="12.75" customHeight="1">
      <c r="A394" s="2410" t="str">
        <f t="shared" si="6"/>
        <v>Equiden &gt; 148 cm, 180-900-tägig</v>
      </c>
      <c r="B394" s="2410" t="s">
        <v>7315</v>
      </c>
      <c r="C394" s="2410" t="s">
        <v>5430</v>
      </c>
      <c r="D394" s="2414" t="s">
        <v>8575</v>
      </c>
    </row>
    <row r="395" spans="1:4" ht="12.75" customHeight="1">
      <c r="A395" s="2410" t="str">
        <f t="shared" si="6"/>
        <v>Equiden &gt; 148 cm, bis 180-tägig</v>
      </c>
      <c r="B395" s="2410" t="s">
        <v>7317</v>
      </c>
      <c r="C395" s="2410" t="s">
        <v>6491</v>
      </c>
      <c r="D395" s="2414" t="s">
        <v>8576</v>
      </c>
    </row>
    <row r="396" spans="1:4" ht="12.75" customHeight="1">
      <c r="A396" s="2410" t="str">
        <f t="shared" si="6"/>
        <v>Equiden &lt;= 148 cm, über 900-tägig</v>
      </c>
      <c r="B396" s="2410" t="s">
        <v>7720</v>
      </c>
      <c r="C396" s="2410" t="s">
        <v>8170</v>
      </c>
      <c r="D396" s="2414" t="s">
        <v>8577</v>
      </c>
    </row>
    <row r="397" spans="1:4" ht="12.75" customHeight="1">
      <c r="A397" s="2410" t="str">
        <f t="shared" si="6"/>
        <v>Equiden &lt;= 148 cm, 180-900-tägig</v>
      </c>
      <c r="B397" s="2410" t="s">
        <v>7314</v>
      </c>
      <c r="C397" s="2410" t="s">
        <v>6492</v>
      </c>
      <c r="D397" s="2414" t="s">
        <v>8578</v>
      </c>
    </row>
    <row r="398" spans="1:4" ht="12.75" customHeight="1">
      <c r="A398" s="2410" t="str">
        <f t="shared" si="6"/>
        <v>Equiden &lt;= 148 cm, bis 180-tägig</v>
      </c>
      <c r="B398" s="2410" t="s">
        <v>7316</v>
      </c>
      <c r="C398" s="2410" t="s">
        <v>6493</v>
      </c>
      <c r="D398" s="2414" t="s">
        <v>8579</v>
      </c>
    </row>
    <row r="399" spans="1:4" ht="12.75" customHeight="1">
      <c r="A399" s="2410" t="str">
        <f t="shared" si="6"/>
        <v>Anderes:</v>
      </c>
      <c r="B399" s="2410" t="s">
        <v>5592</v>
      </c>
      <c r="C399" s="2410" t="s">
        <v>3350</v>
      </c>
      <c r="D399" s="2414" t="s">
        <v>393</v>
      </c>
    </row>
    <row r="400" spans="1:4" ht="12.75" customHeight="1">
      <c r="A400" s="3328" t="str">
        <f t="shared" si="6"/>
        <v>Milchschafe</v>
      </c>
      <c r="B400" s="3327" t="s">
        <v>2893</v>
      </c>
      <c r="C400" s="3327" t="s">
        <v>12139</v>
      </c>
      <c r="D400" s="3326" t="s">
        <v>10493</v>
      </c>
    </row>
    <row r="401" spans="1:4" ht="12.75" customHeight="1">
      <c r="A401" s="3328" t="str">
        <f t="shared" si="6"/>
        <v>Milchziegen</v>
      </c>
      <c r="B401" s="3327" t="s">
        <v>2892</v>
      </c>
      <c r="C401" s="3327" t="s">
        <v>2895</v>
      </c>
      <c r="D401" s="3326" t="s">
        <v>10488</v>
      </c>
    </row>
    <row r="402" spans="1:4" ht="12.75" customHeight="1">
      <c r="A402" s="2410" t="str">
        <f t="shared" ref="A402:A442" si="7">IF($A$2=1,B402,IF($A$2=2,C402,IF($A$2=3,IF(D402="",C402,D402),"")))</f>
        <v>Zuchtschweine als kombinierte Einheit erfassen</v>
      </c>
      <c r="B402" s="2410" t="s">
        <v>711</v>
      </c>
      <c r="C402" s="2410" t="s">
        <v>3984</v>
      </c>
      <c r="D402" s="2414" t="s">
        <v>11590</v>
      </c>
    </row>
    <row r="403" spans="1:4" ht="12.75" customHeight="1">
      <c r="A403" s="2410" t="str">
        <f t="shared" si="7"/>
        <v>MSP</v>
      </c>
      <c r="B403" s="2410" t="s">
        <v>6330</v>
      </c>
      <c r="C403" s="2410" t="s">
        <v>3416</v>
      </c>
      <c r="D403" s="2414" t="s">
        <v>1787</v>
      </c>
    </row>
    <row r="404" spans="1:4" ht="12.75" customHeight="1">
      <c r="A404" s="2410" t="str">
        <f t="shared" si="7"/>
        <v xml:space="preserve">Mastschweine, Remonten </v>
      </c>
      <c r="B404" s="2410" t="s">
        <v>7310</v>
      </c>
      <c r="C404" s="2410" t="s">
        <v>7311</v>
      </c>
      <c r="D404" s="2414" t="s">
        <v>11591</v>
      </c>
    </row>
    <row r="405" spans="1:4" ht="12.75" customHeight="1">
      <c r="A405" s="2410" t="str">
        <f t="shared" si="7"/>
        <v>LHP / MPP</v>
      </c>
      <c r="B405" s="2410" t="s">
        <v>11592</v>
      </c>
      <c r="C405" s="2410" t="s">
        <v>11593</v>
      </c>
      <c r="D405" s="2414" t="s">
        <v>11594</v>
      </c>
    </row>
    <row r="406" spans="1:4" ht="12.75" customHeight="1">
      <c r="A406" s="2410" t="str">
        <f t="shared" si="7"/>
        <v xml:space="preserve">Total Beitrags-GVE </v>
      </c>
      <c r="B406" s="2410" t="s">
        <v>5541</v>
      </c>
      <c r="C406" s="2410" t="s">
        <v>3418</v>
      </c>
      <c r="D406" s="2414" t="s">
        <v>8580</v>
      </c>
    </row>
    <row r="407" spans="1:4" ht="12.75" customHeight="1">
      <c r="A407" s="2410" t="str">
        <f t="shared" si="7"/>
        <v xml:space="preserve">Total GVE </v>
      </c>
      <c r="B407" s="2410" t="s">
        <v>2264</v>
      </c>
      <c r="C407" s="2410" t="s">
        <v>3419</v>
      </c>
      <c r="D407" s="2414" t="s">
        <v>8581</v>
      </c>
    </row>
    <row r="408" spans="1:4" ht="12.75" customHeight="1">
      <c r="A408" s="2410">
        <f t="shared" si="7"/>
        <v>0</v>
      </c>
      <c r="B408" s="2410"/>
      <c r="C408" s="2410"/>
      <c r="D408" s="2414" t="s">
        <v>4899</v>
      </c>
    </row>
    <row r="409" spans="1:4" ht="12.75" customHeight="1">
      <c r="A409" s="2410" t="str">
        <f t="shared" si="7"/>
        <v>Düngbare Fläche (DF)</v>
      </c>
      <c r="B409" s="2410" t="s">
        <v>2265</v>
      </c>
      <c r="C409" s="2410" t="s">
        <v>2747</v>
      </c>
      <c r="D409" s="2414" t="s">
        <v>1788</v>
      </c>
    </row>
    <row r="410" spans="1:4" ht="12.75" customHeight="1">
      <c r="A410" s="2410" t="str">
        <f t="shared" si="7"/>
        <v>Fläche ha</v>
      </c>
      <c r="B410" s="2410" t="s">
        <v>1647</v>
      </c>
      <c r="C410" s="2410" t="s">
        <v>1549</v>
      </c>
      <c r="D410" s="2414" t="s">
        <v>1560</v>
      </c>
    </row>
    <row r="411" spans="1:4" ht="12.75" customHeight="1">
      <c r="A411" s="2410" t="str">
        <f t="shared" si="7"/>
        <v xml:space="preserve">Landwirtschaftliche Nutzfläche (LN) </v>
      </c>
      <c r="B411" s="2410" t="s">
        <v>1182</v>
      </c>
      <c r="C411" s="2410" t="s">
        <v>4249</v>
      </c>
      <c r="D411" s="2414" t="s">
        <v>2217</v>
      </c>
    </row>
    <row r="412" spans="1:4" ht="12.75" customHeight="1">
      <c r="A412" s="2410" t="str">
        <f t="shared" si="7"/>
        <v>Beitragsberechtigte Fläche</v>
      </c>
      <c r="B412" s="2410" t="s">
        <v>907</v>
      </c>
      <c r="C412" s="2410" t="s">
        <v>908</v>
      </c>
      <c r="D412" s="2414" t="s">
        <v>1789</v>
      </c>
    </row>
    <row r="413" spans="1:4" ht="12.75" customHeight="1">
      <c r="A413" s="2410" t="str">
        <f t="shared" si="7"/>
        <v>minus:</v>
      </c>
      <c r="B413" s="2410" t="s">
        <v>1183</v>
      </c>
      <c r="C413" s="2410" t="s">
        <v>3412</v>
      </c>
      <c r="D413" s="2414" t="s">
        <v>1790</v>
      </c>
    </row>
    <row r="414" spans="1:4" ht="12.75" customHeight="1">
      <c r="A414" s="2410" t="str">
        <f t="shared" si="7"/>
        <v>Extensive Wiesen, ohne Weiden</v>
      </c>
      <c r="B414" s="2410" t="s">
        <v>7650</v>
      </c>
      <c r="C414" s="2410" t="s">
        <v>7651</v>
      </c>
      <c r="D414" s="2414" t="s">
        <v>8582</v>
      </c>
    </row>
    <row r="415" spans="1:4" ht="12.75" customHeight="1">
      <c r="A415" s="2410" t="str">
        <f t="shared" si="7"/>
        <v>Übrige Wiesen mit Düngeverbot</v>
      </c>
      <c r="B415" s="2410" t="s">
        <v>3795</v>
      </c>
      <c r="C415" s="2410" t="s">
        <v>1592</v>
      </c>
      <c r="D415" s="2414" t="s">
        <v>8530</v>
      </c>
    </row>
    <row r="416" spans="1:4" ht="12.75" customHeight="1">
      <c r="A416" s="2410" t="str">
        <f t="shared" si="7"/>
        <v>Buntbrache</v>
      </c>
      <c r="B416" s="2410" t="s">
        <v>2043</v>
      </c>
      <c r="C416" s="2410" t="s">
        <v>6462</v>
      </c>
      <c r="D416" s="2414" t="s">
        <v>801</v>
      </c>
    </row>
    <row r="417" spans="1:4" ht="12.75" customHeight="1">
      <c r="A417" s="2410" t="str">
        <f t="shared" si="7"/>
        <v>Rotationsbrache</v>
      </c>
      <c r="B417" s="2410" t="s">
        <v>6927</v>
      </c>
      <c r="C417" s="2410" t="s">
        <v>6463</v>
      </c>
      <c r="D417" s="2414" t="s">
        <v>800</v>
      </c>
    </row>
    <row r="418" spans="1:4" ht="12.75" customHeight="1">
      <c r="A418" s="2410" t="str">
        <f t="shared" si="7"/>
        <v>Säume auf Ackerflächen und Nützlingsstreifen</v>
      </c>
      <c r="B418" s="2781" t="s">
        <v>11849</v>
      </c>
      <c r="C418" s="2781" t="s">
        <v>11850</v>
      </c>
      <c r="D418" s="2780" t="s">
        <v>11852</v>
      </c>
    </row>
    <row r="419" spans="1:4" ht="12.75" customHeight="1">
      <c r="A419" s="2410" t="str">
        <f>IF($A$2=1,B419,IF($A$2=2,C419,IF($A$2=3,IF(D419="",C419,D419),"")))</f>
        <v>Säume auf Ackerflächen und Nützlingsstreifen (oAF)</v>
      </c>
      <c r="B419" s="2410" t="s">
        <v>11353</v>
      </c>
      <c r="C419" s="2410" t="s">
        <v>11354</v>
      </c>
      <c r="D419" s="2414" t="s">
        <v>11355</v>
      </c>
    </row>
    <row r="420" spans="1:4" ht="12.75" customHeight="1">
      <c r="A420" s="2410" t="str">
        <f t="shared" si="7"/>
        <v>Streue-, Torfland</v>
      </c>
      <c r="B420" s="2410" t="s">
        <v>5523</v>
      </c>
      <c r="C420" s="2410" t="s">
        <v>7024</v>
      </c>
      <c r="D420" s="2414" t="s">
        <v>8443</v>
      </c>
    </row>
    <row r="421" spans="1:4" ht="12.75" customHeight="1">
      <c r="A421" s="2410" t="str">
        <f t="shared" si="7"/>
        <v>Hecken, Feld- und Ufergehölze</v>
      </c>
      <c r="B421" s="2410" t="s">
        <v>5524</v>
      </c>
      <c r="C421" s="2410" t="s">
        <v>3555</v>
      </c>
      <c r="D421" s="2414" t="s">
        <v>8583</v>
      </c>
    </row>
    <row r="422" spans="1:4" ht="12.75" customHeight="1">
      <c r="A422" s="2410" t="str">
        <f t="shared" si="7"/>
        <v>Uferwiese, ohne Weiden</v>
      </c>
      <c r="B422" s="2781" t="s">
        <v>11830</v>
      </c>
      <c r="C422" s="2781" t="s">
        <v>3869</v>
      </c>
      <c r="D422" s="2414" t="s">
        <v>8546</v>
      </c>
    </row>
    <row r="423" spans="1:4" ht="12.75" customHeight="1">
      <c r="A423" s="2410" t="str">
        <f t="shared" si="7"/>
        <v>Pufferstreifen entlang Gewässern, Wäldern, Hecken, Feld- u. Ufergehölzen</v>
      </c>
      <c r="B423" s="2410" t="s">
        <v>2341</v>
      </c>
      <c r="C423" s="2410" t="s">
        <v>3556</v>
      </c>
      <c r="D423" s="2414" t="s">
        <v>8584</v>
      </c>
    </row>
    <row r="424" spans="1:4" ht="12.75" customHeight="1">
      <c r="A424" s="2410" t="str">
        <f t="shared" si="7"/>
        <v>Übrige</v>
      </c>
      <c r="B424" s="2410" t="s">
        <v>2342</v>
      </c>
      <c r="C424" s="2410" t="s">
        <v>3557</v>
      </c>
      <c r="D424" s="2414" t="s">
        <v>393</v>
      </c>
    </row>
    <row r="425" spans="1:4" ht="12.75" customHeight="1">
      <c r="A425" s="2410" t="str">
        <f t="shared" si="7"/>
        <v>Düngbare Fläche (DF)</v>
      </c>
      <c r="B425" s="2410" t="s">
        <v>2265</v>
      </c>
      <c r="C425" s="2410" t="s">
        <v>2747</v>
      </c>
      <c r="D425" s="2414" t="s">
        <v>1788</v>
      </c>
    </row>
    <row r="426" spans="1:4" ht="25.5">
      <c r="A426" s="2410" t="str">
        <f t="shared" si="7"/>
        <v xml:space="preserve">Anteil Biodiversitätsförderflächen an Spezialkulturen und an übriger LN </v>
      </c>
      <c r="B426" s="2410" t="s">
        <v>4620</v>
      </c>
      <c r="C426" s="3102" t="s">
        <v>5831</v>
      </c>
      <c r="D426" s="2414" t="s">
        <v>8585</v>
      </c>
    </row>
    <row r="427" spans="1:4" ht="12.75" customHeight="1">
      <c r="A427" s="2410" t="str">
        <f t="shared" si="7"/>
        <v xml:space="preserve">  [Für eine detaillierte Erfassung separates Agridea-Formular benützen!]</v>
      </c>
      <c r="B427" s="2410" t="s">
        <v>3119</v>
      </c>
      <c r="C427" s="2410" t="s">
        <v>5930</v>
      </c>
      <c r="D427" s="2414" t="s">
        <v>8586</v>
      </c>
    </row>
    <row r="428" spans="1:4" ht="12.75" customHeight="1">
      <c r="A428" s="2410" t="str">
        <f t="shared" si="7"/>
        <v>Resultat Ihres Betriebes</v>
      </c>
      <c r="B428" s="2410" t="s">
        <v>3120</v>
      </c>
      <c r="C428" s="2410" t="s">
        <v>5606</v>
      </c>
      <c r="D428" s="2414" t="s">
        <v>8587</v>
      </c>
    </row>
    <row r="429" spans="1:4" ht="12.75" customHeight="1">
      <c r="A429" s="2410" t="str">
        <f t="shared" si="7"/>
        <v>Fläche</v>
      </c>
      <c r="B429" s="2410" t="s">
        <v>5348</v>
      </c>
      <c r="C429" s="2410" t="s">
        <v>1697</v>
      </c>
      <c r="D429" s="2414" t="s">
        <v>2757</v>
      </c>
    </row>
    <row r="430" spans="1:4" ht="12.75" customHeight="1">
      <c r="A430" s="2410" t="str">
        <f t="shared" si="7"/>
        <v xml:space="preserve">% der </v>
      </c>
      <c r="B430" s="2410" t="s">
        <v>1455</v>
      </c>
      <c r="C430" s="2410" t="s">
        <v>5607</v>
      </c>
      <c r="D430" s="2414" t="s">
        <v>1825</v>
      </c>
    </row>
    <row r="431" spans="1:4" ht="12.75" customHeight="1">
      <c r="A431" s="2410" t="str">
        <f t="shared" si="7"/>
        <v xml:space="preserve">% der </v>
      </c>
      <c r="B431" s="2410" t="s">
        <v>1455</v>
      </c>
      <c r="C431" s="2410" t="s">
        <v>1512</v>
      </c>
      <c r="D431" s="2414" t="s">
        <v>1825</v>
      </c>
    </row>
    <row r="432" spans="1:4" ht="12.75" customHeight="1">
      <c r="A432" s="2410" t="str">
        <f t="shared" si="7"/>
        <v>in ha</v>
      </c>
      <c r="B432" s="2410" t="s">
        <v>1456</v>
      </c>
      <c r="C432" s="2410" t="s">
        <v>5608</v>
      </c>
      <c r="D432" s="2414" t="s">
        <v>8588</v>
      </c>
    </row>
    <row r="433" spans="1:4" ht="12.75" customHeight="1">
      <c r="A433" s="2410" t="str">
        <f t="shared" si="7"/>
        <v>Ackerfläche</v>
      </c>
      <c r="B433" s="3102" t="s">
        <v>4684</v>
      </c>
      <c r="C433" s="3102" t="s">
        <v>11432</v>
      </c>
      <c r="D433" s="3103" t="s">
        <v>12040</v>
      </c>
    </row>
    <row r="434" spans="1:4" ht="12.75" customHeight="1">
      <c r="A434" s="2410" t="str">
        <f t="shared" si="7"/>
        <v>Spez.kulturen</v>
      </c>
      <c r="B434" s="2410" t="s">
        <v>1457</v>
      </c>
      <c r="C434" s="2410" t="s">
        <v>5609</v>
      </c>
      <c r="D434" s="2414" t="s">
        <v>7413</v>
      </c>
    </row>
    <row r="435" spans="1:4" ht="12.75" customHeight="1">
      <c r="A435" s="2410" t="str">
        <f t="shared" si="7"/>
        <v>übrigen LN</v>
      </c>
      <c r="B435" s="2410" t="s">
        <v>1458</v>
      </c>
      <c r="C435" s="2410" t="s">
        <v>7026</v>
      </c>
      <c r="D435" s="2414" t="s">
        <v>1826</v>
      </c>
    </row>
    <row r="436" spans="1:4" ht="12.75" customHeight="1">
      <c r="A436" s="2410" t="str">
        <f t="shared" si="7"/>
        <v>übrigen Fläche</v>
      </c>
      <c r="B436" s="2410" t="s">
        <v>6208</v>
      </c>
      <c r="C436" s="2410" t="s">
        <v>455</v>
      </c>
      <c r="D436" s="2414" t="s">
        <v>8589</v>
      </c>
    </row>
    <row r="437" spans="1:4" ht="12.75" customHeight="1">
      <c r="A437" s="2410" t="str">
        <f t="shared" si="7"/>
        <v>Extensiv genutzte Wiesen (Typ 1): davon BFF</v>
      </c>
      <c r="B437" s="2410" t="s">
        <v>5981</v>
      </c>
      <c r="C437" s="2410" t="s">
        <v>4896</v>
      </c>
      <c r="D437" s="2414" t="s">
        <v>8590</v>
      </c>
    </row>
    <row r="438" spans="1:4" ht="12.75" customHeight="1">
      <c r="A438" s="2410" t="str">
        <f t="shared" si="7"/>
        <v>Wenig intensiv genutzte Wiesen (Typ 4): davon BFF</v>
      </c>
      <c r="B438" s="2410" t="s">
        <v>6251</v>
      </c>
      <c r="C438" s="2410" t="s">
        <v>3117</v>
      </c>
      <c r="D438" s="2414" t="s">
        <v>8591</v>
      </c>
    </row>
    <row r="439" spans="1:4" ht="12.75" customHeight="1">
      <c r="A439" s="2410" t="str">
        <f t="shared" si="7"/>
        <v>Streueflächen (Typ 5)</v>
      </c>
      <c r="B439" s="2410" t="s">
        <v>3682</v>
      </c>
      <c r="C439" s="2410" t="s">
        <v>2466</v>
      </c>
      <c r="D439" s="2414" t="s">
        <v>8592</v>
      </c>
    </row>
    <row r="440" spans="1:4" ht="12.75" customHeight="1">
      <c r="A440" s="2410" t="str">
        <f t="shared" si="7"/>
        <v>Extensiv genutzte Weiden (Typ 2): davon BFF</v>
      </c>
      <c r="B440" s="2410" t="s">
        <v>5982</v>
      </c>
      <c r="C440" s="2410" t="s">
        <v>5970</v>
      </c>
      <c r="D440" s="2414" t="s">
        <v>8593</v>
      </c>
    </row>
    <row r="441" spans="1:4" ht="12.75" customHeight="1">
      <c r="A441" s="2410" t="str">
        <f t="shared" si="7"/>
        <v>Waldweiden (Wytweiden, Selven) (Typ 3): davon BFF</v>
      </c>
      <c r="B441" s="2410" t="s">
        <v>5983</v>
      </c>
      <c r="C441" s="2410" t="s">
        <v>5971</v>
      </c>
      <c r="D441" s="2414" t="s">
        <v>8594</v>
      </c>
    </row>
    <row r="442" spans="1:4" ht="12.75" customHeight="1">
      <c r="A442" s="2410" t="str">
        <f t="shared" si="7"/>
        <v>Ackerschonstreifen (Typ 6)</v>
      </c>
      <c r="B442" s="2410" t="s">
        <v>3683</v>
      </c>
      <c r="C442" s="2410" t="s">
        <v>3796</v>
      </c>
      <c r="D442" s="2414" t="s">
        <v>8595</v>
      </c>
    </row>
    <row r="443" spans="1:4" ht="12.75" customHeight="1">
      <c r="A443" s="2410" t="str">
        <f t="shared" ref="A443:A512" si="8">IF($A$2=1,B443,IF($A$2=2,C443,IF($A$2=3,IF(D443="",C443,D443),"")))</f>
        <v>Buntbrache (Typ 7A)</v>
      </c>
      <c r="B443" s="2410" t="s">
        <v>3684</v>
      </c>
      <c r="C443" s="2410" t="s">
        <v>1240</v>
      </c>
      <c r="D443" s="2414" t="s">
        <v>8596</v>
      </c>
    </row>
    <row r="444" spans="1:4" ht="12.75" customHeight="1">
      <c r="A444" s="2410" t="str">
        <f t="shared" si="8"/>
        <v>Rotationsbrache (Typ 7B)</v>
      </c>
      <c r="B444" s="2410" t="s">
        <v>3685</v>
      </c>
      <c r="C444" s="2410" t="s">
        <v>2076</v>
      </c>
      <c r="D444" s="2414" t="s">
        <v>8597</v>
      </c>
    </row>
    <row r="445" spans="1:4" ht="12.75" customHeight="1">
      <c r="A445" s="2410" t="str">
        <f t="shared" si="8"/>
        <v>Säume auf Ackerflächen</v>
      </c>
      <c r="B445" s="2410" t="s">
        <v>5522</v>
      </c>
      <c r="C445" s="2410" t="s">
        <v>1879</v>
      </c>
      <c r="D445" s="2414" t="s">
        <v>8598</v>
      </c>
    </row>
    <row r="446" spans="1:4" ht="12.75" customHeight="1">
      <c r="A446" s="2410" t="str">
        <f>IF($A$2=1,B446,IF($A$2=2,C446,IF($A$2=3,IF(D446="",C446,D446),"")))</f>
        <v>Nützlingsstreifen (oAF)</v>
      </c>
      <c r="B446" s="2410" t="s">
        <v>11330</v>
      </c>
      <c r="C446" s="2410" t="s">
        <v>11331</v>
      </c>
      <c r="D446" s="2414" t="s">
        <v>11342</v>
      </c>
    </row>
    <row r="447" spans="1:4" ht="12.75" customHeight="1">
      <c r="A447" s="2410" t="str">
        <f t="shared" si="8"/>
        <v>Nützlingsstreifen</v>
      </c>
      <c r="B447" s="2781" t="s">
        <v>11424</v>
      </c>
      <c r="C447" s="2781" t="s">
        <v>11844</v>
      </c>
      <c r="D447" s="2414" t="s">
        <v>11851</v>
      </c>
    </row>
    <row r="448" spans="1:4" ht="12.75" customHeight="1">
      <c r="A448" s="2410" t="str">
        <f t="shared" si="8"/>
        <v>Getreide in weiter Reihe</v>
      </c>
      <c r="B448" s="3102" t="s">
        <v>11350</v>
      </c>
      <c r="C448" s="2781" t="s">
        <v>11352</v>
      </c>
      <c r="D448" s="2414" t="s">
        <v>11351</v>
      </c>
    </row>
    <row r="449" spans="1:4" ht="12.75" customHeight="1">
      <c r="A449" s="2410" t="str">
        <f t="shared" si="8"/>
        <v>maximal</v>
      </c>
      <c r="B449" s="3102" t="s">
        <v>12112</v>
      </c>
      <c r="C449" s="3102" t="s">
        <v>12112</v>
      </c>
      <c r="D449" s="3103" t="s">
        <v>5032</v>
      </c>
    </row>
    <row r="450" spans="1:4" ht="12.75" customHeight="1">
      <c r="A450" s="2410" t="str">
        <f t="shared" si="8"/>
        <v>Hochstamm-Feldobstbäume (Typ 8), 1 Are pro Baum</v>
      </c>
      <c r="B450" s="2410" t="s">
        <v>7415</v>
      </c>
      <c r="C450" s="2410" t="s">
        <v>658</v>
      </c>
      <c r="D450" s="2414" t="s">
        <v>11595</v>
      </c>
    </row>
    <row r="451" spans="1:4" ht="12.75" customHeight="1">
      <c r="A451" s="2410" t="str">
        <f t="shared" si="8"/>
        <v>Einheimische  Einzelbäume (Typ 9), 1 Are pro Baum</v>
      </c>
      <c r="B451" s="2410" t="s">
        <v>6480</v>
      </c>
      <c r="C451" s="2410" t="s">
        <v>659</v>
      </c>
      <c r="D451" s="2414" t="s">
        <v>11596</v>
      </c>
    </row>
    <row r="452" spans="1:4" ht="12.75" customHeight="1">
      <c r="A452" s="2410" t="str">
        <f t="shared" si="8"/>
        <v>Hecken, Feld- und Ufergehölze (Typ 10)</v>
      </c>
      <c r="B452" s="2410" t="s">
        <v>6481</v>
      </c>
      <c r="C452" s="2410" t="s">
        <v>4803</v>
      </c>
      <c r="D452" s="2414" t="s">
        <v>8599</v>
      </c>
    </row>
    <row r="453" spans="1:4" ht="12.75" customHeight="1">
      <c r="A453" s="2410" t="str">
        <f t="shared" si="8"/>
        <v>Uferwiese, ohne Weiden</v>
      </c>
      <c r="B453" s="2781" t="s">
        <v>11830</v>
      </c>
      <c r="C453" s="2410" t="s">
        <v>1474</v>
      </c>
      <c r="D453" s="2414" t="s">
        <v>8546</v>
      </c>
    </row>
    <row r="454" spans="1:4" ht="12.75" customHeight="1">
      <c r="A454" s="2410" t="str">
        <f t="shared" si="8"/>
        <v>Nützlingsstreifen (DK)</v>
      </c>
      <c r="B454" s="2410" t="s">
        <v>11347</v>
      </c>
      <c r="C454" s="2410" t="s">
        <v>11348</v>
      </c>
      <c r="D454" s="2414" t="s">
        <v>11349</v>
      </c>
    </row>
    <row r="455" spans="1:4" ht="12.75" customHeight="1">
      <c r="A455" s="2410" t="str">
        <f t="shared" si="8"/>
        <v>Rebflächen mit natürlicher Artenvielfalt (Typ 15)</v>
      </c>
      <c r="B455" s="2410" t="s">
        <v>1410</v>
      </c>
      <c r="C455" s="2410" t="s">
        <v>1411</v>
      </c>
      <c r="D455" s="2414" t="s">
        <v>8600</v>
      </c>
    </row>
    <row r="456" spans="1:4" ht="12.75" customHeight="1">
      <c r="A456" s="2410" t="str">
        <f t="shared" si="8"/>
        <v>Übrige Biodiversitätsförderflächen (Typen 11-13)</v>
      </c>
      <c r="B456" s="2410" t="s">
        <v>4621</v>
      </c>
      <c r="C456" s="2410" t="s">
        <v>5005</v>
      </c>
      <c r="D456" s="2414" t="s">
        <v>8601</v>
      </c>
    </row>
    <row r="457" spans="1:4" ht="12.75" customHeight="1">
      <c r="A457" s="2410" t="str">
        <f t="shared" si="8"/>
        <v>Weitere Biodiversitätsförderflächen (Typ 16 gemäss sep. Agridea-Formular)</v>
      </c>
      <c r="B457" s="2410" t="s">
        <v>6592</v>
      </c>
      <c r="C457" s="2410" t="s">
        <v>6734</v>
      </c>
      <c r="D457" s="2414" t="s">
        <v>8602</v>
      </c>
    </row>
    <row r="458" spans="1:4" ht="12.75" customHeight="1">
      <c r="A458" s="2410" t="str">
        <f t="shared" si="8"/>
        <v>Total Ihres Betriebes</v>
      </c>
      <c r="B458" s="2410" t="s">
        <v>5104</v>
      </c>
      <c r="C458" s="2410" t="s">
        <v>5928</v>
      </c>
      <c r="D458" s="2414" t="s">
        <v>8603</v>
      </c>
    </row>
    <row r="459" spans="1:4" ht="12.75" customHeight="1">
      <c r="A459" s="2410" t="str">
        <f t="shared" si="8"/>
        <v xml:space="preserve">Mindestfläche für den ökologischen Leistungsnachweis </v>
      </c>
      <c r="B459" s="2410" t="s">
        <v>664</v>
      </c>
      <c r="C459" s="3102" t="s">
        <v>5325</v>
      </c>
      <c r="D459" s="3103" t="s">
        <v>11132</v>
      </c>
    </row>
    <row r="460" spans="1:4" ht="12.75" customHeight="1">
      <c r="A460" s="2410" t="str">
        <f t="shared" si="8"/>
        <v>Acker-Biodiversitätsförderflächen</v>
      </c>
      <c r="B460" s="3102" t="s">
        <v>12108</v>
      </c>
      <c r="C460" s="3102" t="s">
        <v>12111</v>
      </c>
      <c r="D460" s="3103" t="s">
        <v>12114</v>
      </c>
    </row>
    <row r="461" spans="1:4" ht="12.75" customHeight="1">
      <c r="A461" s="2410" t="str">
        <f t="shared" si="8"/>
        <v>Mindestfläche Acker-BFF</v>
      </c>
      <c r="B461" s="3102" t="s">
        <v>12109</v>
      </c>
      <c r="C461" s="3102" t="s">
        <v>12110</v>
      </c>
      <c r="D461" s="3131" t="s">
        <v>12115</v>
      </c>
    </row>
    <row r="462" spans="1:4" ht="12.75" customHeight="1">
      <c r="A462" s="2410" t="str">
        <f t="shared" si="8"/>
        <v>Differenzierte Grünlandbewirtschaftung</v>
      </c>
      <c r="B462" s="2410" t="s">
        <v>6122</v>
      </c>
      <c r="C462" s="2410" t="s">
        <v>2883</v>
      </c>
      <c r="D462" s="2414" t="s">
        <v>2403</v>
      </c>
    </row>
    <row r="463" spans="1:4" ht="12.75" customHeight="1">
      <c r="A463" s="2410" t="str">
        <f t="shared" si="8"/>
        <v>Anteil "extensiver" Elemente an der Grünland- und Streuefläche</v>
      </c>
      <c r="B463" s="2410" t="s">
        <v>2030</v>
      </c>
      <c r="C463" s="2410" t="s">
        <v>1319</v>
      </c>
      <c r="D463" s="2414" t="s">
        <v>8604</v>
      </c>
    </row>
    <row r="464" spans="1:4" ht="12.75" customHeight="1">
      <c r="A464" s="2410" t="str">
        <f t="shared" si="8"/>
        <v>Grünland- und Streuefläche (ha)</v>
      </c>
      <c r="B464" s="2410" t="s">
        <v>2031</v>
      </c>
      <c r="C464" s="2410" t="s">
        <v>4108</v>
      </c>
      <c r="D464" s="2414" t="s">
        <v>8605</v>
      </c>
    </row>
    <row r="465" spans="1:5" ht="12.75" customHeight="1">
      <c r="A465" s="2410" t="str">
        <f t="shared" si="8"/>
        <v>Resultat Ihres Betriebes</v>
      </c>
      <c r="B465" s="2410" t="s">
        <v>3120</v>
      </c>
      <c r="C465" s="2410" t="s">
        <v>5606</v>
      </c>
      <c r="D465" s="2414" t="s">
        <v>8587</v>
      </c>
    </row>
    <row r="466" spans="1:5" ht="12.75" customHeight="1">
      <c r="A466" s="2410" t="str">
        <f t="shared" si="8"/>
        <v>Fläche ha</v>
      </c>
      <c r="B466" s="2410" t="s">
        <v>1647</v>
      </c>
      <c r="C466" s="2410" t="s">
        <v>1549</v>
      </c>
      <c r="D466" s="2414" t="s">
        <v>1560</v>
      </c>
    </row>
    <row r="467" spans="1:5" ht="12.75" customHeight="1">
      <c r="A467" s="2410" t="str">
        <f t="shared" si="8"/>
        <v>% d. Grünland-</v>
      </c>
      <c r="B467" s="2410" t="s">
        <v>2032</v>
      </c>
      <c r="C467" s="2410" t="s">
        <v>4109</v>
      </c>
      <c r="D467" s="2414" t="s">
        <v>1561</v>
      </c>
    </row>
    <row r="468" spans="1:5" ht="12.75" customHeight="1">
      <c r="A468" s="2410" t="str">
        <f t="shared" si="8"/>
        <v xml:space="preserve"> + Streuefläche</v>
      </c>
      <c r="B468" s="2410" t="s">
        <v>7362</v>
      </c>
      <c r="C468" s="2410" t="s">
        <v>616</v>
      </c>
      <c r="D468" s="2414" t="s">
        <v>8606</v>
      </c>
      <c r="E468" s="2428"/>
    </row>
    <row r="469" spans="1:5" ht="12.75" customHeight="1">
      <c r="A469" s="2410" t="str">
        <f t="shared" si="8"/>
        <v>Extensives Wies- und Weideland (Typ 1A, 1B, 2): davon BFF</v>
      </c>
      <c r="B469" s="2410" t="s">
        <v>3858</v>
      </c>
      <c r="C469" s="2410" t="s">
        <v>3520</v>
      </c>
      <c r="D469" s="2414" t="s">
        <v>8607</v>
      </c>
    </row>
    <row r="470" spans="1:5" ht="12.75" customHeight="1">
      <c r="A470" s="2410" t="str">
        <f t="shared" si="8"/>
        <v>Waldweiden (Typ 3)</v>
      </c>
      <c r="B470" s="2410" t="s">
        <v>5739</v>
      </c>
      <c r="C470" s="2410" t="s">
        <v>4653</v>
      </c>
      <c r="D470" s="2414" t="s">
        <v>8608</v>
      </c>
    </row>
    <row r="471" spans="1:5" ht="12.75" customHeight="1">
      <c r="A471" s="2410" t="str">
        <f t="shared" si="8"/>
        <v>Wenig intensiv genutzte Wiesen (Typ 4): davon BFF</v>
      </c>
      <c r="B471" s="2410" t="s">
        <v>6251</v>
      </c>
      <c r="C471" s="2410" t="s">
        <v>5972</v>
      </c>
      <c r="D471" s="2414" t="s">
        <v>8591</v>
      </c>
    </row>
    <row r="472" spans="1:5" ht="12.75" customHeight="1">
      <c r="A472" s="2410" t="str">
        <f t="shared" si="8"/>
        <v>Streue-, Torfland (Typ 5)</v>
      </c>
      <c r="B472" s="2410" t="s">
        <v>5853</v>
      </c>
      <c r="C472" s="2410" t="s">
        <v>2466</v>
      </c>
      <c r="D472" s="2414" t="s">
        <v>8592</v>
      </c>
    </row>
    <row r="473" spans="1:5" ht="12.75" customHeight="1">
      <c r="A473" s="2410" t="str">
        <f t="shared" si="8"/>
        <v>Total Ihres Betriebes</v>
      </c>
      <c r="B473" s="2410" t="s">
        <v>5104</v>
      </c>
      <c r="C473" s="2410" t="s">
        <v>5928</v>
      </c>
      <c r="D473" s="2414" t="s">
        <v>8603</v>
      </c>
    </row>
    <row r="474" spans="1:5" ht="12.75" customHeight="1">
      <c r="A474" s="2410" t="str">
        <f t="shared" si="8"/>
        <v xml:space="preserve"> Bio-Mindestfläche</v>
      </c>
      <c r="B474" s="2410" t="s">
        <v>2090</v>
      </c>
      <c r="C474" s="2410" t="s">
        <v>6925</v>
      </c>
      <c r="D474" s="2414" t="s">
        <v>916</v>
      </c>
    </row>
    <row r="475" spans="1:5" ht="12.75" customHeight="1">
      <c r="A475" s="2410" t="str">
        <f t="shared" si="8"/>
        <v>RGVE-Besatz, DGVE-Belastung</v>
      </c>
      <c r="B475" s="2410" t="s">
        <v>11524</v>
      </c>
      <c r="C475" s="2410" t="s">
        <v>11525</v>
      </c>
      <c r="D475" s="2414" t="s">
        <v>11597</v>
      </c>
    </row>
    <row r="476" spans="1:5" ht="12.75" customHeight="1">
      <c r="A476" s="2410" t="str">
        <f t="shared" si="8"/>
        <v>RGVE-Besatz</v>
      </c>
      <c r="B476" s="2410" t="s">
        <v>3166</v>
      </c>
      <c r="C476" s="2410" t="s">
        <v>3165</v>
      </c>
      <c r="D476" s="2414" t="s">
        <v>8609</v>
      </c>
    </row>
    <row r="477" spans="1:5" ht="12.75" customHeight="1">
      <c r="A477" s="2410" t="str">
        <f t="shared" si="8"/>
        <v>RGVE total</v>
      </c>
      <c r="B477" s="2410" t="s">
        <v>2091</v>
      </c>
      <c r="C477" s="2410" t="s">
        <v>4142</v>
      </c>
      <c r="D477" s="2414" t="s">
        <v>8610</v>
      </c>
    </row>
    <row r="478" spans="1:5" ht="12.75" customHeight="1">
      <c r="A478" s="2410" t="str">
        <f t="shared" si="8"/>
        <v>RGVE / ha Grünl.</v>
      </c>
      <c r="B478" s="2410" t="s">
        <v>11598</v>
      </c>
      <c r="C478" s="2410" t="s">
        <v>11599</v>
      </c>
      <c r="D478" s="2414" t="s">
        <v>11600</v>
      </c>
    </row>
    <row r="479" spans="1:5" ht="12.75" customHeight="1">
      <c r="A479" s="2410" t="str">
        <f t="shared" si="8"/>
        <v>DGVE total</v>
      </c>
      <c r="B479" s="2410" t="s">
        <v>6260</v>
      </c>
      <c r="C479" s="2410" t="s">
        <v>4180</v>
      </c>
      <c r="D479" s="2414" t="s">
        <v>8611</v>
      </c>
    </row>
    <row r="480" spans="1:5" ht="12.75" customHeight="1">
      <c r="A480" s="2410" t="str">
        <f t="shared" si="8"/>
        <v>DGVE pro ha LN</v>
      </c>
      <c r="B480" s="2410" t="s">
        <v>6261</v>
      </c>
      <c r="C480" s="2410" t="s">
        <v>6263</v>
      </c>
      <c r="D480" s="2414" t="s">
        <v>11601</v>
      </c>
    </row>
    <row r="481" spans="1:4" ht="12.75" customHeight="1">
      <c r="A481" s="2410" t="str">
        <f t="shared" si="8"/>
        <v>DGVE pro ha DF</v>
      </c>
      <c r="B481" s="2410" t="s">
        <v>6262</v>
      </c>
      <c r="C481" s="2410" t="s">
        <v>6264</v>
      </c>
      <c r="D481" s="2414" t="s">
        <v>11602</v>
      </c>
    </row>
    <row r="482" spans="1:4" ht="12.75" customHeight="1">
      <c r="A482" s="2410" t="str">
        <f t="shared" si="8"/>
        <v>Betrieb</v>
      </c>
      <c r="B482" s="2410" t="s">
        <v>6092</v>
      </c>
      <c r="C482" s="2410" t="s">
        <v>6216</v>
      </c>
      <c r="D482" s="2414" t="s">
        <v>7088</v>
      </c>
    </row>
    <row r="483" spans="1:4" ht="12.75" customHeight="1">
      <c r="A483" s="2410" t="str">
        <f t="shared" si="8"/>
        <v>Hofdüngerzu-, wegfuhr</v>
      </c>
      <c r="B483" s="2410" t="s">
        <v>11603</v>
      </c>
      <c r="C483" s="2410" t="s">
        <v>11604</v>
      </c>
      <c r="D483" s="2414" t="s">
        <v>11605</v>
      </c>
    </row>
    <row r="484" spans="1:4" ht="12.75" customHeight="1">
      <c r="A484" s="2410" t="str">
        <f t="shared" si="8"/>
        <v>Total</v>
      </c>
      <c r="B484" s="2410" t="s">
        <v>4802</v>
      </c>
      <c r="C484" s="2410" t="s">
        <v>4802</v>
      </c>
      <c r="D484" s="2414" t="s">
        <v>8612</v>
      </c>
    </row>
    <row r="485" spans="1:4" ht="12.75" customHeight="1">
      <c r="A485" s="2410" t="str">
        <f t="shared" si="8"/>
        <v>DGVE-Werte werden nur angezeigt, wenn die Suisse-Bilanz zuvor berechnet worden ist!</v>
      </c>
      <c r="B485" s="2410" t="s">
        <v>3491</v>
      </c>
      <c r="C485" s="2410" t="s">
        <v>1633</v>
      </c>
      <c r="D485" s="2414" t="s">
        <v>8613</v>
      </c>
    </row>
    <row r="486" spans="1:4" ht="12.75" customHeight="1">
      <c r="A486" s="2410">
        <f t="shared" si="8"/>
        <v>0</v>
      </c>
      <c r="B486" s="2410"/>
      <c r="C486" s="2410"/>
      <c r="D486" s="2414"/>
    </row>
    <row r="487" spans="1:4" ht="12.75" customHeight="1">
      <c r="A487" s="2410" t="str">
        <f t="shared" si="8"/>
        <v>Ackerflächenanteile</v>
      </c>
      <c r="B487" s="2410" t="s">
        <v>7572</v>
      </c>
      <c r="C487" s="2410" t="s">
        <v>6376</v>
      </c>
      <c r="D487" s="2414" t="s">
        <v>8614</v>
      </c>
    </row>
    <row r="488" spans="1:4" ht="12.75" customHeight="1">
      <c r="A488" s="2410" t="str">
        <f t="shared" si="8"/>
        <v>Bemerkungen:</v>
      </c>
      <c r="B488" s="2410" t="s">
        <v>7573</v>
      </c>
      <c r="C488" s="2410" t="s">
        <v>6377</v>
      </c>
      <c r="D488" s="2414" t="s">
        <v>2750</v>
      </c>
    </row>
    <row r="489" spans="1:4" ht="12.75" customHeight="1">
      <c r="A489" s="2410" t="str">
        <f t="shared" si="8"/>
        <v>Getreide</v>
      </c>
      <c r="B489" s="2410" t="s">
        <v>4508</v>
      </c>
      <c r="C489" s="2410" t="s">
        <v>1553</v>
      </c>
      <c r="D489" s="2414" t="s">
        <v>6866</v>
      </c>
    </row>
    <row r="490" spans="1:4" ht="12.75" customHeight="1">
      <c r="A490" s="2410" t="str">
        <f t="shared" si="8"/>
        <v>Hackfrüchte ohne Freilandgemüse</v>
      </c>
      <c r="B490" s="2410" t="s">
        <v>7574</v>
      </c>
      <c r="C490" s="2410" t="s">
        <v>6378</v>
      </c>
      <c r="D490" s="2414" t="s">
        <v>8615</v>
      </c>
    </row>
    <row r="491" spans="1:4" ht="12.75" customHeight="1">
      <c r="A491" s="2410" t="str">
        <f t="shared" si="8"/>
        <v>Freilandgemüse</v>
      </c>
      <c r="B491" s="2410" t="s">
        <v>1059</v>
      </c>
      <c r="C491" s="2410" t="s">
        <v>6379</v>
      </c>
      <c r="D491" s="2414" t="s">
        <v>8511</v>
      </c>
    </row>
    <row r="492" spans="1:4" ht="12.75" customHeight="1">
      <c r="A492" s="2410" t="str">
        <f t="shared" si="8"/>
        <v>Körnerleguminosen</v>
      </c>
      <c r="B492" s="2410" t="s">
        <v>7575</v>
      </c>
      <c r="C492" s="2410" t="s">
        <v>6380</v>
      </c>
      <c r="D492" s="2414" t="s">
        <v>8616</v>
      </c>
    </row>
    <row r="493" spans="1:4" ht="12.75" customHeight="1">
      <c r="A493" s="2410" t="str">
        <f t="shared" si="8"/>
        <v>Kunstwiesen und Rotationsbrache</v>
      </c>
      <c r="B493" s="2410" t="s">
        <v>2277</v>
      </c>
      <c r="C493" s="2410" t="s">
        <v>4021</v>
      </c>
      <c r="D493" s="2414" t="s">
        <v>8617</v>
      </c>
    </row>
    <row r="494" spans="1:4" ht="12.75" customHeight="1">
      <c r="A494" s="2410" t="str">
        <f t="shared" si="8"/>
        <v>übrige Kulturen</v>
      </c>
      <c r="B494" s="2410" t="s">
        <v>2278</v>
      </c>
      <c r="C494" s="2410" t="s">
        <v>4022</v>
      </c>
      <c r="D494" s="2414" t="s">
        <v>8618</v>
      </c>
    </row>
    <row r="495" spans="1:4" ht="12.75" customHeight="1">
      <c r="A495" s="2410" t="str">
        <f t="shared" si="8"/>
        <v>Zwischenfrüchte und Gründüngung</v>
      </c>
      <c r="B495" s="2410" t="s">
        <v>3671</v>
      </c>
      <c r="C495" s="2410" t="s">
        <v>1921</v>
      </c>
      <c r="D495" s="2414" t="s">
        <v>8619</v>
      </c>
    </row>
    <row r="496" spans="1:4" ht="12.75" customHeight="1">
      <c r="A496" s="2410" t="str">
        <f t="shared" si="8"/>
        <v>Fruchtfolgen</v>
      </c>
      <c r="B496" s="2410" t="s">
        <v>3672</v>
      </c>
      <c r="C496" s="2410" t="s">
        <v>1922</v>
      </c>
      <c r="D496" s="2414" t="s">
        <v>8620</v>
      </c>
    </row>
    <row r="497" spans="1:4" ht="12.75" customHeight="1">
      <c r="A497" s="2410">
        <f t="shared" si="8"/>
        <v>0</v>
      </c>
      <c r="B497" s="2410"/>
      <c r="C497" s="2410" t="s">
        <v>7102</v>
      </c>
      <c r="D497" s="2414" t="s">
        <v>7123</v>
      </c>
    </row>
    <row r="498" spans="1:4" ht="12.75" customHeight="1">
      <c r="A498" s="2410" t="str">
        <f t="shared" si="8"/>
        <v>1. Jahr</v>
      </c>
      <c r="B498" s="2410" t="s">
        <v>3673</v>
      </c>
      <c r="C498" s="2429">
        <v>1</v>
      </c>
      <c r="D498" s="2414">
        <v>1</v>
      </c>
    </row>
    <row r="499" spans="1:4" ht="12.75" customHeight="1">
      <c r="A499" s="2410" t="str">
        <f t="shared" si="8"/>
        <v>2. Jahr</v>
      </c>
      <c r="B499" s="2410" t="s">
        <v>3674</v>
      </c>
      <c r="C499" s="2429">
        <v>2</v>
      </c>
      <c r="D499" s="2414">
        <v>2</v>
      </c>
    </row>
    <row r="500" spans="1:4" ht="12.75" customHeight="1">
      <c r="A500" s="2410" t="str">
        <f t="shared" si="8"/>
        <v>3. Jahr</v>
      </c>
      <c r="B500" s="2410" t="s">
        <v>3675</v>
      </c>
      <c r="C500" s="2429">
        <v>3</v>
      </c>
      <c r="D500" s="2414">
        <v>3</v>
      </c>
    </row>
    <row r="501" spans="1:4" ht="12.75" customHeight="1">
      <c r="A501" s="2410" t="str">
        <f t="shared" si="8"/>
        <v>4. Jahr</v>
      </c>
      <c r="B501" s="2410" t="s">
        <v>2087</v>
      </c>
      <c r="C501" s="2429">
        <v>4</v>
      </c>
      <c r="D501" s="2414">
        <v>4</v>
      </c>
    </row>
    <row r="502" spans="1:4" ht="12.75" customHeight="1">
      <c r="A502" s="2410" t="str">
        <f t="shared" si="8"/>
        <v>5. Jahr</v>
      </c>
      <c r="B502" s="2410" t="s">
        <v>2088</v>
      </c>
      <c r="C502" s="2429">
        <v>5</v>
      </c>
      <c r="D502" s="2414">
        <v>5</v>
      </c>
    </row>
    <row r="503" spans="1:4" ht="12.75" customHeight="1">
      <c r="A503" s="2410" t="str">
        <f t="shared" si="8"/>
        <v>6. Jahr</v>
      </c>
      <c r="B503" s="2410" t="s">
        <v>2089</v>
      </c>
      <c r="C503" s="2429">
        <v>6</v>
      </c>
      <c r="D503" s="2414">
        <v>6</v>
      </c>
    </row>
    <row r="504" spans="1:4" ht="12.75" customHeight="1">
      <c r="A504" s="2410" t="str">
        <f t="shared" si="8"/>
        <v>7. Jahr</v>
      </c>
      <c r="B504" s="2410" t="s">
        <v>4732</v>
      </c>
      <c r="C504" s="2429">
        <v>7</v>
      </c>
      <c r="D504" s="2414">
        <v>7</v>
      </c>
    </row>
    <row r="505" spans="1:4" ht="12.75" customHeight="1">
      <c r="A505" s="2410" t="str">
        <f t="shared" si="8"/>
        <v>8. Jahr</v>
      </c>
      <c r="B505" s="2410" t="s">
        <v>4733</v>
      </c>
      <c r="C505" s="2429">
        <v>8</v>
      </c>
      <c r="D505" s="2414">
        <v>8</v>
      </c>
    </row>
    <row r="506" spans="1:4" ht="12.75" customHeight="1">
      <c r="A506" s="2410" t="str">
        <f t="shared" si="8"/>
        <v>9. Jahr</v>
      </c>
      <c r="B506" s="2410" t="s">
        <v>2094</v>
      </c>
      <c r="C506" s="2429">
        <v>9</v>
      </c>
      <c r="D506" s="2414">
        <v>9</v>
      </c>
    </row>
    <row r="507" spans="1:4" ht="12.75" customHeight="1">
      <c r="A507" s="2410" t="str">
        <f t="shared" si="8"/>
        <v>10. Jahr</v>
      </c>
      <c r="B507" s="2410" t="s">
        <v>1802</v>
      </c>
      <c r="C507" s="2429">
        <v>10</v>
      </c>
      <c r="D507" s="2414">
        <v>10</v>
      </c>
    </row>
    <row r="508" spans="1:4" ht="12.75" customHeight="1">
      <c r="A508" s="2410" t="str">
        <f t="shared" si="8"/>
        <v>Nährstoff-Haushalt, Futterbau-Intensität, Güllelagerung</v>
      </c>
      <c r="B508" s="2410" t="s">
        <v>6070</v>
      </c>
      <c r="C508" s="2410" t="s">
        <v>4382</v>
      </c>
      <c r="D508" s="2414" t="s">
        <v>8621</v>
      </c>
    </row>
    <row r="509" spans="1:4" ht="12.75" customHeight="1">
      <c r="A509" s="2410" t="str">
        <f t="shared" si="8"/>
        <v>dt TS Feldertrag pro RDGVE</v>
      </c>
      <c r="B509" s="2410" t="s">
        <v>2526</v>
      </c>
      <c r="C509" s="2410" t="s">
        <v>7565</v>
      </c>
      <c r="D509" s="2414" t="s">
        <v>8622</v>
      </c>
    </row>
    <row r="510" spans="1:4" ht="12.75" customHeight="1">
      <c r="A510" s="2410" t="str">
        <f t="shared" si="8"/>
        <v>a Hauptfutterfläche pro RDGVE</v>
      </c>
      <c r="B510" s="2410" t="s">
        <v>4413</v>
      </c>
      <c r="C510" s="2410" t="s">
        <v>2275</v>
      </c>
      <c r="D510" s="2414" t="s">
        <v>8623</v>
      </c>
    </row>
    <row r="511" spans="1:4" ht="12.75" customHeight="1">
      <c r="A511" s="2410" t="str">
        <f t="shared" si="8"/>
        <v>DGVE Tiere eigen</v>
      </c>
      <c r="B511" s="2410" t="s">
        <v>4414</v>
      </c>
      <c r="C511" s="2410" t="s">
        <v>2276</v>
      </c>
      <c r="D511" s="2414" t="s">
        <v>2283</v>
      </c>
    </row>
    <row r="512" spans="1:4" ht="12.75" customHeight="1">
      <c r="A512" s="2410" t="str">
        <f t="shared" si="8"/>
        <v>Dünger zugeführt (in DGVE)</v>
      </c>
      <c r="B512" s="2410" t="s">
        <v>4528</v>
      </c>
      <c r="C512" s="2410" t="s">
        <v>4179</v>
      </c>
      <c r="D512" s="2414" t="s">
        <v>8624</v>
      </c>
    </row>
    <row r="513" spans="1:4" ht="12.75" customHeight="1">
      <c r="A513" s="2410" t="str">
        <f t="shared" ref="A513:A576" si="9">IF($A$2=1,B513,IF($A$2=2,C513,IF($A$2=3,IF(D513="",C513,D513),"")))</f>
        <v>DGVE Total</v>
      </c>
      <c r="B513" s="2410" t="s">
        <v>4415</v>
      </c>
      <c r="C513" s="2410" t="s">
        <v>4180</v>
      </c>
      <c r="D513" s="2414" t="s">
        <v>8611</v>
      </c>
    </row>
    <row r="514" spans="1:4" ht="12.75" customHeight="1">
      <c r="A514" s="2410" t="str">
        <f t="shared" si="9"/>
        <v>DGVE / ha LN</v>
      </c>
      <c r="B514" s="2410" t="s">
        <v>11606</v>
      </c>
      <c r="C514" s="2410" t="s">
        <v>6263</v>
      </c>
      <c r="D514" s="2414" t="s">
        <v>11607</v>
      </c>
    </row>
    <row r="515" spans="1:4" ht="12.75" customHeight="1">
      <c r="A515" s="2410" t="str">
        <f t="shared" si="9"/>
        <v>DGVE / ha düngbare Fläche</v>
      </c>
      <c r="B515" s="2410" t="s">
        <v>11608</v>
      </c>
      <c r="C515" s="2410" t="s">
        <v>11609</v>
      </c>
      <c r="D515" s="2414" t="s">
        <v>11610</v>
      </c>
    </row>
    <row r="516" spans="1:4" ht="12.75" customHeight="1">
      <c r="A516" s="2410" t="str">
        <f t="shared" si="9"/>
        <v>Nährstoffhaushalt Gesamtbilanz pro ha DF</v>
      </c>
      <c r="B516" s="2410" t="s">
        <v>5912</v>
      </c>
      <c r="C516" s="2410" t="s">
        <v>108</v>
      </c>
      <c r="D516" s="2414" t="s">
        <v>11611</v>
      </c>
    </row>
    <row r="517" spans="1:4" ht="12.75" customHeight="1">
      <c r="A517" s="2410" t="str">
        <f t="shared" si="9"/>
        <v>Stickstoff</v>
      </c>
      <c r="B517" s="2410" t="s">
        <v>5913</v>
      </c>
      <c r="C517" s="2410" t="s">
        <v>109</v>
      </c>
      <c r="D517" s="2414" t="s">
        <v>8625</v>
      </c>
    </row>
    <row r="518" spans="1:4" ht="12.75" customHeight="1">
      <c r="A518" s="2410" t="str">
        <f t="shared" si="9"/>
        <v>Phosphor</v>
      </c>
      <c r="B518" s="2410" t="s">
        <v>5914</v>
      </c>
      <c r="C518" s="2410" t="s">
        <v>110</v>
      </c>
      <c r="D518" s="2414" t="s">
        <v>8626</v>
      </c>
    </row>
    <row r="519" spans="1:4" ht="12.75" customHeight="1">
      <c r="A519" s="2410" t="str">
        <f t="shared" si="9"/>
        <v>Gülleanfall pro Monat unverdünnt</v>
      </c>
      <c r="B519" s="2410" t="s">
        <v>3713</v>
      </c>
      <c r="C519" s="2410" t="s">
        <v>4092</v>
      </c>
      <c r="D519" s="2414" t="s">
        <v>8627</v>
      </c>
    </row>
    <row r="520" spans="1:4" ht="12.75" customHeight="1">
      <c r="A520" s="2410" t="str">
        <f t="shared" si="9"/>
        <v>Gülleanfall pro Monat verdünnt</v>
      </c>
      <c r="B520" s="2410" t="s">
        <v>6126</v>
      </c>
      <c r="C520" s="2410" t="s">
        <v>6314</v>
      </c>
      <c r="D520" s="2414" t="s">
        <v>8628</v>
      </c>
    </row>
    <row r="521" spans="1:4" ht="12.75" customHeight="1">
      <c r="A521" s="2410" t="str">
        <f t="shared" si="9"/>
        <v xml:space="preserve">vorhandener Güllelagerraum reicht für </v>
      </c>
      <c r="B521" s="2410" t="s">
        <v>3567</v>
      </c>
      <c r="C521" s="2410" t="s">
        <v>6315</v>
      </c>
      <c r="D521" s="2414" t="s">
        <v>11133</v>
      </c>
    </row>
    <row r="522" spans="1:4" ht="12.75" customHeight="1">
      <c r="A522" s="2410" t="str">
        <f t="shared" si="9"/>
        <v>Angabe Gülleanfall fehlt!</v>
      </c>
      <c r="B522" s="2410" t="s">
        <v>6316</v>
      </c>
      <c r="C522" s="2410" t="s">
        <v>1634</v>
      </c>
      <c r="D522" s="2414" t="s">
        <v>11134</v>
      </c>
    </row>
    <row r="523" spans="1:4" ht="12.75" customHeight="1">
      <c r="A523" s="2410" t="str">
        <f t="shared" si="9"/>
        <v>Futter- und Strohbilanz</v>
      </c>
      <c r="B523" s="2410" t="s">
        <v>2849</v>
      </c>
      <c r="C523" s="2410" t="s">
        <v>169</v>
      </c>
      <c r="D523" s="2414" t="s">
        <v>11135</v>
      </c>
    </row>
    <row r="524" spans="1:4" ht="12.75" customHeight="1">
      <c r="A524" s="2410" t="str">
        <f t="shared" si="9"/>
        <v>Strohüberschuss (+),-bedarf(-)</v>
      </c>
      <c r="B524" s="2410" t="s">
        <v>2850</v>
      </c>
      <c r="C524" s="2410" t="s">
        <v>11526</v>
      </c>
      <c r="D524" s="2414" t="s">
        <v>3782</v>
      </c>
    </row>
    <row r="525" spans="1:4" ht="12.75" customHeight="1">
      <c r="A525" s="2410" t="str">
        <f t="shared" si="9"/>
        <v>Futterzukauf %</v>
      </c>
      <c r="B525" s="2410" t="s">
        <v>2851</v>
      </c>
      <c r="C525" s="2410" t="s">
        <v>4776</v>
      </c>
      <c r="D525" s="2414" t="s">
        <v>8629</v>
      </c>
    </row>
    <row r="526" spans="1:4" ht="12.75" customHeight="1">
      <c r="A526" s="2410" t="str">
        <f t="shared" si="9"/>
        <v>konv.</v>
      </c>
      <c r="B526" s="2410" t="s">
        <v>2852</v>
      </c>
      <c r="C526" s="2410" t="s">
        <v>4777</v>
      </c>
      <c r="D526" s="2414" t="s">
        <v>8630</v>
      </c>
    </row>
    <row r="527" spans="1:4" ht="12.75" customHeight="1">
      <c r="A527" s="2410" t="str">
        <f t="shared" si="9"/>
        <v>bio</v>
      </c>
      <c r="B527" s="2410" t="s">
        <v>2853</v>
      </c>
      <c r="C527" s="2410" t="s">
        <v>2853</v>
      </c>
      <c r="D527" s="2414" t="s">
        <v>2853</v>
      </c>
    </row>
    <row r="528" spans="1:4" ht="12.75" customHeight="1">
      <c r="A528" s="2410" t="str">
        <f t="shared" si="9"/>
        <v>total</v>
      </c>
      <c r="B528" s="2410" t="s">
        <v>4333</v>
      </c>
      <c r="C528" s="2410" t="s">
        <v>4333</v>
      </c>
      <c r="D528" s="2414" t="s">
        <v>6340</v>
      </c>
    </row>
    <row r="529" spans="1:4" ht="12.75" customHeight="1">
      <c r="A529" s="2410" t="str">
        <f t="shared" si="9"/>
        <v>Raufutterverzehrer</v>
      </c>
      <c r="B529" s="2410" t="s">
        <v>2854</v>
      </c>
      <c r="C529" s="2410" t="s">
        <v>135</v>
      </c>
      <c r="D529" s="2414" t="s">
        <v>3783</v>
      </c>
    </row>
    <row r="530" spans="1:4" ht="12.75" customHeight="1">
      <c r="A530" s="2410" t="str">
        <f t="shared" si="9"/>
        <v>Milchkühe und Aufzucht</v>
      </c>
      <c r="B530" s="2410" t="s">
        <v>2855</v>
      </c>
      <c r="C530" s="2410" t="s">
        <v>4778</v>
      </c>
      <c r="D530" s="2414" t="s">
        <v>8631</v>
      </c>
    </row>
    <row r="531" spans="1:4" ht="12.75" customHeight="1">
      <c r="A531" s="2410" t="str">
        <f t="shared" si="9"/>
        <v>Mutterkühe und Mastvieh</v>
      </c>
      <c r="B531" s="2410" t="s">
        <v>2856</v>
      </c>
      <c r="C531" s="2410" t="s">
        <v>4779</v>
      </c>
      <c r="D531" s="2414" t="s">
        <v>8632</v>
      </c>
    </row>
    <row r="532" spans="1:4" ht="12.75" customHeight="1">
      <c r="A532" s="2410" t="str">
        <f t="shared" si="9"/>
        <v>übrige RGVE</v>
      </c>
      <c r="B532" s="2410" t="s">
        <v>2322</v>
      </c>
      <c r="C532" s="2410" t="s">
        <v>4780</v>
      </c>
      <c r="D532" s="2414" t="s">
        <v>8633</v>
      </c>
    </row>
    <row r="533" spans="1:4" ht="12.75" customHeight="1">
      <c r="A533" s="2410" t="str">
        <f t="shared" si="9"/>
        <v>Übrige Tiere</v>
      </c>
      <c r="B533" s="2410" t="s">
        <v>548</v>
      </c>
      <c r="C533" s="2410" t="s">
        <v>136</v>
      </c>
      <c r="D533" s="2414" t="s">
        <v>8634</v>
      </c>
    </row>
    <row r="534" spans="1:4" ht="12.75" customHeight="1">
      <c r="A534" s="2410" t="str">
        <f t="shared" si="9"/>
        <v>Zuchtschweine und Ferkel</v>
      </c>
      <c r="B534" s="2410" t="s">
        <v>549</v>
      </c>
      <c r="C534" s="2410" t="s">
        <v>6240</v>
      </c>
      <c r="D534" s="2414" t="s">
        <v>11136</v>
      </c>
    </row>
    <row r="535" spans="1:4" ht="12.75" customHeight="1">
      <c r="A535" s="2410" t="str">
        <f t="shared" si="9"/>
        <v>Mastschweine</v>
      </c>
      <c r="B535" s="2410" t="s">
        <v>572</v>
      </c>
      <c r="C535" s="2410" t="s">
        <v>2267</v>
      </c>
      <c r="D535" s="2414" t="s">
        <v>8635</v>
      </c>
    </row>
    <row r="536" spans="1:4" ht="12.75" customHeight="1">
      <c r="A536" s="2410" t="str">
        <f t="shared" si="9"/>
        <v>Legehennen</v>
      </c>
      <c r="B536" s="2410" t="s">
        <v>573</v>
      </c>
      <c r="C536" s="2410" t="s">
        <v>2268</v>
      </c>
      <c r="D536" s="2414" t="s">
        <v>8636</v>
      </c>
    </row>
    <row r="537" spans="1:4" ht="12.75" customHeight="1">
      <c r="A537" s="2410" t="str">
        <f t="shared" si="9"/>
        <v>Mastgeflügel</v>
      </c>
      <c r="B537" s="2410" t="s">
        <v>574</v>
      </c>
      <c r="C537" s="2410" t="s">
        <v>133</v>
      </c>
      <c r="D537" s="2414" t="s">
        <v>3784</v>
      </c>
    </row>
    <row r="538" spans="1:4" ht="12.75" customHeight="1">
      <c r="A538" s="2410" t="str">
        <f t="shared" si="9"/>
        <v>Gesamtbetrieb</v>
      </c>
      <c r="B538" s="2410" t="s">
        <v>575</v>
      </c>
      <c r="C538" s="2410" t="s">
        <v>134</v>
      </c>
      <c r="D538" s="2414" t="s">
        <v>8603</v>
      </c>
    </row>
    <row r="539" spans="1:4" ht="12.75" customHeight="1">
      <c r="A539" s="2410" t="str">
        <f t="shared" si="9"/>
        <v>Biodiversitätsförderung</v>
      </c>
      <c r="B539" s="2410" t="s">
        <v>642</v>
      </c>
      <c r="C539" s="2410" t="s">
        <v>3565</v>
      </c>
      <c r="D539" s="2414" t="s">
        <v>3785</v>
      </c>
    </row>
    <row r="540" spans="1:4" ht="12.75" customHeight="1">
      <c r="A540" s="2410" t="str">
        <f t="shared" si="9"/>
        <v>BFF an der LN</v>
      </c>
      <c r="B540" s="2410" t="s">
        <v>638</v>
      </c>
      <c r="C540" s="2410" t="s">
        <v>640</v>
      </c>
      <c r="D540" s="2414" t="s">
        <v>8637</v>
      </c>
    </row>
    <row r="541" spans="1:4" ht="12.75" customHeight="1">
      <c r="A541" s="2410" t="str">
        <f t="shared" si="9"/>
        <v>BFF Grünland</v>
      </c>
      <c r="B541" s="2410" t="s">
        <v>639</v>
      </c>
      <c r="C541" s="2410" t="s">
        <v>641</v>
      </c>
      <c r="D541" s="2414" t="s">
        <v>8638</v>
      </c>
    </row>
    <row r="542" spans="1:4" ht="12.75" customHeight="1">
      <c r="A542" s="2410">
        <f t="shared" si="9"/>
        <v>0</v>
      </c>
      <c r="B542" s="2410"/>
      <c r="C542" s="2410"/>
      <c r="D542" s="2414"/>
    </row>
    <row r="543" spans="1:4" ht="12.75" customHeight="1">
      <c r="A543" s="2410" t="str">
        <f t="shared" si="9"/>
        <v>Futterverzehr Kontrollspalten</v>
      </c>
      <c r="B543" s="2410" t="s">
        <v>824</v>
      </c>
      <c r="C543" s="2410" t="s">
        <v>5811</v>
      </c>
      <c r="D543" s="2414" t="s">
        <v>3786</v>
      </c>
    </row>
    <row r="544" spans="1:4" ht="12.75" customHeight="1">
      <c r="A544" s="2410" t="str">
        <f t="shared" si="9"/>
        <v>Futtermittel</v>
      </c>
      <c r="B544" s="2410" t="s">
        <v>825</v>
      </c>
      <c r="C544" s="2410" t="s">
        <v>7419</v>
      </c>
      <c r="D544" s="2414" t="s">
        <v>3787</v>
      </c>
    </row>
    <row r="545" spans="1:6" ht="12.75" customHeight="1">
      <c r="A545" s="2410" t="str">
        <f t="shared" si="9"/>
        <v>% TS</v>
      </c>
      <c r="B545" s="2410" t="s">
        <v>826</v>
      </c>
      <c r="C545" s="2410" t="s">
        <v>3968</v>
      </c>
      <c r="D545" s="2414" t="s">
        <v>8639</v>
      </c>
    </row>
    <row r="546" spans="1:6" ht="24" customHeight="1">
      <c r="A546" s="2410" t="str">
        <f t="shared" si="9"/>
        <v>Futter-menge 
dt FS</v>
      </c>
      <c r="B546" s="2417" t="s">
        <v>827</v>
      </c>
      <c r="C546" s="2410" t="s">
        <v>265</v>
      </c>
      <c r="D546" s="2414" t="s">
        <v>8640</v>
      </c>
      <c r="F546" s="2426"/>
    </row>
    <row r="547" spans="1:6" ht="24" customHeight="1">
      <c r="A547" s="2410" t="str">
        <f t="shared" si="9"/>
        <v>Futter-menge 
dt TS</v>
      </c>
      <c r="B547" s="2417" t="s">
        <v>828</v>
      </c>
      <c r="C547" s="2410" t="s">
        <v>6701</v>
      </c>
      <c r="D547" s="2414" t="s">
        <v>8641</v>
      </c>
      <c r="F547" s="2426"/>
    </row>
    <row r="548" spans="1:6" ht="12.75" customHeight="1">
      <c r="A548" s="2410" t="str">
        <f t="shared" si="9"/>
        <v>davon konv. dt TS</v>
      </c>
      <c r="B548" s="2410" t="s">
        <v>5384</v>
      </c>
      <c r="C548" s="2410" t="s">
        <v>6702</v>
      </c>
      <c r="D548" s="2414" t="s">
        <v>8642</v>
      </c>
    </row>
    <row r="549" spans="1:6" ht="12.75" customHeight="1">
      <c r="A549" s="2410" t="str">
        <f t="shared" si="9"/>
        <v>davon bio   dt TS</v>
      </c>
      <c r="B549" s="2410" t="s">
        <v>5385</v>
      </c>
      <c r="C549" s="2410" t="s">
        <v>6703</v>
      </c>
      <c r="D549" s="2414" t="s">
        <v>8643</v>
      </c>
    </row>
    <row r="550" spans="1:6" ht="12.75" customHeight="1">
      <c r="A550" s="2410" t="str">
        <f t="shared" si="9"/>
        <v>Futterverzehr dt TS</v>
      </c>
      <c r="B550" s="2410" t="s">
        <v>5386</v>
      </c>
      <c r="C550" s="2410" t="s">
        <v>1142</v>
      </c>
      <c r="D550" s="2414" t="s">
        <v>8644</v>
      </c>
    </row>
    <row r="551" spans="1:6" ht="12.75" customHeight="1">
      <c r="A551" s="2410" t="str">
        <f t="shared" si="9"/>
        <v>Futterverzehr nach DGVE (Bio Suisse)</v>
      </c>
      <c r="B551" s="2410" t="s">
        <v>5474</v>
      </c>
      <c r="C551" s="2410" t="s">
        <v>5475</v>
      </c>
      <c r="D551" s="2414" t="s">
        <v>11612</v>
      </c>
    </row>
    <row r="552" spans="1:6" ht="12.75" customHeight="1">
      <c r="A552" s="2410" t="str">
        <f t="shared" si="9"/>
        <v>Futter-zukauf konv %</v>
      </c>
      <c r="B552" s="2410" t="s">
        <v>6992</v>
      </c>
      <c r="C552" s="2410" t="s">
        <v>2731</v>
      </c>
      <c r="D552" s="2414" t="s">
        <v>8645</v>
      </c>
    </row>
    <row r="553" spans="1:6" ht="12.75" customHeight="1">
      <c r="A553" s="2410" t="str">
        <f t="shared" si="9"/>
        <v>Futter-zukauf bio %</v>
      </c>
      <c r="B553" s="2410" t="s">
        <v>5025</v>
      </c>
      <c r="C553" s="2410" t="s">
        <v>2732</v>
      </c>
      <c r="D553" s="2414" t="s">
        <v>8646</v>
      </c>
    </row>
    <row r="554" spans="1:6" ht="12.75" customHeight="1">
      <c r="A554" s="2410" t="str">
        <f t="shared" si="9"/>
        <v>Futter-zukauf total %</v>
      </c>
      <c r="B554" s="2410" t="s">
        <v>5026</v>
      </c>
      <c r="C554" s="2410" t="s">
        <v>2733</v>
      </c>
      <c r="D554" s="2414" t="s">
        <v>8647</v>
      </c>
    </row>
    <row r="555" spans="1:6" ht="12.75" customHeight="1">
      <c r="A555" s="2410" t="str">
        <f t="shared" si="9"/>
        <v>Raufutterverzehrer</v>
      </c>
      <c r="B555" s="2410" t="s">
        <v>2854</v>
      </c>
      <c r="C555" s="2410" t="s">
        <v>309</v>
      </c>
      <c r="D555" s="2414" t="s">
        <v>3783</v>
      </c>
    </row>
    <row r="556" spans="1:6" ht="12.75" customHeight="1">
      <c r="A556" s="2410" t="str">
        <f t="shared" si="9"/>
        <v>Milchkühe und Aufzucht</v>
      </c>
      <c r="B556" s="2410" t="s">
        <v>2855</v>
      </c>
      <c r="C556" s="2410" t="s">
        <v>4778</v>
      </c>
      <c r="D556" s="2414" t="s">
        <v>8631</v>
      </c>
    </row>
    <row r="557" spans="1:6" ht="12.75" customHeight="1">
      <c r="A557" s="2410" t="str">
        <f t="shared" si="9"/>
        <v>Mutterkühe und Mastvieh</v>
      </c>
      <c r="B557" s="2410" t="s">
        <v>2856</v>
      </c>
      <c r="C557" s="2410" t="s">
        <v>2463</v>
      </c>
      <c r="D557" s="2414" t="s">
        <v>8632</v>
      </c>
    </row>
    <row r="558" spans="1:6" ht="12.75" customHeight="1">
      <c r="A558" s="2410" t="str">
        <f t="shared" si="9"/>
        <v>übrige Raufutterverzehrer</v>
      </c>
      <c r="B558" s="2410" t="s">
        <v>5027</v>
      </c>
      <c r="C558" s="2410" t="s">
        <v>1332</v>
      </c>
      <c r="D558" s="2414" t="s">
        <v>8648</v>
      </c>
    </row>
    <row r="559" spans="1:6" ht="12.75" customHeight="1">
      <c r="A559" s="2410" t="str">
        <f t="shared" si="9"/>
        <v>Übrige Tiere</v>
      </c>
      <c r="B559" s="2410" t="s">
        <v>548</v>
      </c>
      <c r="C559" s="2410" t="s">
        <v>136</v>
      </c>
      <c r="D559" s="2414" t="s">
        <v>8634</v>
      </c>
    </row>
    <row r="560" spans="1:6" ht="12.75" customHeight="1">
      <c r="A560" s="2410" t="str">
        <f t="shared" si="9"/>
        <v>Zuchtschweine und Ferkel</v>
      </c>
      <c r="B560" s="2410" t="s">
        <v>549</v>
      </c>
      <c r="C560" s="2410" t="s">
        <v>6240</v>
      </c>
      <c r="D560" s="2414" t="s">
        <v>11136</v>
      </c>
    </row>
    <row r="561" spans="1:4" ht="12.75" customHeight="1">
      <c r="A561" s="2410" t="str">
        <f t="shared" si="9"/>
        <v>Mastschweine</v>
      </c>
      <c r="B561" s="2410" t="s">
        <v>572</v>
      </c>
      <c r="C561" s="2410" t="s">
        <v>1333</v>
      </c>
      <c r="D561" s="2414" t="s">
        <v>8635</v>
      </c>
    </row>
    <row r="562" spans="1:4" ht="12.75" customHeight="1">
      <c r="A562" s="2410" t="str">
        <f t="shared" si="9"/>
        <v>Lege- und Junghennen</v>
      </c>
      <c r="B562" s="2410" t="s">
        <v>5028</v>
      </c>
      <c r="C562" s="2410" t="s">
        <v>308</v>
      </c>
      <c r="D562" s="2414" t="s">
        <v>8649</v>
      </c>
    </row>
    <row r="563" spans="1:4" ht="12.75" customHeight="1">
      <c r="A563" s="2410" t="str">
        <f t="shared" si="9"/>
        <v>Mastgeflügel</v>
      </c>
      <c r="B563" s="2410" t="s">
        <v>574</v>
      </c>
      <c r="C563" s="2410" t="s">
        <v>133</v>
      </c>
      <c r="D563" s="2414" t="s">
        <v>3784</v>
      </c>
    </row>
    <row r="564" spans="1:4" ht="12.75" customHeight="1">
      <c r="A564" s="2410">
        <f t="shared" si="9"/>
        <v>0</v>
      </c>
      <c r="B564" s="2410"/>
      <c r="C564" s="2410"/>
      <c r="D564" s="2414"/>
    </row>
    <row r="565" spans="1:4" ht="12.75" customHeight="1">
      <c r="A565" s="2410" t="str">
        <f t="shared" si="9"/>
        <v>Anzahl Kulturen und Kulturenanteile</v>
      </c>
      <c r="B565" s="2410" t="s">
        <v>5030</v>
      </c>
      <c r="C565" s="2410" t="s">
        <v>310</v>
      </c>
      <c r="D565" s="2414" t="s">
        <v>8650</v>
      </c>
    </row>
    <row r="566" spans="1:4" ht="12.75" customHeight="1">
      <c r="A566" s="2410" t="str">
        <f t="shared" si="9"/>
        <v>Resultat Ihres Betriebes</v>
      </c>
      <c r="B566" s="2410" t="s">
        <v>3120</v>
      </c>
      <c r="C566" s="2410" t="s">
        <v>5606</v>
      </c>
      <c r="D566" s="2414" t="s">
        <v>8587</v>
      </c>
    </row>
    <row r="567" spans="1:4" ht="12.75" customHeight="1">
      <c r="A567" s="2410" t="str">
        <f t="shared" si="9"/>
        <v>ÖLN-Sollwert (&gt;1ha OA)</v>
      </c>
      <c r="B567" s="2410" t="s">
        <v>5031</v>
      </c>
      <c r="C567" s="2410" t="s">
        <v>311</v>
      </c>
      <c r="D567" s="2414" t="s">
        <v>8651</v>
      </c>
    </row>
    <row r="568" spans="1:4" ht="12.75" customHeight="1">
      <c r="A568" s="2410" t="str">
        <f t="shared" si="9"/>
        <v>Kultur</v>
      </c>
      <c r="B568" s="2410" t="s">
        <v>3603</v>
      </c>
      <c r="C568" s="2410" t="s">
        <v>312</v>
      </c>
      <c r="D568" s="2414" t="s">
        <v>581</v>
      </c>
    </row>
    <row r="569" spans="1:4" ht="12.75" customHeight="1">
      <c r="A569" s="2410" t="str">
        <f t="shared" si="9"/>
        <v>Fläche</v>
      </c>
      <c r="B569" s="2410" t="s">
        <v>5348</v>
      </c>
      <c r="C569" s="2410" t="s">
        <v>1697</v>
      </c>
      <c r="D569" s="2414" t="s">
        <v>2757</v>
      </c>
    </row>
    <row r="570" spans="1:4" ht="12.75" customHeight="1">
      <c r="A570" s="2410" t="str">
        <f t="shared" si="9"/>
        <v>Anteil pro</v>
      </c>
      <c r="B570" s="2410" t="s">
        <v>5033</v>
      </c>
      <c r="C570" s="2410" t="s">
        <v>313</v>
      </c>
      <c r="D570" s="2414" t="s">
        <v>8652</v>
      </c>
    </row>
    <row r="571" spans="1:4" ht="12.75" customHeight="1">
      <c r="A571" s="2410" t="str">
        <f t="shared" si="9"/>
        <v>Ackerfläche</v>
      </c>
      <c r="B571" s="2410" t="s">
        <v>4684</v>
      </c>
      <c r="C571" s="2410" t="s">
        <v>314</v>
      </c>
      <c r="D571" s="2414" t="s">
        <v>8653</v>
      </c>
    </row>
    <row r="572" spans="1:4" ht="12.75" customHeight="1">
      <c r="A572" s="2410">
        <f t="shared" si="9"/>
        <v>0</v>
      </c>
      <c r="B572" s="2410"/>
      <c r="C572" s="2410" t="s">
        <v>315</v>
      </c>
      <c r="D572" s="2414" t="s">
        <v>8654</v>
      </c>
    </row>
    <row r="573" spans="1:4" ht="12.75" customHeight="1">
      <c r="A573" s="2410" t="str">
        <f t="shared" si="9"/>
        <v>Anzahl</v>
      </c>
      <c r="B573" s="2410" t="s">
        <v>7044</v>
      </c>
      <c r="C573" s="2410" t="s">
        <v>316</v>
      </c>
      <c r="D573" s="2414" t="s">
        <v>3773</v>
      </c>
    </row>
    <row r="574" spans="1:4" ht="12.75" customHeight="1">
      <c r="A574" s="2410" t="str">
        <f t="shared" si="9"/>
        <v>Kulturen</v>
      </c>
      <c r="B574" s="2410" t="s">
        <v>4689</v>
      </c>
      <c r="C574" s="2410" t="s">
        <v>200</v>
      </c>
      <c r="D574" s="2414" t="s">
        <v>582</v>
      </c>
    </row>
    <row r="575" spans="1:4" ht="12.75" customHeight="1">
      <c r="A575" s="2410" t="str">
        <f t="shared" si="9"/>
        <v>Kumulation von</v>
      </c>
      <c r="B575" s="2410" t="s">
        <v>5034</v>
      </c>
      <c r="C575" s="2410" t="s">
        <v>1984</v>
      </c>
      <c r="D575" s="2414" t="s">
        <v>8655</v>
      </c>
    </row>
    <row r="576" spans="1:4" ht="12.75" customHeight="1">
      <c r="A576" s="2410" t="str">
        <f t="shared" si="9"/>
        <v>Flächen mit</v>
      </c>
      <c r="B576" s="2410" t="s">
        <v>4685</v>
      </c>
      <c r="C576" s="2410" t="s">
        <v>657</v>
      </c>
      <c r="D576" s="2414" t="s">
        <v>8656</v>
      </c>
    </row>
    <row r="577" spans="1:4" ht="12.75" customHeight="1">
      <c r="A577" s="2410" t="str">
        <f t="shared" ref="A577:A646" si="10">IF($A$2=1,B577,IF($A$2=2,C577,IF($A$2=3,IF(D577="",C577,D577),"")))</f>
        <v>Anteil &lt; 10%</v>
      </c>
      <c r="B577" s="2410" t="s">
        <v>4690</v>
      </c>
      <c r="C577" s="2410" t="s">
        <v>5965</v>
      </c>
      <c r="D577" s="2414" t="s">
        <v>8657</v>
      </c>
    </row>
    <row r="578" spans="1:4" ht="12.75" customHeight="1">
      <c r="A578" s="2410" t="str">
        <f t="shared" si="10"/>
        <v>max. Anteil</v>
      </c>
      <c r="B578" s="2410" t="s">
        <v>3828</v>
      </c>
      <c r="C578" s="2410" t="s">
        <v>5966</v>
      </c>
      <c r="D578" s="2414" t="s">
        <v>8658</v>
      </c>
    </row>
    <row r="579" spans="1:4" ht="12.75" customHeight="1">
      <c r="A579" s="2410" t="str">
        <f t="shared" si="10"/>
        <v>pro Acker-</v>
      </c>
      <c r="B579" s="2410" t="s">
        <v>4686</v>
      </c>
      <c r="C579" s="2410" t="s">
        <v>5967</v>
      </c>
      <c r="D579" s="2414" t="s">
        <v>8659</v>
      </c>
    </row>
    <row r="580" spans="1:4" ht="12.75" customHeight="1">
      <c r="A580" s="2410" t="str">
        <f t="shared" si="10"/>
        <v>fläche</v>
      </c>
      <c r="B580" s="2410" t="s">
        <v>4687</v>
      </c>
      <c r="C580" s="2410" t="s">
        <v>315</v>
      </c>
      <c r="D580" s="2414" t="s">
        <v>8660</v>
      </c>
    </row>
    <row r="581" spans="1:4" ht="12.75" customHeight="1">
      <c r="A581" s="2410" t="str">
        <f t="shared" si="10"/>
        <v>Höchst-</v>
      </c>
      <c r="B581" s="2410" t="s">
        <v>4191</v>
      </c>
      <c r="C581" s="2410" t="s">
        <v>1697</v>
      </c>
      <c r="D581" s="2414" t="s">
        <v>1824</v>
      </c>
    </row>
    <row r="582" spans="1:4" ht="12.75" customHeight="1">
      <c r="A582" s="2410" t="str">
        <f t="shared" si="10"/>
        <v>fläche</v>
      </c>
      <c r="B582" s="2410" t="s">
        <v>4687</v>
      </c>
      <c r="C582" s="2410" t="s">
        <v>5968</v>
      </c>
      <c r="D582" s="2414" t="s">
        <v>11137</v>
      </c>
    </row>
    <row r="583" spans="1:4" ht="12.75" customHeight="1">
      <c r="A583" s="2410" t="str">
        <f t="shared" si="10"/>
        <v>max.</v>
      </c>
      <c r="B583" s="2410" t="s">
        <v>5032</v>
      </c>
      <c r="C583" s="2410" t="s">
        <v>5969</v>
      </c>
      <c r="D583" s="2414" t="s">
        <v>8661</v>
      </c>
    </row>
    <row r="584" spans="1:4" ht="12.75" customHeight="1">
      <c r="A584" s="2410" t="str">
        <f t="shared" si="10"/>
        <v>Flächen-</v>
      </c>
      <c r="B584" s="2410" t="s">
        <v>290</v>
      </c>
      <c r="C584" s="2410" t="s">
        <v>5493</v>
      </c>
      <c r="D584" s="2414" t="s">
        <v>8658</v>
      </c>
    </row>
    <row r="585" spans="1:4" ht="12.75" customHeight="1">
      <c r="A585" s="2410" t="str">
        <f t="shared" si="10"/>
        <v>anteil</v>
      </c>
      <c r="B585" s="2410" t="s">
        <v>4688</v>
      </c>
      <c r="C585" s="2410" t="s">
        <v>4652</v>
      </c>
      <c r="D585" s="2414" t="s">
        <v>3396</v>
      </c>
    </row>
    <row r="586" spans="1:4" ht="12.75" customHeight="1">
      <c r="A586" s="2410" t="str">
        <f t="shared" si="10"/>
        <v>erfüllt?</v>
      </c>
      <c r="B586" s="2410" t="s">
        <v>3808</v>
      </c>
      <c r="C586" s="2410" t="s">
        <v>5915</v>
      </c>
      <c r="D586" s="2414" t="s">
        <v>8662</v>
      </c>
    </row>
    <row r="587" spans="1:4" ht="12.75" customHeight="1">
      <c r="A587" s="2410" t="str">
        <f t="shared" si="10"/>
        <v>ja / nein</v>
      </c>
      <c r="B587" s="2410" t="s">
        <v>11588</v>
      </c>
      <c r="C587" s="2410" t="s">
        <v>11613</v>
      </c>
      <c r="D587" s="2414" t="s">
        <v>11589</v>
      </c>
    </row>
    <row r="588" spans="1:4" ht="12.75" customHeight="1">
      <c r="A588" s="2410" t="str">
        <f t="shared" si="10"/>
        <v>Weizen, Dinkel; Körner</v>
      </c>
      <c r="B588" s="2410" t="s">
        <v>7669</v>
      </c>
      <c r="C588" s="2410" t="s">
        <v>3341</v>
      </c>
      <c r="D588" s="2414" t="s">
        <v>8663</v>
      </c>
    </row>
    <row r="589" spans="1:4" ht="12.75" customHeight="1">
      <c r="A589" s="2410" t="str">
        <f t="shared" si="10"/>
        <v>Dinkel (Korn)</v>
      </c>
      <c r="B589" s="2410" t="s">
        <v>3809</v>
      </c>
      <c r="C589" s="2410" t="s">
        <v>4492</v>
      </c>
      <c r="D589" s="2414" t="s">
        <v>402</v>
      </c>
    </row>
    <row r="590" spans="1:4" ht="12.75" customHeight="1">
      <c r="A590" s="2410" t="str">
        <f t="shared" si="10"/>
        <v>Emmer, Einkorn</v>
      </c>
      <c r="B590" s="2410" t="s">
        <v>3810</v>
      </c>
      <c r="C590" s="2410" t="s">
        <v>6962</v>
      </c>
      <c r="D590" s="2414" t="s">
        <v>8664</v>
      </c>
    </row>
    <row r="591" spans="1:4" ht="12.75" customHeight="1">
      <c r="A591" s="2410" t="str">
        <f t="shared" si="10"/>
        <v>Weizen, Dinkel, Emmer, Einkorn</v>
      </c>
      <c r="B591" s="2410" t="s">
        <v>1166</v>
      </c>
      <c r="C591" s="2410" t="s">
        <v>6963</v>
      </c>
      <c r="D591" s="2414" t="s">
        <v>8665</v>
      </c>
    </row>
    <row r="592" spans="1:4" ht="12.75" customHeight="1">
      <c r="A592" s="2410" t="str">
        <f t="shared" si="10"/>
        <v>Gerste</v>
      </c>
      <c r="B592" s="2410" t="s">
        <v>1167</v>
      </c>
      <c r="C592" s="2410" t="s">
        <v>6964</v>
      </c>
      <c r="D592" s="2414" t="s">
        <v>830</v>
      </c>
    </row>
    <row r="593" spans="1:4" ht="12.75" customHeight="1">
      <c r="A593" s="2410" t="str">
        <f t="shared" si="10"/>
        <v>Roggen</v>
      </c>
      <c r="B593" s="2410" t="s">
        <v>1168</v>
      </c>
      <c r="C593" s="2410" t="s">
        <v>172</v>
      </c>
      <c r="D593" s="2414" t="s">
        <v>831</v>
      </c>
    </row>
    <row r="594" spans="1:4" ht="12.75" customHeight="1">
      <c r="A594" s="2410" t="str">
        <f t="shared" si="10"/>
        <v>Triticale</v>
      </c>
      <c r="B594" s="2410" t="s">
        <v>1169</v>
      </c>
      <c r="C594" s="2410" t="s">
        <v>1169</v>
      </c>
      <c r="D594" s="2414" t="s">
        <v>1169</v>
      </c>
    </row>
    <row r="595" spans="1:4" ht="12.75" customHeight="1">
      <c r="A595" s="2410" t="str">
        <f t="shared" si="10"/>
        <v>Getreide-Silage mit u. ohne Legumin.</v>
      </c>
      <c r="B595" s="2410" t="s">
        <v>7203</v>
      </c>
      <c r="C595" s="2410" t="s">
        <v>7204</v>
      </c>
      <c r="D595" s="2414" t="s">
        <v>11614</v>
      </c>
    </row>
    <row r="596" spans="1:4" ht="12.75" customHeight="1">
      <c r="A596" s="2410" t="str">
        <f t="shared" si="10"/>
        <v>Getreide total; ohne Hafer, Hirse, Mais</v>
      </c>
      <c r="B596" s="2410" t="s">
        <v>7681</v>
      </c>
      <c r="C596" s="2410" t="s">
        <v>7682</v>
      </c>
      <c r="D596" s="2414" t="s">
        <v>11615</v>
      </c>
    </row>
    <row r="597" spans="1:4" ht="12.75" customHeight="1">
      <c r="A597" s="2410" t="str">
        <f t="shared" si="10"/>
        <v>Hafer</v>
      </c>
      <c r="B597" s="2410" t="s">
        <v>6252</v>
      </c>
      <c r="C597" s="2410" t="s">
        <v>2047</v>
      </c>
      <c r="D597" s="2414" t="s">
        <v>1643</v>
      </c>
    </row>
    <row r="598" spans="1:4" ht="12.75" customHeight="1">
      <c r="A598" s="2410" t="str">
        <f t="shared" si="10"/>
        <v>Hirse</v>
      </c>
      <c r="B598" s="2410" t="s">
        <v>1025</v>
      </c>
      <c r="C598" s="2410" t="s">
        <v>6584</v>
      </c>
      <c r="D598" s="2414" t="s">
        <v>6585</v>
      </c>
    </row>
    <row r="599" spans="1:4" ht="12.75" customHeight="1">
      <c r="A599" s="2410" t="str">
        <f t="shared" si="10"/>
        <v>Ganzpflanzen-Sorghum</v>
      </c>
      <c r="B599" s="2410" t="s">
        <v>7778</v>
      </c>
      <c r="C599" s="2410" t="s">
        <v>7779</v>
      </c>
      <c r="D599" s="2414" t="s">
        <v>11125</v>
      </c>
    </row>
    <row r="600" spans="1:4" ht="12.75" customHeight="1">
      <c r="A600" s="2410" t="str">
        <f t="shared" si="10"/>
        <v>Reis</v>
      </c>
      <c r="B600" s="2410" t="s">
        <v>6586</v>
      </c>
      <c r="C600" s="2410" t="s">
        <v>6587</v>
      </c>
      <c r="D600" s="2414" t="s">
        <v>6588</v>
      </c>
    </row>
    <row r="601" spans="1:4" ht="12.75" customHeight="1">
      <c r="A601" s="2410" t="str">
        <f t="shared" si="10"/>
        <v>Mais¹, Körner-, Silo-, …</v>
      </c>
      <c r="B601" s="2410" t="s">
        <v>11332</v>
      </c>
      <c r="C601" s="2410" t="s">
        <v>11333</v>
      </c>
      <c r="D601" s="2414" t="s">
        <v>11138</v>
      </c>
    </row>
    <row r="602" spans="1:4" ht="12.75" customHeight="1">
      <c r="A602" s="2410" t="str">
        <f t="shared" si="10"/>
        <v>Rüben, Zucker- u. Futter-</v>
      </c>
      <c r="B602" s="2410" t="s">
        <v>7671</v>
      </c>
      <c r="C602" s="2410" t="s">
        <v>7670</v>
      </c>
      <c r="D602" s="2414" t="s">
        <v>8666</v>
      </c>
    </row>
    <row r="603" spans="1:4" ht="12.75" customHeight="1">
      <c r="A603" s="2410" t="str">
        <f t="shared" si="10"/>
        <v>Kartoffeln</v>
      </c>
      <c r="B603" s="2410" t="s">
        <v>5700</v>
      </c>
      <c r="C603" s="2410" t="s">
        <v>1609</v>
      </c>
      <c r="D603" s="2414" t="s">
        <v>8667</v>
      </c>
    </row>
    <row r="604" spans="1:4" ht="12.75" customHeight="1">
      <c r="A604" s="2410" t="str">
        <f t="shared" si="10"/>
        <v>Tabak</v>
      </c>
      <c r="B604" s="2410" t="s">
        <v>441</v>
      </c>
      <c r="C604" s="2410" t="s">
        <v>516</v>
      </c>
      <c r="D604" s="2414" t="s">
        <v>1644</v>
      </c>
    </row>
    <row r="605" spans="1:4" ht="12.75" customHeight="1">
      <c r="A605" s="2410" t="str">
        <f t="shared" si="10"/>
        <v>Eiweisserbsen</v>
      </c>
      <c r="B605" s="2410" t="s">
        <v>55</v>
      </c>
      <c r="C605" s="2410" t="s">
        <v>4372</v>
      </c>
      <c r="D605" s="2414" t="s">
        <v>8510</v>
      </c>
    </row>
    <row r="606" spans="1:4" ht="12.75" customHeight="1">
      <c r="A606" s="2410" t="str">
        <f t="shared" si="10"/>
        <v>Drescherbsen</v>
      </c>
      <c r="B606" s="2410" t="s">
        <v>7330</v>
      </c>
      <c r="C606" s="2410" t="s">
        <v>517</v>
      </c>
      <c r="D606" s="2414" t="s">
        <v>8668</v>
      </c>
    </row>
    <row r="607" spans="1:4" ht="12.75" customHeight="1">
      <c r="A607" s="2410" t="str">
        <f t="shared" si="10"/>
        <v>Erbsen total</v>
      </c>
      <c r="B607" s="2410" t="s">
        <v>7667</v>
      </c>
      <c r="C607" s="2410" t="s">
        <v>518</v>
      </c>
      <c r="D607" s="2414" t="s">
        <v>8669</v>
      </c>
    </row>
    <row r="608" spans="1:4" ht="12.75" customHeight="1">
      <c r="A608" s="2410" t="str">
        <f t="shared" si="10"/>
        <v>Ackerbohnen</v>
      </c>
      <c r="B608" s="2410" t="s">
        <v>1099</v>
      </c>
      <c r="C608" s="2410" t="s">
        <v>4373</v>
      </c>
      <c r="D608" s="2414" t="s">
        <v>4462</v>
      </c>
    </row>
    <row r="609" spans="1:4" ht="12.75" customHeight="1">
      <c r="A609" s="2410" t="str">
        <f t="shared" si="10"/>
        <v>Soja</v>
      </c>
      <c r="B609" s="2410" t="s">
        <v>6152</v>
      </c>
      <c r="C609" s="2410" t="s">
        <v>6152</v>
      </c>
      <c r="D609" s="2414" t="s">
        <v>4623</v>
      </c>
    </row>
    <row r="610" spans="1:4" ht="12.75" customHeight="1">
      <c r="A610" s="2410" t="str">
        <f t="shared" si="10"/>
        <v>Hirse</v>
      </c>
      <c r="B610" s="2410" t="s">
        <v>1025</v>
      </c>
      <c r="C610" s="2410" t="s">
        <v>6584</v>
      </c>
      <c r="D610" s="2414" t="s">
        <v>6585</v>
      </c>
    </row>
    <row r="611" spans="1:4" ht="12.75" customHeight="1">
      <c r="A611" s="2410" t="str">
        <f t="shared" si="10"/>
        <v>Raps</v>
      </c>
      <c r="B611" s="2410" t="s">
        <v>4798</v>
      </c>
      <c r="C611" s="2410" t="s">
        <v>2317</v>
      </c>
      <c r="D611" s="2414" t="s">
        <v>2317</v>
      </c>
    </row>
    <row r="612" spans="1:4" ht="12.75" customHeight="1">
      <c r="A612" s="2410" t="str">
        <f t="shared" si="10"/>
        <v>Sonnenblumen</v>
      </c>
      <c r="B612" s="2410" t="s">
        <v>4741</v>
      </c>
      <c r="C612" s="2410" t="s">
        <v>5615</v>
      </c>
      <c r="D612" s="2414" t="s">
        <v>797</v>
      </c>
    </row>
    <row r="613" spans="1:4" ht="12.75" customHeight="1">
      <c r="A613" s="2410" t="str">
        <f t="shared" si="10"/>
        <v>Sklerotinia-anfällige Kulturen total</v>
      </c>
      <c r="B613" s="2410" t="s">
        <v>7672</v>
      </c>
      <c r="C613" s="2410" t="s">
        <v>7668</v>
      </c>
      <c r="D613" s="2414" t="s">
        <v>8670</v>
      </c>
    </row>
    <row r="614" spans="1:4" ht="12.75" customHeight="1">
      <c r="A614" s="2410" t="str">
        <f t="shared" si="10"/>
        <v>Öl-, Faserlein</v>
      </c>
      <c r="B614" s="2410" t="s">
        <v>7331</v>
      </c>
      <c r="C614" s="2410" t="s">
        <v>7673</v>
      </c>
      <c r="D614" s="2414" t="s">
        <v>8671</v>
      </c>
    </row>
    <row r="615" spans="1:4" ht="12.75" customHeight="1">
      <c r="A615" s="2410" t="str">
        <f t="shared" si="10"/>
        <v>Öl-, Faserhanf</v>
      </c>
      <c r="B615" s="2410" t="s">
        <v>3049</v>
      </c>
      <c r="C615" s="2410" t="s">
        <v>7674</v>
      </c>
      <c r="D615" s="2414" t="s">
        <v>8672</v>
      </c>
    </row>
    <row r="616" spans="1:4" ht="12.75" customHeight="1">
      <c r="A616" s="2410" t="str">
        <f t="shared" si="10"/>
        <v>Buntbrache</v>
      </c>
      <c r="B616" s="2410" t="s">
        <v>2043</v>
      </c>
      <c r="C616" s="2410" t="s">
        <v>6462</v>
      </c>
      <c r="D616" s="2414" t="s">
        <v>801</v>
      </c>
    </row>
    <row r="617" spans="1:4" ht="12.75" customHeight="1">
      <c r="A617" s="2410" t="str">
        <f t="shared" si="10"/>
        <v>Rotationsbrache</v>
      </c>
      <c r="B617" s="2410" t="s">
        <v>6927</v>
      </c>
      <c r="C617" s="2410" t="s">
        <v>6463</v>
      </c>
      <c r="D617" s="2414" t="s">
        <v>800</v>
      </c>
    </row>
    <row r="618" spans="1:4" ht="12.75" customHeight="1">
      <c r="A618" s="2410" t="str">
        <f t="shared" si="10"/>
        <v>Säume auf Ackerflächen</v>
      </c>
      <c r="B618" s="2410" t="s">
        <v>5522</v>
      </c>
      <c r="C618" s="2410" t="s">
        <v>1879</v>
      </c>
      <c r="D618" s="2414" t="s">
        <v>8673</v>
      </c>
    </row>
    <row r="619" spans="1:4" ht="12.75" customHeight="1">
      <c r="A619" s="2410" t="str">
        <f t="shared" si="10"/>
        <v>Ackerschonstreifen</v>
      </c>
      <c r="B619" s="2410" t="s">
        <v>3140</v>
      </c>
      <c r="C619" s="2410" t="s">
        <v>2546</v>
      </c>
      <c r="D619" s="2414" t="s">
        <v>8553</v>
      </c>
    </row>
    <row r="620" spans="1:4" ht="12.75" customHeight="1">
      <c r="A620" s="2410" t="str">
        <f t="shared" si="10"/>
        <v>Nützlingsstreifen</v>
      </c>
      <c r="B620" s="2781" t="s">
        <v>11424</v>
      </c>
      <c r="C620" s="2781" t="s">
        <v>11844</v>
      </c>
      <c r="D620" s="2414" t="s">
        <v>11851</v>
      </c>
    </row>
    <row r="621" spans="1:4" ht="12.75" customHeight="1">
      <c r="A621" s="2410" t="str">
        <f>IF($A$2=1,B621,IF($A$2=2,C621,IF($A$2=3,IF(D621="",C621,D621),"")))</f>
        <v>Nützlingsstreifen (oAF)</v>
      </c>
      <c r="B621" s="2410" t="s">
        <v>11330</v>
      </c>
      <c r="C621" s="2410" t="s">
        <v>11736</v>
      </c>
      <c r="D621" s="2414" t="s">
        <v>11342</v>
      </c>
    </row>
    <row r="622" spans="1:4" ht="12.75" customHeight="1">
      <c r="A622" s="2410" t="str">
        <f t="shared" si="10"/>
        <v>Erdbeeren, 1-jährig</v>
      </c>
      <c r="B622" s="2410" t="s">
        <v>7604</v>
      </c>
      <c r="C622" s="2410" t="s">
        <v>2393</v>
      </c>
      <c r="D622" s="2414" t="s">
        <v>8512</v>
      </c>
    </row>
    <row r="623" spans="1:4" ht="12.75" customHeight="1">
      <c r="A623" s="2410" t="str">
        <f t="shared" si="10"/>
        <v>Heil-, Gewürzpflanzen, 1-j.</v>
      </c>
      <c r="B623" s="2410" t="s">
        <v>7605</v>
      </c>
      <c r="C623" s="2410" t="s">
        <v>7675</v>
      </c>
      <c r="D623" s="2414" t="s">
        <v>11583</v>
      </c>
    </row>
    <row r="624" spans="1:4" ht="12.75" customHeight="1">
      <c r="A624" s="2410" t="str">
        <f t="shared" si="10"/>
        <v>Schnittblumen, 1-jährig</v>
      </c>
      <c r="B624" s="2410" t="s">
        <v>6192</v>
      </c>
      <c r="C624" s="2410" t="s">
        <v>7677</v>
      </c>
      <c r="D624" s="2414" t="s">
        <v>8513</v>
      </c>
    </row>
    <row r="625" spans="1:5" ht="12.75" customHeight="1">
      <c r="A625" s="2410" t="str">
        <f t="shared" si="10"/>
        <v>Freilandgemüse, inkl.Konserven</v>
      </c>
      <c r="B625" s="2410" t="s">
        <v>7676</v>
      </c>
      <c r="C625" s="2410" t="s">
        <v>519</v>
      </c>
      <c r="D625" s="2414" t="s">
        <v>8675</v>
      </c>
    </row>
    <row r="626" spans="1:5" ht="12.75" customHeight="1">
      <c r="A626" s="2410" t="str">
        <f t="shared" si="10"/>
        <v>Anzahl Familien</v>
      </c>
      <c r="B626" s="2410" t="s">
        <v>3050</v>
      </c>
      <c r="C626" s="2410" t="s">
        <v>5261</v>
      </c>
      <c r="D626" s="2414" t="s">
        <v>8676</v>
      </c>
    </row>
    <row r="627" spans="1:5" ht="12.75" customHeight="1">
      <c r="A627" s="2410" t="str">
        <f t="shared" si="10"/>
        <v>Offene Ackerfläche (OA)</v>
      </c>
      <c r="B627" s="2410" t="s">
        <v>7678</v>
      </c>
      <c r="C627" s="2410" t="s">
        <v>6805</v>
      </c>
      <c r="D627" s="2414" t="s">
        <v>1645</v>
      </c>
    </row>
    <row r="628" spans="1:5" ht="12.75" customHeight="1">
      <c r="A628" s="2410" t="str">
        <f t="shared" si="10"/>
        <v xml:space="preserve">  Diese Fläche entspricht der Summe aus "Getreide", "Markt- und </v>
      </c>
      <c r="B628" s="2410" t="s">
        <v>303</v>
      </c>
      <c r="C628" s="2410" t="s">
        <v>793</v>
      </c>
      <c r="D628" s="2414" t="s">
        <v>11139</v>
      </c>
    </row>
    <row r="629" spans="1:5" ht="12.75" customHeight="1">
      <c r="A629" s="2410" t="str">
        <f t="shared" si="10"/>
        <v xml:space="preserve">  Futterhackfrüchte" sowie "Gemüsebau, Diverses" im Blatt 'Fläche'</v>
      </c>
      <c r="B629" s="2410" t="s">
        <v>11527</v>
      </c>
      <c r="C629" s="2410" t="s">
        <v>794</v>
      </c>
      <c r="D629" s="2414" t="s">
        <v>11140</v>
      </c>
    </row>
    <row r="630" spans="1:5" ht="12.75" customHeight="1">
      <c r="A630" s="2410" t="str">
        <f t="shared" si="10"/>
        <v>Kunstwiesen</v>
      </c>
      <c r="B630" s="2410" t="s">
        <v>304</v>
      </c>
      <c r="C630" s="2410" t="s">
        <v>32</v>
      </c>
      <c r="D630" s="2414" t="s">
        <v>8534</v>
      </c>
    </row>
    <row r="631" spans="1:5" ht="12.75" customHeight="1">
      <c r="A631" s="2410" t="str">
        <f t="shared" si="10"/>
        <v>Ackerfläche</v>
      </c>
      <c r="B631" s="2410" t="s">
        <v>4684</v>
      </c>
      <c r="C631" s="2410" t="s">
        <v>33</v>
      </c>
      <c r="D631" s="2414" t="s">
        <v>8678</v>
      </c>
    </row>
    <row r="632" spans="1:5" ht="12.75" customHeight="1">
      <c r="A632" s="2410" t="str">
        <f t="shared" si="10"/>
        <v>Total der Kumulation</v>
      </c>
      <c r="B632" s="2410" t="s">
        <v>1985</v>
      </c>
      <c r="C632" s="2410" t="s">
        <v>34</v>
      </c>
      <c r="D632" s="2414" t="s">
        <v>8679</v>
      </c>
    </row>
    <row r="633" spans="1:5" ht="12.75" customHeight="1">
      <c r="A633" s="2410" t="str">
        <f t="shared" si="10"/>
        <v>Plus 1-3 Kulturen, falls Total der Kumulation &gt; 10 %</v>
      </c>
      <c r="B633" s="2781" t="s">
        <v>11867</v>
      </c>
      <c r="C633" s="2781" t="s">
        <v>11868</v>
      </c>
      <c r="D633" s="2414" t="s">
        <v>8680</v>
      </c>
    </row>
    <row r="634" spans="1:5" ht="12.75" customHeight="1">
      <c r="A634" s="2410" t="str">
        <f t="shared" si="10"/>
        <v>Total Anzahl Kulturen</v>
      </c>
      <c r="B634" s="2410" t="s">
        <v>2300</v>
      </c>
      <c r="C634" s="2410" t="s">
        <v>4149</v>
      </c>
      <c r="D634" s="2414" t="s">
        <v>8681</v>
      </c>
    </row>
    <row r="635" spans="1:5" ht="12.75" customHeight="1">
      <c r="A635" s="2410" t="str">
        <f t="shared" si="10"/>
        <v>Anzahl Kulturen erfüllt?</v>
      </c>
      <c r="B635" s="2410" t="s">
        <v>2301</v>
      </c>
      <c r="C635" s="2410" t="s">
        <v>4150</v>
      </c>
      <c r="D635" s="2414" t="s">
        <v>8682</v>
      </c>
    </row>
    <row r="636" spans="1:5" ht="12.75" customHeight="1">
      <c r="A636" s="2410" t="str">
        <f t="shared" si="10"/>
        <v>ja</v>
      </c>
      <c r="B636" s="2410" t="s">
        <v>4356</v>
      </c>
      <c r="C636" s="2410" t="s">
        <v>5639</v>
      </c>
      <c r="D636" s="2414" t="s">
        <v>1741</v>
      </c>
    </row>
    <row r="637" spans="1:5" ht="12.75" customHeight="1">
      <c r="A637" s="2410" t="str">
        <f t="shared" si="10"/>
        <v>nein</v>
      </c>
      <c r="B637" s="2410" t="s">
        <v>3274</v>
      </c>
      <c r="C637" s="2410" t="s">
        <v>5640</v>
      </c>
      <c r="D637" s="2414" t="s">
        <v>1744</v>
      </c>
    </row>
    <row r="638" spans="1:5" ht="12.75" customHeight="1">
      <c r="A638" s="2410" t="str">
        <f t="shared" si="10"/>
        <v>minimale Anzahl Kulturen, ÖLN-Sollwert bei &gt;3ha OA</v>
      </c>
      <c r="B638" s="2410" t="s">
        <v>7679</v>
      </c>
      <c r="C638" s="2410" t="s">
        <v>7680</v>
      </c>
      <c r="D638" s="2414" t="s">
        <v>9661</v>
      </c>
    </row>
    <row r="639" spans="1:5" ht="12.75" customHeight="1">
      <c r="A639" s="2410" t="str">
        <f t="shared" si="10"/>
        <v>1) Mais:</v>
      </c>
      <c r="B639" s="2410" t="s">
        <v>2302</v>
      </c>
      <c r="C639" s="2410" t="s">
        <v>4151</v>
      </c>
      <c r="D639" s="2414" t="s">
        <v>2302</v>
      </c>
    </row>
    <row r="640" spans="1:5" ht="12.75" customHeight="1">
      <c r="A640" s="2410" t="str">
        <f t="shared" si="10"/>
        <v>Fläche [ha]</v>
      </c>
      <c r="B640" s="2410" t="s">
        <v>4792</v>
      </c>
      <c r="C640" s="2410" t="s">
        <v>646</v>
      </c>
      <c r="D640" s="2414" t="s">
        <v>5702</v>
      </c>
      <c r="E640" s="2428"/>
    </row>
    <row r="641" spans="1:4" ht="12.75" customHeight="1">
      <c r="A641" s="2410" t="str">
        <f t="shared" si="10"/>
        <v xml:space="preserve"> - Maiswiese mit mechan. Regulierung des Graswuchses zwischen den Reihen</v>
      </c>
      <c r="B641" s="2410" t="s">
        <v>4939</v>
      </c>
      <c r="C641" s="2410" t="s">
        <v>7218</v>
      </c>
      <c r="D641" s="2414" t="s">
        <v>8539</v>
      </c>
    </row>
    <row r="642" spans="1:4" ht="24" customHeight="1">
      <c r="A642" s="2410" t="str">
        <f t="shared" si="10"/>
        <v xml:space="preserve"> - mit Untersaat, als Mulchsaat o. Streifenfrässaat nach Gründüngung, Zwischenfutter o. Grünland</v>
      </c>
      <c r="B642" s="2410" t="s">
        <v>4940</v>
      </c>
      <c r="C642" s="2410" t="s">
        <v>7367</v>
      </c>
      <c r="D642" s="2414" t="s">
        <v>11616</v>
      </c>
    </row>
    <row r="643" spans="1:4" ht="12.75" customHeight="1">
      <c r="A643" s="2410" t="str">
        <f t="shared" si="10"/>
        <v xml:space="preserve"> - alle übrigen Anbauformen</v>
      </c>
      <c r="B643" s="2410" t="s">
        <v>2511</v>
      </c>
      <c r="C643" s="2410" t="s">
        <v>4426</v>
      </c>
      <c r="D643" s="2414" t="s">
        <v>8509</v>
      </c>
    </row>
    <row r="644" spans="1:4" ht="12.75" customHeight="1">
      <c r="A644" s="2410" t="str">
        <f t="shared" si="10"/>
        <v>Bei Betrieben mit gleichzeitig verschiedenen Maisanbauformen wird dieser</v>
      </c>
      <c r="B644" s="2410" t="s">
        <v>4556</v>
      </c>
      <c r="C644" s="2410" t="s">
        <v>465</v>
      </c>
      <c r="D644" s="2414" t="s">
        <v>11141</v>
      </c>
    </row>
    <row r="645" spans="1:4" ht="12.75" customHeight="1">
      <c r="A645" s="2410" t="str">
        <f t="shared" si="10"/>
        <v>maximale Anteil nach Fläche gewichtet errechnet.</v>
      </c>
      <c r="B645" s="2410" t="s">
        <v>7124</v>
      </c>
      <c r="C645" s="2410" t="s">
        <v>5274</v>
      </c>
      <c r="D645" s="2414" t="s">
        <v>8685</v>
      </c>
    </row>
    <row r="646" spans="1:4" ht="12.75" customHeight="1">
      <c r="A646" s="2410">
        <f t="shared" si="10"/>
        <v>0</v>
      </c>
      <c r="B646" s="2410"/>
      <c r="C646" s="2410"/>
      <c r="D646" s="2414"/>
    </row>
    <row r="647" spans="1:4" ht="12.75" customHeight="1">
      <c r="A647" s="2410" t="str">
        <f t="shared" ref="A647:A729" si="11">IF($A$2=1,B647,IF($A$2=2,C647,IF($A$2=3,IF(D647="",C647,D647),"")))</f>
        <v>Bodenschutz-Index</v>
      </c>
      <c r="B647" s="2410" t="s">
        <v>5334</v>
      </c>
      <c r="C647" s="2410" t="s">
        <v>6085</v>
      </c>
      <c r="D647" s="2414" t="s">
        <v>895</v>
      </c>
    </row>
    <row r="648" spans="1:4" ht="24" customHeight="1">
      <c r="A648" s="2410" t="str">
        <f t="shared" si="11"/>
        <v>1) bei pfluglosem Anbau ohne Kartoffeln, Mais oder Tabak als Vorkultur erhöht sich der Index um 20 Punkte</v>
      </c>
      <c r="B648" s="2410" t="s">
        <v>173</v>
      </c>
      <c r="C648" s="2410" t="s">
        <v>4901</v>
      </c>
      <c r="D648" s="2414" t="s">
        <v>11142</v>
      </c>
    </row>
    <row r="649" spans="1:4" ht="12.75" customHeight="1">
      <c r="A649" s="2410" t="str">
        <f t="shared" si="11"/>
        <v>Winterhalbjahr</v>
      </c>
      <c r="B649" s="2410" t="s">
        <v>174</v>
      </c>
      <c r="C649" s="2410" t="s">
        <v>5275</v>
      </c>
      <c r="D649" s="2414" t="s">
        <v>2433</v>
      </c>
    </row>
    <row r="650" spans="1:4" ht="12.75" customHeight="1">
      <c r="A650" s="2410" t="str">
        <f t="shared" si="11"/>
        <v>Sommerhalbjahr</v>
      </c>
      <c r="B650" s="2410" t="s">
        <v>175</v>
      </c>
      <c r="C650" s="2410" t="s">
        <v>5276</v>
      </c>
      <c r="D650" s="2414" t="s">
        <v>2434</v>
      </c>
    </row>
    <row r="651" spans="1:4" ht="12.75" customHeight="1">
      <c r="A651" s="2410" t="str">
        <f t="shared" si="11"/>
        <v>Vorkultur vor Zwischenkultur</v>
      </c>
      <c r="B651" s="2410" t="s">
        <v>1942</v>
      </c>
      <c r="C651" s="2410" t="s">
        <v>5277</v>
      </c>
      <c r="D651" s="2414" t="s">
        <v>8686</v>
      </c>
    </row>
    <row r="652" spans="1:4" ht="12.75" customHeight="1">
      <c r="A652" s="2410" t="str">
        <f t="shared" si="11"/>
        <v>Umbruch</v>
      </c>
      <c r="B652" s="2410" t="s">
        <v>1943</v>
      </c>
      <c r="C652" s="2410" t="s">
        <v>5278</v>
      </c>
      <c r="D652" s="2414" t="s">
        <v>2435</v>
      </c>
    </row>
    <row r="653" spans="1:4" ht="12.75" customHeight="1">
      <c r="A653" s="2410" t="str">
        <f t="shared" si="11"/>
        <v>Gemüse</v>
      </c>
      <c r="B653" s="2410" t="s">
        <v>1944</v>
      </c>
      <c r="C653" s="2410" t="s">
        <v>875</v>
      </c>
      <c r="D653" s="2414" t="s">
        <v>8675</v>
      </c>
    </row>
    <row r="654" spans="1:4" ht="12.75" customHeight="1">
      <c r="A654" s="2410" t="str">
        <f t="shared" si="11"/>
        <v>Ackerkultur</v>
      </c>
      <c r="B654" s="2410" t="s">
        <v>1945</v>
      </c>
      <c r="C654" s="2410" t="s">
        <v>876</v>
      </c>
      <c r="D654" s="2414" t="s">
        <v>8687</v>
      </c>
    </row>
    <row r="655" spans="1:4" ht="12.75" customHeight="1">
      <c r="A655" s="2410" t="str">
        <f t="shared" si="11"/>
        <v>zwischen 15.11 u. 15.2</v>
      </c>
      <c r="B655" s="2410" t="s">
        <v>1946</v>
      </c>
      <c r="C655" s="2410" t="s">
        <v>5501</v>
      </c>
      <c r="D655" s="2414" t="s">
        <v>8688</v>
      </c>
    </row>
    <row r="656" spans="1:4" ht="12.75" customHeight="1">
      <c r="A656" s="2410" t="str">
        <f t="shared" si="11"/>
        <v>nach 15.2</v>
      </c>
      <c r="B656" s="2410" t="s">
        <v>1947</v>
      </c>
      <c r="C656" s="2410" t="s">
        <v>3853</v>
      </c>
      <c r="D656" s="2414" t="s">
        <v>8689</v>
      </c>
    </row>
    <row r="657" spans="1:4" ht="12.75" customHeight="1">
      <c r="A657" s="2410" t="str">
        <f t="shared" si="11"/>
        <v xml:space="preserve"> Fläche</v>
      </c>
      <c r="B657" s="2410" t="s">
        <v>1948</v>
      </c>
      <c r="C657" s="2410" t="s">
        <v>1697</v>
      </c>
      <c r="D657" s="2414" t="s">
        <v>1824</v>
      </c>
    </row>
    <row r="658" spans="1:4" ht="12.75" customHeight="1">
      <c r="A658" s="2410" t="str">
        <f t="shared" si="11"/>
        <v>x   Index</v>
      </c>
      <c r="B658" s="2410" t="s">
        <v>1949</v>
      </c>
      <c r="C658" s="2410" t="s">
        <v>6650</v>
      </c>
      <c r="D658" s="2414" t="s">
        <v>1185</v>
      </c>
    </row>
    <row r="659" spans="1:4" ht="12.75" customHeight="1">
      <c r="A659" s="2410" t="str">
        <f t="shared" si="11"/>
        <v xml:space="preserve"> = Total</v>
      </c>
      <c r="B659" s="2410" t="s">
        <v>1950</v>
      </c>
      <c r="C659" s="2410" t="s">
        <v>1950</v>
      </c>
      <c r="D659" s="2414" t="s">
        <v>8690</v>
      </c>
    </row>
    <row r="660" spans="1:4" ht="12.75" customHeight="1">
      <c r="A660" s="2410" t="str">
        <f t="shared" si="11"/>
        <v>Winterkulturen</v>
      </c>
      <c r="B660" s="2410" t="s">
        <v>1951</v>
      </c>
      <c r="C660" s="2410" t="s">
        <v>7353</v>
      </c>
      <c r="D660" s="2414" t="s">
        <v>1186</v>
      </c>
    </row>
    <row r="661" spans="1:4" ht="12.75" customHeight="1">
      <c r="A661" s="2410" t="str">
        <f t="shared" si="11"/>
        <v>davon ha pfluglos1)</v>
      </c>
      <c r="B661" s="2410" t="s">
        <v>1952</v>
      </c>
      <c r="C661" s="2410" t="s">
        <v>5807</v>
      </c>
      <c r="D661" s="2414" t="s">
        <v>2417</v>
      </c>
    </row>
    <row r="662" spans="1:4" ht="12.75" customHeight="1">
      <c r="A662" s="2410" t="str">
        <f t="shared" si="11"/>
        <v>Roggen</v>
      </c>
      <c r="B662" s="2410" t="s">
        <v>1168</v>
      </c>
      <c r="C662" s="2410" t="s">
        <v>172</v>
      </c>
      <c r="D662" s="2414" t="s">
        <v>831</v>
      </c>
    </row>
    <row r="663" spans="1:4" ht="12.75" customHeight="1">
      <c r="A663" s="2410" t="str">
        <f t="shared" si="11"/>
        <v>Raps</v>
      </c>
      <c r="B663" s="2410" t="s">
        <v>4798</v>
      </c>
      <c r="C663" s="2410" t="s">
        <v>2317</v>
      </c>
      <c r="D663" s="2414" t="s">
        <v>2317</v>
      </c>
    </row>
    <row r="664" spans="1:4" ht="12.75" customHeight="1">
      <c r="A664" s="2410" t="str">
        <f t="shared" si="11"/>
        <v>Winteremmer, -einkorn</v>
      </c>
      <c r="B664" s="2410" t="s">
        <v>11528</v>
      </c>
      <c r="C664" s="2410" t="s">
        <v>6962</v>
      </c>
      <c r="D664" s="2414" t="s">
        <v>2418</v>
      </c>
    </row>
    <row r="665" spans="1:4" ht="12.75" customHeight="1">
      <c r="A665" s="2410" t="str">
        <f t="shared" si="11"/>
        <v>Winterhafer</v>
      </c>
      <c r="B665" s="2410" t="s">
        <v>6666</v>
      </c>
      <c r="C665" s="2410" t="s">
        <v>5808</v>
      </c>
      <c r="D665" s="2414" t="s">
        <v>399</v>
      </c>
    </row>
    <row r="666" spans="1:4" ht="12.75" customHeight="1">
      <c r="A666" s="2410" t="str">
        <f t="shared" si="11"/>
        <v>Wintererbsen</v>
      </c>
      <c r="B666" s="2410" t="s">
        <v>4389</v>
      </c>
      <c r="C666" s="2410" t="s">
        <v>5809</v>
      </c>
      <c r="D666" s="2414" t="s">
        <v>8691</v>
      </c>
    </row>
    <row r="667" spans="1:4" ht="12.75" customHeight="1">
      <c r="A667" s="2410" t="str">
        <f t="shared" si="11"/>
        <v>Wintergemüse, Vorfrüchte vor Sommerkulturen</v>
      </c>
      <c r="B667" s="2410" t="s">
        <v>11529</v>
      </c>
      <c r="C667" s="2410" t="s">
        <v>4912</v>
      </c>
      <c r="D667" s="2414" t="s">
        <v>11617</v>
      </c>
    </row>
    <row r="668" spans="1:4" ht="12.75" customHeight="1">
      <c r="A668" s="2410" t="str">
        <f t="shared" si="11"/>
        <v xml:space="preserve">Tabelle "Sommerkulturen" ausfüllen, aktualisieren </v>
      </c>
      <c r="B668" s="2410" t="s">
        <v>11618</v>
      </c>
      <c r="C668" s="2410" t="s">
        <v>11619</v>
      </c>
      <c r="D668" s="2414" t="s">
        <v>11620</v>
      </c>
    </row>
    <row r="669" spans="1:4" ht="12.75" customHeight="1">
      <c r="A669" s="2410" t="str">
        <f t="shared" si="11"/>
        <v>Kunstwiesenansaat im Frühjahr</v>
      </c>
      <c r="B669" s="2410" t="s">
        <v>77</v>
      </c>
      <c r="C669" s="2410" t="s">
        <v>6891</v>
      </c>
      <c r="D669" s="2414" t="s">
        <v>8692</v>
      </c>
    </row>
    <row r="670" spans="1:4" ht="12.75" customHeight="1">
      <c r="A670" s="2410" t="str">
        <f t="shared" si="11"/>
        <v xml:space="preserve">Das nebenstehende Total der offenen Ackerfläche(OA) Winter </v>
      </c>
      <c r="B670" s="2410" t="s">
        <v>3586</v>
      </c>
      <c r="C670" s="2410" t="s">
        <v>6246</v>
      </c>
      <c r="D670" s="2414" t="s">
        <v>8693</v>
      </c>
    </row>
    <row r="671" spans="1:4" ht="12.75" customHeight="1">
      <c r="A671" s="2410" t="str">
        <f t="shared" si="11"/>
        <v>darf nicht grösser oder kleiner sein als :</v>
      </c>
      <c r="B671" s="2410" t="s">
        <v>3212</v>
      </c>
      <c r="C671" s="2410" t="s">
        <v>3235</v>
      </c>
      <c r="D671" s="2414" t="s">
        <v>5149</v>
      </c>
    </row>
    <row r="672" spans="1:4" ht="12.75" customHeight="1">
      <c r="A672" s="2410" t="str">
        <f t="shared" si="11"/>
        <v>Der Bodenschutzindex auf Ihrem Gesamtbetrieb ist</v>
      </c>
      <c r="B672" s="2410" t="s">
        <v>1160</v>
      </c>
      <c r="C672" s="2410" t="s">
        <v>3605</v>
      </c>
      <c r="D672" s="2414" t="s">
        <v>8694</v>
      </c>
    </row>
    <row r="673" spans="1:4" ht="12.75" customHeight="1">
      <c r="A673" s="2410" t="str">
        <f t="shared" si="11"/>
        <v>(inkl. KW-Ansaat im Frühjahr)</v>
      </c>
      <c r="B673" s="2410" t="s">
        <v>4616</v>
      </c>
      <c r="C673" s="2410" t="s">
        <v>3630</v>
      </c>
      <c r="D673" s="2414" t="s">
        <v>8695</v>
      </c>
    </row>
    <row r="674" spans="1:4" ht="12.75" customHeight="1">
      <c r="A674" s="2410" t="str">
        <f t="shared" si="11"/>
        <v>Feldkulturen (inkl. KW-Ansaat)</v>
      </c>
      <c r="B674" s="2410" t="s">
        <v>1159</v>
      </c>
      <c r="C674" s="2410" t="s">
        <v>3631</v>
      </c>
      <c r="D674" s="2414" t="s">
        <v>8696</v>
      </c>
    </row>
    <row r="675" spans="1:4" ht="12.75" customHeight="1">
      <c r="A675" s="2410" t="str">
        <f t="shared" si="11"/>
        <v>Gemüsekulturen (inkl. 1-jährige Erdbeeren &amp; Schnittblumen)</v>
      </c>
      <c r="B675" s="2410" t="s">
        <v>2949</v>
      </c>
      <c r="C675" s="2410" t="s">
        <v>1035</v>
      </c>
      <c r="D675" s="2414" t="s">
        <v>8697</v>
      </c>
    </row>
    <row r="676" spans="1:4" ht="12.75" customHeight="1">
      <c r="A676" s="2410" t="str">
        <f t="shared" si="11"/>
        <v>Verlangter Bodenschutzindex für Ihren Betrieb</v>
      </c>
      <c r="B676" s="2410" t="s">
        <v>2950</v>
      </c>
      <c r="C676" s="2410" t="s">
        <v>4354</v>
      </c>
      <c r="D676" s="2414" t="s">
        <v>8698</v>
      </c>
    </row>
    <row r="677" spans="1:4" ht="12.75" customHeight="1">
      <c r="A677" s="2410">
        <f t="shared" si="11"/>
        <v>0</v>
      </c>
      <c r="B677" s="2410"/>
      <c r="C677" s="2410"/>
      <c r="D677" s="2414"/>
    </row>
    <row r="678" spans="1:4" ht="12.75" customHeight="1">
      <c r="A678" s="2410" t="str">
        <f t="shared" si="11"/>
        <v>Suisse-Bilanz</v>
      </c>
      <c r="B678" s="2410" t="s">
        <v>4355</v>
      </c>
      <c r="C678" s="2410" t="s">
        <v>4355</v>
      </c>
      <c r="D678" s="2414" t="s">
        <v>8699</v>
      </c>
    </row>
    <row r="679" spans="1:4" ht="12.75" customHeight="1">
      <c r="A679" s="2410" t="str">
        <f t="shared" si="11"/>
        <v xml:space="preserve"> Version 1.19</v>
      </c>
      <c r="B679" s="2410" t="str">
        <f>" Version " &amp; Q!SuiBiNr</f>
        <v xml:space="preserve"> Version 1.19</v>
      </c>
      <c r="C679" s="2410" t="str">
        <f>" Edition " &amp; Q!SuiBiNr</f>
        <v xml:space="preserve"> Edition 1.19</v>
      </c>
      <c r="D679" s="2414" t="str">
        <f>"Edizione " &amp; Q!SuiBiNr</f>
        <v>Edizione 1.19</v>
      </c>
    </row>
    <row r="680" spans="1:4" ht="12.75" customHeight="1">
      <c r="A680" s="2410" t="str">
        <f t="shared" si="11"/>
        <v>Name:</v>
      </c>
      <c r="B680" s="2410" t="s">
        <v>5035</v>
      </c>
      <c r="C680" s="2410" t="s">
        <v>3580</v>
      </c>
      <c r="D680" s="2414" t="s">
        <v>8700</v>
      </c>
    </row>
    <row r="681" spans="1:4" ht="12.75" customHeight="1">
      <c r="A681" s="2410" t="str">
        <f t="shared" si="11"/>
        <v>Adresse:</v>
      </c>
      <c r="B681" s="2410" t="s">
        <v>910</v>
      </c>
      <c r="C681" s="2410" t="s">
        <v>3581</v>
      </c>
      <c r="D681" s="2414" t="s">
        <v>11621</v>
      </c>
    </row>
    <row r="682" spans="1:4" ht="12.75" customHeight="1">
      <c r="A682" s="2410" t="str">
        <f t="shared" si="11"/>
        <v>PLZ, Ort:</v>
      </c>
      <c r="B682" s="2410" t="s">
        <v>911</v>
      </c>
      <c r="C682" s="2410" t="s">
        <v>11521</v>
      </c>
      <c r="D682" s="2414" t="s">
        <v>11622</v>
      </c>
    </row>
    <row r="683" spans="1:4" ht="12.75" customHeight="1">
      <c r="A683" s="2410" t="str">
        <f t="shared" si="11"/>
        <v>Betriebsnr.:</v>
      </c>
      <c r="B683" s="2410" t="s">
        <v>912</v>
      </c>
      <c r="C683" s="2410" t="s">
        <v>3582</v>
      </c>
      <c r="D683" s="2414" t="s">
        <v>8484</v>
      </c>
    </row>
    <row r="684" spans="1:4" ht="12.75" customHeight="1">
      <c r="A684" s="2410" t="str">
        <f t="shared" si="11"/>
        <v>Telefon:</v>
      </c>
      <c r="B684" s="2410" t="s">
        <v>913</v>
      </c>
      <c r="C684" s="2410" t="s">
        <v>3583</v>
      </c>
      <c r="D684" s="2414" t="s">
        <v>2229</v>
      </c>
    </row>
    <row r="685" spans="1:4" ht="12.75" customHeight="1">
      <c r="A685" s="2410" t="str">
        <f t="shared" si="11"/>
        <v xml:space="preserve"> Höhe ü. M.:</v>
      </c>
      <c r="B685" s="2900" t="s">
        <v>11973</v>
      </c>
      <c r="C685" s="2410" t="s">
        <v>3602</v>
      </c>
      <c r="D685" s="2414" t="s">
        <v>2927</v>
      </c>
    </row>
    <row r="686" spans="1:4" ht="12.75" customHeight="1">
      <c r="A686" s="2410" t="str">
        <f t="shared" si="11"/>
        <v>Landw. Nutzfläche, ha :</v>
      </c>
      <c r="B686" s="2410" t="s">
        <v>914</v>
      </c>
      <c r="C686" s="2410" t="s">
        <v>6096</v>
      </c>
      <c r="D686" s="2414" t="s">
        <v>4889</v>
      </c>
    </row>
    <row r="687" spans="1:4" ht="12.75" customHeight="1">
      <c r="A687" s="2410" t="str">
        <f t="shared" si="11"/>
        <v>Offene Ackerfläche, ha:</v>
      </c>
      <c r="B687" s="2410" t="s">
        <v>4865</v>
      </c>
      <c r="C687" s="2410" t="s">
        <v>5629</v>
      </c>
      <c r="D687" s="2414" t="s">
        <v>8703</v>
      </c>
    </row>
    <row r="688" spans="1:4" ht="12.75" customHeight="1">
      <c r="A688" s="2410" t="str">
        <f t="shared" si="11"/>
        <v>Düngbare Fläche, ha:</v>
      </c>
      <c r="B688" s="2410" t="s">
        <v>3624</v>
      </c>
      <c r="C688" s="2410" t="s">
        <v>1163</v>
      </c>
      <c r="D688" s="2414" t="s">
        <v>8704</v>
      </c>
    </row>
    <row r="689" spans="1:6" ht="12.75" customHeight="1">
      <c r="A689" s="2410" t="str">
        <f t="shared" si="11"/>
        <v>Import-/Exportbilanz:</v>
      </c>
      <c r="B689" s="2641" t="s">
        <v>11795</v>
      </c>
      <c r="C689" s="2410" t="s">
        <v>5775</v>
      </c>
      <c r="D689" s="2642" t="s">
        <v>11796</v>
      </c>
    </row>
    <row r="690" spans="1:6" ht="12.75" customHeight="1">
      <c r="A690" s="2410" t="str">
        <f t="shared" si="11"/>
        <v>Lineare Korrektur:</v>
      </c>
      <c r="B690" s="2410" t="s">
        <v>5071</v>
      </c>
      <c r="C690" s="2410" t="s">
        <v>5181</v>
      </c>
      <c r="D690" s="2414" t="s">
        <v>8705</v>
      </c>
    </row>
    <row r="691" spans="1:6" ht="12.75" customHeight="1">
      <c r="A691" s="2410" t="str">
        <f t="shared" si="11"/>
        <v>Spezialkulturenformulare:</v>
      </c>
      <c r="B691" s="2410" t="s">
        <v>754</v>
      </c>
      <c r="C691" s="2410" t="s">
        <v>5182</v>
      </c>
      <c r="D691" s="2414" t="s">
        <v>8706</v>
      </c>
    </row>
    <row r="692" spans="1:6" ht="12.75" customHeight="1">
      <c r="A692" s="2410" t="str">
        <f t="shared" si="11"/>
        <v>Düngungsplan:</v>
      </c>
      <c r="B692" s="2410" t="s">
        <v>755</v>
      </c>
      <c r="C692" s="2410" t="s">
        <v>1164</v>
      </c>
      <c r="D692" s="2414" t="s">
        <v>8707</v>
      </c>
    </row>
    <row r="693" spans="1:6" ht="12.75" customHeight="1">
      <c r="A693" s="2410" t="str">
        <f t="shared" si="11"/>
        <v>Datum:</v>
      </c>
      <c r="B693" s="2410" t="s">
        <v>756</v>
      </c>
      <c r="C693" s="2410" t="s">
        <v>3584</v>
      </c>
      <c r="D693" s="2414" t="s">
        <v>2751</v>
      </c>
    </row>
    <row r="694" spans="1:6" ht="12.75" customHeight="1">
      <c r="A694" s="2410" t="str">
        <f t="shared" si="11"/>
        <v>Formular A: Grundfutterverzehr und verfügbare Nährstoffe</v>
      </c>
      <c r="B694" s="2410" t="s">
        <v>5482</v>
      </c>
      <c r="C694" s="2410" t="s">
        <v>3129</v>
      </c>
      <c r="D694" s="2414" t="s">
        <v>8708</v>
      </c>
    </row>
    <row r="695" spans="1:6" ht="12.75" customHeight="1">
      <c r="A695" s="2410" t="str">
        <f t="shared" si="11"/>
        <v>Zusatzangaben für Milchkühe:</v>
      </c>
      <c r="B695" s="2410" t="s">
        <v>5483</v>
      </c>
      <c r="C695" s="2410" t="s">
        <v>2644</v>
      </c>
      <c r="D695" s="2414" t="s">
        <v>7435</v>
      </c>
    </row>
    <row r="696" spans="1:6" ht="12.75" customHeight="1">
      <c r="A696" s="2410">
        <f t="shared" si="11"/>
        <v>0</v>
      </c>
      <c r="B696" s="2410"/>
      <c r="C696" s="2410"/>
      <c r="D696" s="2414"/>
    </row>
    <row r="697" spans="1:6" ht="12.75" customHeight="1">
      <c r="A697" s="2410" t="str">
        <f t="shared" si="11"/>
        <v>Total Kraftfutterverbrauch für Milchkühe auf Ganzjahresbetrieb</v>
      </c>
      <c r="B697" s="2410" t="s">
        <v>7334</v>
      </c>
      <c r="C697" s="2410" t="s">
        <v>484</v>
      </c>
      <c r="D697" s="2414" t="s">
        <v>8709</v>
      </c>
    </row>
    <row r="698" spans="1:6">
      <c r="A698" s="2410" t="str">
        <f t="shared" si="11"/>
        <v>Alle Milchkühe im Laufstall?</v>
      </c>
      <c r="B698" s="2410" t="s">
        <v>7705</v>
      </c>
      <c r="C698" s="2410" t="s">
        <v>8258</v>
      </c>
      <c r="D698" s="2414" t="s">
        <v>8710</v>
      </c>
    </row>
    <row r="699" spans="1:6" ht="12.75" customHeight="1">
      <c r="A699" s="2410" t="str">
        <f t="shared" si="11"/>
        <v>dt / Jahr</v>
      </c>
      <c r="B699" s="2410" t="s">
        <v>11623</v>
      </c>
      <c r="C699" s="2410" t="s">
        <v>11624</v>
      </c>
      <c r="D699" s="2414" t="s">
        <v>11625</v>
      </c>
    </row>
    <row r="700" spans="1:6" ht="12.75" customHeight="1">
      <c r="A700" s="2410" t="str">
        <f t="shared" si="11"/>
        <v>entspricht</v>
      </c>
      <c r="B700" s="2410" t="s">
        <v>4177</v>
      </c>
      <c r="C700" s="2410" t="s">
        <v>4178</v>
      </c>
      <c r="D700" s="2414" t="s">
        <v>7436</v>
      </c>
    </row>
    <row r="701" spans="1:6" ht="12.75" customHeight="1">
      <c r="A701" s="2410" t="str">
        <f t="shared" si="11"/>
        <v>kg / Tier / Jahr</v>
      </c>
      <c r="B701" s="2410" t="s">
        <v>11626</v>
      </c>
      <c r="C701" s="2412" t="s">
        <v>11627</v>
      </c>
      <c r="D701" s="2414" t="s">
        <v>11628</v>
      </c>
    </row>
    <row r="702" spans="1:6">
      <c r="A702" s="2410" t="str">
        <f t="shared" si="11"/>
        <v>Alles Jungvieh im Laufstall?</v>
      </c>
      <c r="B702" s="2410" t="s">
        <v>7785</v>
      </c>
      <c r="C702" s="2410" t="s">
        <v>8259</v>
      </c>
      <c r="D702" s="2414" t="s">
        <v>8713</v>
      </c>
    </row>
    <row r="703" spans="1:6">
      <c r="A703" s="2410" t="str">
        <f t="shared" si="11"/>
        <v>Faktor GF-Verzehr quadratisch</v>
      </c>
      <c r="B703" s="2410" t="s">
        <v>7708</v>
      </c>
      <c r="C703" s="2410" t="s">
        <v>11986</v>
      </c>
      <c r="D703" s="2414" t="s">
        <v>12000</v>
      </c>
      <c r="F703" s="2413" t="s">
        <v>1503</v>
      </c>
    </row>
    <row r="704" spans="1:6" ht="12.75" customHeight="1">
      <c r="A704" s="2410" t="str">
        <f t="shared" si="11"/>
        <v>Rindviehmast, über 160-tägig</v>
      </c>
      <c r="B704" s="2410" t="s">
        <v>7719</v>
      </c>
      <c r="C704" s="2410" t="s">
        <v>8260</v>
      </c>
      <c r="D704" s="2414" t="s">
        <v>8714</v>
      </c>
    </row>
    <row r="705" spans="1:6">
      <c r="A705" s="2410" t="str">
        <f t="shared" si="11"/>
        <v>TZW in g</v>
      </c>
      <c r="B705" s="2410" t="s">
        <v>7706</v>
      </c>
      <c r="C705" s="2410" t="s">
        <v>8261</v>
      </c>
      <c r="D705" s="2414" t="s">
        <v>8715</v>
      </c>
    </row>
    <row r="706" spans="1:6">
      <c r="A706" s="2410" t="str">
        <f t="shared" si="11"/>
        <v>Ausstall-LG in kg</v>
      </c>
      <c r="B706" s="2410" t="s">
        <v>7707</v>
      </c>
      <c r="C706" s="2410" t="s">
        <v>8262</v>
      </c>
      <c r="D706" s="2414" t="s">
        <v>8716</v>
      </c>
    </row>
    <row r="707" spans="1:6">
      <c r="A707" s="2410" t="str">
        <f t="shared" si="11"/>
        <v>Betriebsspezifisch</v>
      </c>
      <c r="B707" s="2410" t="s">
        <v>7723</v>
      </c>
      <c r="C707" s="2410" t="s">
        <v>11987</v>
      </c>
      <c r="D707" s="2414" t="s">
        <v>8717</v>
      </c>
      <c r="F707" s="2413" t="s">
        <v>1503</v>
      </c>
    </row>
    <row r="708" spans="1:6">
      <c r="A708" s="2410" t="str">
        <f t="shared" si="11"/>
        <v>Standard</v>
      </c>
      <c r="B708" s="2410" t="s">
        <v>7733</v>
      </c>
      <c r="C708" s="2410" t="s">
        <v>7733</v>
      </c>
      <c r="D708" s="2414" t="s">
        <v>7733</v>
      </c>
      <c r="F708" s="2413" t="s">
        <v>1503</v>
      </c>
    </row>
    <row r="709" spans="1:6">
      <c r="A709" s="2410" t="str">
        <f t="shared" si="11"/>
        <v>Min</v>
      </c>
      <c r="B709" s="2410" t="s">
        <v>7731</v>
      </c>
      <c r="C709" s="2410" t="s">
        <v>11988</v>
      </c>
      <c r="D709" s="2414" t="s">
        <v>7731</v>
      </c>
      <c r="F709" s="2413" t="s">
        <v>1503</v>
      </c>
    </row>
    <row r="710" spans="1:6">
      <c r="A710" s="2410" t="str">
        <f t="shared" si="11"/>
        <v>Max</v>
      </c>
      <c r="B710" s="2410" t="s">
        <v>7732</v>
      </c>
      <c r="C710" s="2410" t="s">
        <v>11972</v>
      </c>
      <c r="D710" s="2414" t="s">
        <v>7732</v>
      </c>
      <c r="F710" s="2413" t="s">
        <v>1503</v>
      </c>
    </row>
    <row r="711" spans="1:6">
      <c r="A711" s="2410" t="str">
        <f t="shared" si="11"/>
        <v>Betriebsspezifisch innerhalb MinMax</v>
      </c>
      <c r="B711" s="2410" t="s">
        <v>7728</v>
      </c>
      <c r="C711" s="2410" t="s">
        <v>11989</v>
      </c>
      <c r="D711" s="2414" t="s">
        <v>8718</v>
      </c>
      <c r="F711" s="2413" t="s">
        <v>1503</v>
      </c>
    </row>
    <row r="712" spans="1:6">
      <c r="A712" s="2410" t="str">
        <f t="shared" si="11"/>
        <v>Korrektur Zuwachs</v>
      </c>
      <c r="B712" s="2410" t="s">
        <v>7721</v>
      </c>
      <c r="C712" s="2410" t="s">
        <v>11990</v>
      </c>
      <c r="D712" s="2414" t="s">
        <v>8719</v>
      </c>
      <c r="F712" s="2413" t="s">
        <v>1503</v>
      </c>
    </row>
    <row r="713" spans="1:6">
      <c r="A713" s="2410" t="str">
        <f t="shared" si="11"/>
        <v>Korrektur Ausstall-LG</v>
      </c>
      <c r="B713" s="2410" t="s">
        <v>7722</v>
      </c>
      <c r="C713" s="2410" t="s">
        <v>11991</v>
      </c>
      <c r="D713" s="2414" t="s">
        <v>8720</v>
      </c>
      <c r="F713" s="2413" t="s">
        <v>1503</v>
      </c>
    </row>
    <row r="714" spans="1:6">
      <c r="A714" s="2410" t="str">
        <f t="shared" si="11"/>
        <v>Grundfutterverzehr</v>
      </c>
      <c r="B714" s="2410" t="s">
        <v>3807</v>
      </c>
      <c r="C714" s="2410" t="s">
        <v>11992</v>
      </c>
      <c r="D714" s="2414" t="s">
        <v>8721</v>
      </c>
      <c r="F714" s="2413" t="s">
        <v>1503</v>
      </c>
    </row>
    <row r="715" spans="1:6">
      <c r="A715" s="2410" t="str">
        <f t="shared" si="11"/>
        <v>in dt TS pro Jahr pro Platz</v>
      </c>
      <c r="B715" s="2410" t="s">
        <v>7730</v>
      </c>
      <c r="C715" s="2410" t="s">
        <v>11993</v>
      </c>
      <c r="D715" s="2414" t="s">
        <v>11629</v>
      </c>
      <c r="F715" s="2413" t="s">
        <v>1503</v>
      </c>
    </row>
    <row r="716" spans="1:6">
      <c r="A716" s="2410" t="str">
        <f t="shared" si="11"/>
        <v>Nährstoffanfall in kg pro Platz</v>
      </c>
      <c r="B716" s="2410" t="s">
        <v>7729</v>
      </c>
      <c r="C716" s="2410" t="s">
        <v>11994</v>
      </c>
      <c r="D716" s="2414" t="s">
        <v>11630</v>
      </c>
      <c r="F716" s="2413" t="s">
        <v>1503</v>
      </c>
    </row>
    <row r="717" spans="1:6">
      <c r="A717" s="2410" t="str">
        <f t="shared" si="11"/>
        <v>Rindviehmast über 160-tägig, Standard</v>
      </c>
      <c r="B717" s="2410" t="s">
        <v>7726</v>
      </c>
      <c r="C717" s="2410" t="s">
        <v>11995</v>
      </c>
      <c r="D717" s="2414" t="s">
        <v>11143</v>
      </c>
      <c r="F717" s="2413" t="s">
        <v>1503</v>
      </c>
    </row>
    <row r="718" spans="1:6">
      <c r="A718" s="2410" t="str">
        <f t="shared" si="11"/>
        <v>Korr. Zuwachs, je 100 g pro Tag mehr als 1400 g pro Tag</v>
      </c>
      <c r="B718" s="2410" t="s">
        <v>7727</v>
      </c>
      <c r="C718" s="2410" t="s">
        <v>11996</v>
      </c>
      <c r="D718" s="2414" t="s">
        <v>11631</v>
      </c>
      <c r="F718" s="2413" t="s">
        <v>1503</v>
      </c>
    </row>
    <row r="719" spans="1:6">
      <c r="A719" s="2410" t="str">
        <f t="shared" si="11"/>
        <v>Korrektur Ausstall-LG, je 20 kg mehr als 530 kg LG</v>
      </c>
      <c r="B719" s="2410" t="s">
        <v>7725</v>
      </c>
      <c r="C719" s="2410" t="s">
        <v>11997</v>
      </c>
      <c r="D719" s="2414" t="s">
        <v>8722</v>
      </c>
      <c r="F719" s="2413" t="s">
        <v>1503</v>
      </c>
    </row>
    <row r="720" spans="1:6">
      <c r="A720" s="2410" t="str">
        <f t="shared" si="11"/>
        <v>Korrigiert</v>
      </c>
      <c r="B720" s="2410" t="s">
        <v>7724</v>
      </c>
      <c r="C720" s="2410" t="s">
        <v>11998</v>
      </c>
      <c r="D720" s="2414" t="s">
        <v>7426</v>
      </c>
      <c r="F720" s="2413" t="s">
        <v>1503</v>
      </c>
    </row>
    <row r="721" spans="1:4" ht="12.75" customHeight="1">
      <c r="A721" s="2410">
        <f t="shared" si="11"/>
        <v>0</v>
      </c>
      <c r="B721" s="2410"/>
      <c r="C721" s="2410"/>
      <c r="D721" s="2414"/>
    </row>
    <row r="722" spans="1:4" ht="12.75" customHeight="1">
      <c r="A722" s="2410" t="str">
        <f t="shared" si="11"/>
        <v>ja</v>
      </c>
      <c r="B722" s="2410" t="s">
        <v>4356</v>
      </c>
      <c r="C722" s="2410" t="s">
        <v>5639</v>
      </c>
      <c r="D722" s="2414" t="s">
        <v>1741</v>
      </c>
    </row>
    <row r="723" spans="1:4" ht="12.75" customHeight="1">
      <c r="A723" s="2410" t="str">
        <f t="shared" si="11"/>
        <v>nein</v>
      </c>
      <c r="B723" s="2410" t="s">
        <v>3274</v>
      </c>
      <c r="C723" s="2410" t="s">
        <v>5640</v>
      </c>
      <c r="D723" s="2414" t="s">
        <v>1744</v>
      </c>
    </row>
    <row r="724" spans="1:4" ht="12.75" customHeight="1">
      <c r="A724" s="2410" t="str">
        <f t="shared" si="11"/>
        <v>Tierart bzw. Tierkategorie</v>
      </c>
      <c r="B724" s="2410" t="s">
        <v>6309</v>
      </c>
      <c r="C724" s="2410" t="s">
        <v>4196</v>
      </c>
      <c r="D724" s="2414" t="s">
        <v>8557</v>
      </c>
    </row>
    <row r="725" spans="1:4" ht="12.75" customHeight="1">
      <c r="A725" s="2410" t="str">
        <f t="shared" si="11"/>
        <v>Einheit</v>
      </c>
      <c r="B725" s="2410" t="s">
        <v>6392</v>
      </c>
      <c r="C725" s="2410" t="s">
        <v>6215</v>
      </c>
      <c r="D725" s="2414" t="s">
        <v>1418</v>
      </c>
    </row>
    <row r="726" spans="1:4" ht="12.75" customHeight="1">
      <c r="A726" s="2410" t="str">
        <f t="shared" si="11"/>
        <v>Anzahl</v>
      </c>
      <c r="B726" s="2410" t="s">
        <v>7044</v>
      </c>
      <c r="C726" s="2410" t="s">
        <v>4197</v>
      </c>
      <c r="D726" s="2414" t="s">
        <v>3773</v>
      </c>
    </row>
    <row r="727" spans="1:4" ht="12.75" customHeight="1">
      <c r="A727" s="2410" t="str">
        <f t="shared" si="11"/>
        <v>Ein-</v>
      </c>
      <c r="B727" s="2410" t="s">
        <v>6983</v>
      </c>
      <c r="C727" s="2410" t="s">
        <v>4198</v>
      </c>
      <c r="D727" s="2414" t="s">
        <v>1418</v>
      </c>
    </row>
    <row r="728" spans="1:4" ht="12.75" customHeight="1">
      <c r="A728" s="2410" t="str">
        <f t="shared" si="11"/>
        <v>heiten</v>
      </c>
      <c r="B728" s="2410" t="s">
        <v>4334</v>
      </c>
      <c r="C728" s="2410"/>
      <c r="D728" s="2414"/>
    </row>
    <row r="729" spans="1:4" ht="12.75" customHeight="1">
      <c r="A729" s="2410" t="str">
        <f t="shared" si="11"/>
        <v>Abzug,</v>
      </c>
      <c r="B729" s="2410" t="s">
        <v>3806</v>
      </c>
      <c r="C729" s="2410" t="s">
        <v>4199</v>
      </c>
      <c r="D729" s="2414" t="s">
        <v>7425</v>
      </c>
    </row>
    <row r="730" spans="1:4" ht="12.75" customHeight="1">
      <c r="A730" s="2410" t="str">
        <f t="shared" ref="A730:A793" si="12">IF($A$2=1,B730,IF($A$2=2,C730,IF($A$2=3,IF(D730="",C730,D730),"")))</f>
        <v>Zu-</v>
      </c>
      <c r="B730" s="2410" t="s">
        <v>6310</v>
      </c>
      <c r="C730" s="2410" t="s">
        <v>358</v>
      </c>
      <c r="D730" s="2414" t="s">
        <v>8723</v>
      </c>
    </row>
    <row r="731" spans="1:4" ht="12.75" customHeight="1">
      <c r="A731" s="2410" t="str">
        <f t="shared" si="12"/>
        <v>schlag</v>
      </c>
      <c r="B731" s="2410" t="s">
        <v>7027</v>
      </c>
      <c r="C731" s="2410"/>
      <c r="D731" s="2414" t="s">
        <v>4523</v>
      </c>
    </row>
    <row r="732" spans="1:4" ht="12.75" customHeight="1">
      <c r="A732" s="2410" t="str">
        <f t="shared" si="12"/>
        <v>Anzahl</v>
      </c>
      <c r="B732" s="2410" t="s">
        <v>7044</v>
      </c>
      <c r="C732" s="2410" t="s">
        <v>4197</v>
      </c>
      <c r="D732" s="2414" t="s">
        <v>3773</v>
      </c>
    </row>
    <row r="733" spans="1:4" ht="12.75" customHeight="1">
      <c r="A733" s="2410" t="str">
        <f t="shared" si="12"/>
        <v>korri-</v>
      </c>
      <c r="B733" s="2410" t="s">
        <v>1342</v>
      </c>
      <c r="C733" s="2410" t="s">
        <v>359</v>
      </c>
      <c r="D733" s="2414" t="s">
        <v>1613</v>
      </c>
    </row>
    <row r="734" spans="1:4" ht="12.75" customHeight="1">
      <c r="A734" s="2410" t="str">
        <f t="shared" si="12"/>
        <v>giert</v>
      </c>
      <c r="B734" s="2410" t="s">
        <v>6498</v>
      </c>
      <c r="C734" s="2410"/>
      <c r="D734" s="2414" t="s">
        <v>1614</v>
      </c>
    </row>
    <row r="735" spans="1:4" ht="12.75" customHeight="1">
      <c r="A735" s="2410" t="str">
        <f t="shared" si="12"/>
        <v>Grundfutterverzehr</v>
      </c>
      <c r="B735" s="2410" t="s">
        <v>3807</v>
      </c>
      <c r="C735" s="2410" t="s">
        <v>1142</v>
      </c>
      <c r="D735" s="2414" t="s">
        <v>8724</v>
      </c>
    </row>
    <row r="736" spans="1:4" ht="12.75" customHeight="1">
      <c r="A736" s="2410" t="str">
        <f t="shared" si="12"/>
        <v>kg TS</v>
      </c>
      <c r="B736" s="2410" t="s">
        <v>6311</v>
      </c>
      <c r="C736" s="2410" t="s">
        <v>360</v>
      </c>
      <c r="D736" s="2414" t="s">
        <v>7427</v>
      </c>
    </row>
    <row r="737" spans="1:4" ht="12.75" customHeight="1">
      <c r="A737" s="2410" t="str">
        <f t="shared" si="12"/>
        <v>je Tag</v>
      </c>
      <c r="B737" s="2410" t="s">
        <v>7028</v>
      </c>
      <c r="C737" s="2410" t="s">
        <v>4957</v>
      </c>
      <c r="D737" s="2414" t="s">
        <v>11632</v>
      </c>
    </row>
    <row r="738" spans="1:4" ht="12.75" customHeight="1">
      <c r="A738" s="2410" t="str">
        <f t="shared" si="12"/>
        <v>dt TS</v>
      </c>
      <c r="B738" s="2410" t="s">
        <v>2639</v>
      </c>
      <c r="C738" s="2410" t="s">
        <v>4958</v>
      </c>
      <c r="D738" s="2414" t="s">
        <v>5879</v>
      </c>
    </row>
    <row r="739" spans="1:4" ht="12.75" customHeight="1">
      <c r="A739" s="2410" t="str">
        <f t="shared" si="12"/>
        <v>je Jahr</v>
      </c>
      <c r="B739" s="2410" t="s">
        <v>6629</v>
      </c>
      <c r="C739" s="2410" t="s">
        <v>6533</v>
      </c>
      <c r="D739" s="2414" t="s">
        <v>11633</v>
      </c>
    </row>
    <row r="740" spans="1:4" ht="12.75" customHeight="1">
      <c r="A740" s="2410" t="str">
        <f t="shared" si="12"/>
        <v>dt TS</v>
      </c>
      <c r="B740" s="2410" t="s">
        <v>2639</v>
      </c>
      <c r="C740" s="2410" t="s">
        <v>4333</v>
      </c>
      <c r="D740" s="2414" t="s">
        <v>5879</v>
      </c>
    </row>
    <row r="741" spans="1:4" ht="12.75" customHeight="1">
      <c r="A741" s="2410" t="str">
        <f t="shared" si="12"/>
        <v>total</v>
      </c>
      <c r="B741" s="2410" t="s">
        <v>4333</v>
      </c>
      <c r="C741" s="2410" t="s">
        <v>6533</v>
      </c>
      <c r="D741" s="2414" t="s">
        <v>6340</v>
      </c>
    </row>
    <row r="742" spans="1:4" ht="12.75" customHeight="1">
      <c r="A742" s="2410" t="str">
        <f t="shared" si="12"/>
        <v>Nährstoffanfall je Einheit und Jahr</v>
      </c>
      <c r="B742" s="2410" t="s">
        <v>4278</v>
      </c>
      <c r="C742" s="2410" t="s">
        <v>4831</v>
      </c>
      <c r="D742" s="2414" t="s">
        <v>11634</v>
      </c>
    </row>
    <row r="743" spans="1:4" ht="12.75" customHeight="1">
      <c r="A743" s="2410" t="str">
        <f t="shared" si="12"/>
        <v>Nährstoffanfall je Jahr</v>
      </c>
      <c r="B743" s="2410" t="s">
        <v>4279</v>
      </c>
      <c r="C743" s="2410" t="s">
        <v>1536</v>
      </c>
      <c r="D743" s="2414" t="s">
        <v>11635</v>
      </c>
    </row>
    <row r="744" spans="1:4" ht="12.75" customHeight="1">
      <c r="A744" s="2410" t="str">
        <f t="shared" si="12"/>
        <v xml:space="preserve">Nges - </v>
      </c>
      <c r="B744" s="2410" t="s">
        <v>1587</v>
      </c>
      <c r="C744" s="2410" t="s">
        <v>1537</v>
      </c>
      <c r="D744" s="2414" t="s">
        <v>7430</v>
      </c>
    </row>
    <row r="745" spans="1:4" ht="12.75" customHeight="1">
      <c r="A745" s="2410" t="str">
        <f t="shared" si="12"/>
        <v>Anfall</v>
      </c>
      <c r="B745" s="2410" t="s">
        <v>6628</v>
      </c>
      <c r="C745" s="2410" t="s">
        <v>1538</v>
      </c>
      <c r="D745" s="2414" t="s">
        <v>1538</v>
      </c>
    </row>
    <row r="746" spans="1:4" ht="12.75" customHeight="1">
      <c r="A746" s="2410" t="str">
        <f t="shared" si="12"/>
        <v xml:space="preserve">im </v>
      </c>
      <c r="B746" s="2410" t="s">
        <v>7032</v>
      </c>
      <c r="C746" s="2410" t="s">
        <v>1539</v>
      </c>
      <c r="D746" s="2414" t="s">
        <v>8725</v>
      </c>
    </row>
    <row r="747" spans="1:4" ht="12.75" customHeight="1">
      <c r="A747" s="2410" t="str">
        <f t="shared" si="12"/>
        <v>Laufhof</v>
      </c>
      <c r="B747" s="2410" t="s">
        <v>4544</v>
      </c>
      <c r="C747" s="2410" t="s">
        <v>4599</v>
      </c>
      <c r="D747" s="2414" t="s">
        <v>8567</v>
      </c>
    </row>
    <row r="748" spans="1:4" ht="12.75" customHeight="1">
      <c r="A748" s="2410" t="str">
        <f t="shared" si="12"/>
        <v xml:space="preserve">Nges - </v>
      </c>
      <c r="B748" s="2410" t="s">
        <v>1587</v>
      </c>
      <c r="C748" s="2410" t="s">
        <v>1537</v>
      </c>
      <c r="D748" s="2414" t="s">
        <v>7430</v>
      </c>
    </row>
    <row r="749" spans="1:4" ht="12.75" customHeight="1">
      <c r="A749" s="2410" t="str">
        <f t="shared" si="12"/>
        <v>Anfall</v>
      </c>
      <c r="B749" s="2410" t="s">
        <v>6628</v>
      </c>
      <c r="C749" s="2410" t="s">
        <v>1538</v>
      </c>
      <c r="D749" s="2414" t="s">
        <v>1538</v>
      </c>
    </row>
    <row r="750" spans="1:4" ht="12.75" customHeight="1">
      <c r="A750" s="2410" t="str">
        <f t="shared" si="12"/>
        <v>auf der</v>
      </c>
      <c r="B750" s="2410" t="s">
        <v>7033</v>
      </c>
      <c r="C750" s="2410"/>
      <c r="D750" s="2414" t="s">
        <v>7431</v>
      </c>
    </row>
    <row r="751" spans="1:4" ht="12.75" customHeight="1">
      <c r="A751" s="2410" t="str">
        <f t="shared" si="12"/>
        <v>Weide</v>
      </c>
      <c r="B751" s="2410" t="s">
        <v>61</v>
      </c>
      <c r="C751" s="2410" t="s">
        <v>4600</v>
      </c>
      <c r="D751" s="2414" t="s">
        <v>2039</v>
      </c>
    </row>
    <row r="752" spans="1:4" ht="12.75" customHeight="1">
      <c r="A752" s="2410" t="str">
        <f t="shared" si="12"/>
        <v>Vollmist-Nges</v>
      </c>
      <c r="B752" s="2410" t="s">
        <v>545</v>
      </c>
      <c r="C752" s="2410" t="s">
        <v>4601</v>
      </c>
      <c r="D752" s="2414" t="s">
        <v>8726</v>
      </c>
    </row>
    <row r="753" spans="1:4" ht="12.75" customHeight="1">
      <c r="A753" s="2410" t="str">
        <f t="shared" si="12"/>
        <v>je Jahr</v>
      </c>
      <c r="B753" s="2410" t="s">
        <v>6629</v>
      </c>
      <c r="C753" s="2410" t="s">
        <v>4602</v>
      </c>
      <c r="D753" s="2414" t="s">
        <v>11633</v>
      </c>
    </row>
    <row r="754" spans="1:4" ht="12.75" customHeight="1">
      <c r="A754" s="2410" t="str">
        <f t="shared" si="12"/>
        <v>Typ</v>
      </c>
      <c r="B754" s="2410" t="s">
        <v>7380</v>
      </c>
      <c r="C754" s="2410" t="s">
        <v>3442</v>
      </c>
      <c r="D754" s="2414" t="s">
        <v>7432</v>
      </c>
    </row>
    <row r="755" spans="1:4" ht="12.75" customHeight="1">
      <c r="A755" s="2410" t="str">
        <f t="shared" si="12"/>
        <v>Nges</v>
      </c>
      <c r="B755" s="2410" t="s">
        <v>5419</v>
      </c>
      <c r="C755" s="2410" t="s">
        <v>1538</v>
      </c>
      <c r="D755" s="2414" t="s">
        <v>1538</v>
      </c>
    </row>
    <row r="756" spans="1:4" ht="12.75" customHeight="1">
      <c r="A756" s="2410" t="str">
        <f t="shared" si="12"/>
        <v>kg</v>
      </c>
      <c r="B756" s="2410" t="s">
        <v>5484</v>
      </c>
      <c r="C756" s="2410" t="s">
        <v>11636</v>
      </c>
      <c r="D756" s="2414" t="s">
        <v>11637</v>
      </c>
    </row>
    <row r="757" spans="1:4" ht="12.75" customHeight="1">
      <c r="A757" s="2410" t="str">
        <f t="shared" si="12"/>
        <v>Werte für Schweine und Geflügel bei NPr-Futtereinsatz ändern</v>
      </c>
      <c r="B757" s="2410" t="s">
        <v>258</v>
      </c>
      <c r="C757" s="2410" t="s">
        <v>2527</v>
      </c>
      <c r="D757" s="2414" t="s">
        <v>8727</v>
      </c>
    </row>
    <row r="758" spans="1:4" ht="12.75" customHeight="1">
      <c r="A758" s="2410" t="str">
        <f t="shared" si="12"/>
        <v>Werte für Schweine, Geflügel, Mastkälber und Kaninchen aus Im- / Exportbilanzen</v>
      </c>
      <c r="B758" s="3327" t="s">
        <v>12172</v>
      </c>
      <c r="C758" s="3327" t="s">
        <v>12170</v>
      </c>
      <c r="D758" s="3326" t="s">
        <v>12171</v>
      </c>
    </row>
    <row r="759" spans="1:4" ht="12.75" customHeight="1">
      <c r="A759" s="2410" t="str">
        <f t="shared" si="12"/>
        <v>Tabelle "Tierart" ausfüllen, aktualisieren</v>
      </c>
      <c r="B759" s="2410" t="s">
        <v>11638</v>
      </c>
      <c r="C759" s="2410" t="s">
        <v>11639</v>
      </c>
      <c r="D759" s="2414" t="s">
        <v>11640</v>
      </c>
    </row>
    <row r="760" spans="1:4" ht="12.75" customHeight="1">
      <c r="A760" s="2410" t="str">
        <f t="shared" si="12"/>
        <v xml:space="preserve">Grundfutterverzehr, Nährstoffanfall Betrieb (GFverz)     </v>
      </c>
      <c r="B760" s="2410" t="s">
        <v>11530</v>
      </c>
      <c r="C760" s="2410" t="s">
        <v>5571</v>
      </c>
      <c r="D760" s="2414" t="s">
        <v>8728</v>
      </c>
    </row>
    <row r="761" spans="1:4" ht="12.75" customHeight="1">
      <c r="A761" s="2410">
        <f t="shared" si="12"/>
        <v>0</v>
      </c>
      <c r="B761" s="2410"/>
      <c r="C761" s="2410" t="s">
        <v>5572</v>
      </c>
      <c r="D761" s="2414" t="s">
        <v>8729</v>
      </c>
    </row>
    <row r="762" spans="1:4" ht="12.75" customHeight="1">
      <c r="A762" s="2410" t="str">
        <f t="shared" si="12"/>
        <v>dt TS pro Jahr</v>
      </c>
      <c r="B762" s="2410" t="s">
        <v>7381</v>
      </c>
      <c r="C762" s="2410" t="s">
        <v>5573</v>
      </c>
      <c r="D762" s="2414" t="s">
        <v>11641</v>
      </c>
    </row>
    <row r="763" spans="1:4" ht="12.75" customHeight="1">
      <c r="A763" s="2410" t="str">
        <f t="shared" si="12"/>
        <v xml:space="preserve">Zwischenwert A1 </v>
      </c>
      <c r="B763" s="2410" t="s">
        <v>7382</v>
      </c>
      <c r="C763" s="2410" t="s">
        <v>5574</v>
      </c>
      <c r="D763" s="2414" t="s">
        <v>5770</v>
      </c>
    </row>
    <row r="764" spans="1:4" ht="12.75" customHeight="1">
      <c r="A764" s="2410" t="str">
        <f t="shared" si="12"/>
        <v>Abzug für die pro Jahr verfügbare Menge an nährstoffarmem Futter (dt GFnährstoffarm)</v>
      </c>
      <c r="B764" s="2410" t="s">
        <v>546</v>
      </c>
      <c r="C764" s="2410" t="s">
        <v>1976</v>
      </c>
      <c r="D764" s="2414" t="s">
        <v>8730</v>
      </c>
    </row>
    <row r="765" spans="1:4" ht="12.75" customHeight="1">
      <c r="A765" s="2410" t="str">
        <f t="shared" si="12"/>
        <v>betriebseigenes +</v>
      </c>
      <c r="B765" s="2410" t="s">
        <v>7384</v>
      </c>
      <c r="C765" s="2410" t="s">
        <v>3367</v>
      </c>
      <c r="D765" s="2414" t="s">
        <v>5771</v>
      </c>
    </row>
    <row r="766" spans="1:4" ht="12.75" customHeight="1">
      <c r="A766" s="2410" t="str">
        <f t="shared" si="12"/>
        <v xml:space="preserve"> Zufuhr </v>
      </c>
      <c r="B766" s="2410" t="s">
        <v>334</v>
      </c>
      <c r="C766" s="2410" t="s">
        <v>1763</v>
      </c>
      <c r="D766" s="2414" t="s">
        <v>8731</v>
      </c>
    </row>
    <row r="767" spans="1:4" ht="12.75" customHeight="1">
      <c r="A767" s="2410" t="str">
        <f t="shared" si="12"/>
        <v xml:space="preserve"> Wegfuhr</v>
      </c>
      <c r="B767" s="2410" t="s">
        <v>336</v>
      </c>
      <c r="C767" s="2410" t="s">
        <v>1764</v>
      </c>
      <c r="D767" s="2414" t="s">
        <v>8732</v>
      </c>
    </row>
    <row r="768" spans="1:4" ht="12.75" customHeight="1">
      <c r="A768" s="2410" t="str">
        <f t="shared" si="12"/>
        <v>Nges-Abzug bei Laufhof- und Weidehaltung:</v>
      </c>
      <c r="B768" s="2410" t="s">
        <v>2623</v>
      </c>
      <c r="C768" s="2410" t="s">
        <v>1765</v>
      </c>
      <c r="D768" s="2414" t="s">
        <v>8733</v>
      </c>
    </row>
    <row r="769" spans="1:4" ht="12.75" customHeight="1">
      <c r="A769" s="2410" t="str">
        <f t="shared" si="12"/>
        <v>A2: Nährstoffe aus der Tierhaltung</v>
      </c>
      <c r="B769" s="2410" t="s">
        <v>6281</v>
      </c>
      <c r="C769" s="2410" t="s">
        <v>6904</v>
      </c>
      <c r="D769" s="2414" t="s">
        <v>8734</v>
      </c>
    </row>
    <row r="770" spans="1:4" ht="12.75" customHeight="1">
      <c r="A770" s="2410" t="str">
        <f t="shared" si="12"/>
        <v>Nährstoffgehalt</v>
      </c>
      <c r="B770" s="2410" t="s">
        <v>1239</v>
      </c>
      <c r="C770" s="2410" t="s">
        <v>5020</v>
      </c>
      <c r="D770" s="2414" t="s">
        <v>2270</v>
      </c>
    </row>
    <row r="771" spans="1:4" ht="12.75" customHeight="1">
      <c r="A771" s="2410" t="str">
        <f t="shared" si="12"/>
        <v xml:space="preserve"> in kg je Einheit</v>
      </c>
      <c r="B771" s="2410" t="s">
        <v>2523</v>
      </c>
      <c r="C771" s="2410" t="s">
        <v>2749</v>
      </c>
      <c r="D771" s="2414" t="s">
        <v>11642</v>
      </c>
    </row>
    <row r="772" spans="1:4" ht="12.75" customHeight="1">
      <c r="A772" s="2410" t="str">
        <f t="shared" si="12"/>
        <v>Nährstoffanfall</v>
      </c>
      <c r="B772" s="2410" t="s">
        <v>2522</v>
      </c>
      <c r="C772" s="2410" t="s">
        <v>2822</v>
      </c>
      <c r="D772" s="2414" t="s">
        <v>8735</v>
      </c>
    </row>
    <row r="773" spans="1:4" ht="12.75" customHeight="1">
      <c r="A773" s="2410" t="str">
        <f t="shared" si="12"/>
        <v>je Jahr in kg</v>
      </c>
      <c r="B773" s="2410" t="s">
        <v>5417</v>
      </c>
      <c r="C773" s="2410" t="s">
        <v>3428</v>
      </c>
      <c r="D773" s="2414" t="s">
        <v>11643</v>
      </c>
    </row>
    <row r="774" spans="1:4" ht="12.75" customHeight="1">
      <c r="A774" s="2410" t="str">
        <f t="shared" si="12"/>
        <v>Menge</v>
      </c>
      <c r="B774" s="2410" t="s">
        <v>5418</v>
      </c>
      <c r="C774" s="2410" t="s">
        <v>3429</v>
      </c>
      <c r="D774" s="2414" t="s">
        <v>2271</v>
      </c>
    </row>
    <row r="775" spans="1:4" ht="12.75" customHeight="1">
      <c r="A775" s="2410" t="str">
        <f t="shared" si="12"/>
        <v>Einheit</v>
      </c>
      <c r="B775" s="2410" t="s">
        <v>6392</v>
      </c>
      <c r="C775" s="2410" t="s">
        <v>6215</v>
      </c>
      <c r="D775" s="2414" t="s">
        <v>1418</v>
      </c>
    </row>
    <row r="776" spans="1:4" ht="12.75" customHeight="1">
      <c r="A776" s="2410" t="str">
        <f t="shared" si="12"/>
        <v>Zufuhr von Hofdüngern gemäss HODUFLU:</v>
      </c>
      <c r="B776" s="2410" t="s">
        <v>4575</v>
      </c>
      <c r="C776" s="2410" t="s">
        <v>3939</v>
      </c>
      <c r="D776" s="2414" t="s">
        <v>11144</v>
      </c>
    </row>
    <row r="777" spans="1:4" ht="12.75" customHeight="1">
      <c r="A777" s="2410" t="str">
        <f t="shared" si="12"/>
        <v>Wegfuhr von Hofdüngern gemäss HODUFLU:</v>
      </c>
      <c r="B777" s="2410" t="s">
        <v>3133</v>
      </c>
      <c r="C777" s="2410" t="s">
        <v>3940</v>
      </c>
      <c r="D777" s="2414" t="s">
        <v>11145</v>
      </c>
    </row>
    <row r="778" spans="1:4" ht="12.75" customHeight="1">
      <c r="A778" s="2410" t="str">
        <f t="shared" si="12"/>
        <v>Mist:</v>
      </c>
      <c r="B778" s="2410" t="s">
        <v>7023</v>
      </c>
      <c r="C778" s="2410" t="s">
        <v>3307</v>
      </c>
      <c r="D778" s="2414" t="s">
        <v>8736</v>
      </c>
    </row>
    <row r="779" spans="1:4" ht="12.75" customHeight="1">
      <c r="A779" s="2410" t="str">
        <f t="shared" si="12"/>
        <v>Gülle:</v>
      </c>
      <c r="B779" s="2410" t="s">
        <v>4113</v>
      </c>
      <c r="C779" s="2410" t="s">
        <v>3308</v>
      </c>
      <c r="D779" s="2414" t="s">
        <v>8737</v>
      </c>
    </row>
    <row r="780" spans="1:4" ht="12.75" customHeight="1">
      <c r="A780" s="2410" t="str">
        <f t="shared" si="12"/>
        <v>A3: Zu- und Wegfuhren von Hofdüngern</v>
      </c>
      <c r="B780" s="2410" t="s">
        <v>1642</v>
      </c>
      <c r="C780" s="2410" t="s">
        <v>5286</v>
      </c>
      <c r="D780" s="2414" t="s">
        <v>8738</v>
      </c>
    </row>
    <row r="781" spans="1:4" ht="24" customHeight="1">
      <c r="A781" s="2410" t="str">
        <f t="shared" si="12"/>
        <v>Anteile Vollmist-Nges (V1+V2) / (A1+A3)</v>
      </c>
      <c r="B781" s="2410" t="s">
        <v>11644</v>
      </c>
      <c r="C781" s="2410" t="s">
        <v>11645</v>
      </c>
      <c r="D781" s="2414" t="s">
        <v>11646</v>
      </c>
    </row>
    <row r="782" spans="1:4" ht="12.75" customHeight="1">
      <c r="A782" s="2410" t="str">
        <f t="shared" si="12"/>
        <v>Formular B: Berechnung der Grundfutterproduktion auf der Futterfläche</v>
      </c>
      <c r="B782" s="2410" t="s">
        <v>3413</v>
      </c>
      <c r="C782" s="2410" t="s">
        <v>4383</v>
      </c>
      <c r="D782" s="2414" t="s">
        <v>8739</v>
      </c>
    </row>
    <row r="783" spans="1:4" ht="12.75" customHeight="1">
      <c r="A783" s="2410" t="str">
        <f t="shared" si="12"/>
        <v>dt TS</v>
      </c>
      <c r="B783" s="2410" t="s">
        <v>2639</v>
      </c>
      <c r="C783" s="2410" t="s">
        <v>6533</v>
      </c>
      <c r="D783" s="2414" t="s">
        <v>5879</v>
      </c>
    </row>
    <row r="784" spans="1:4" ht="12.75" customHeight="1">
      <c r="A784" s="2410" t="str">
        <f t="shared" si="12"/>
        <v>Grundfutterverzehr auf dem Betrieb (GFverz)</v>
      </c>
      <c r="B784" s="2410" t="s">
        <v>5227</v>
      </c>
      <c r="C784" s="2410" t="s">
        <v>6979</v>
      </c>
      <c r="D784" s="2414" t="s">
        <v>8740</v>
      </c>
    </row>
    <row r="785" spans="1:4" ht="12.75" customHeight="1">
      <c r="A785" s="2410" t="str">
        <f t="shared" si="12"/>
        <v>Zu- und Wegfuhr von Grundfutter und Grundfutterproduktion ausserhalb der Futterfläche (FF)</v>
      </c>
      <c r="B785" s="2410" t="s">
        <v>2910</v>
      </c>
      <c r="C785" s="2410" t="s">
        <v>185</v>
      </c>
      <c r="D785" s="2414" t="s">
        <v>8741</v>
      </c>
    </row>
    <row r="786" spans="1:4" ht="12.75" customHeight="1">
      <c r="A786" s="2410" t="str">
        <f t="shared" si="12"/>
        <v>Menge</v>
      </c>
      <c r="B786" s="2410" t="s">
        <v>5418</v>
      </c>
      <c r="C786" s="2410" t="s">
        <v>3429</v>
      </c>
      <c r="D786" s="2414" t="s">
        <v>2271</v>
      </c>
    </row>
    <row r="787" spans="1:4" ht="12.75" customHeight="1">
      <c r="A787" s="2410" t="str">
        <f t="shared" si="12"/>
        <v>dt FS</v>
      </c>
      <c r="B787" s="2410" t="s">
        <v>3485</v>
      </c>
      <c r="C787" s="2410" t="s">
        <v>188</v>
      </c>
      <c r="D787" s="2414" t="s">
        <v>8742</v>
      </c>
    </row>
    <row r="788" spans="1:4" ht="12.75" customHeight="1">
      <c r="A788" s="2410" t="str">
        <f t="shared" si="12"/>
        <v>TS</v>
      </c>
      <c r="B788" s="2410" t="s">
        <v>4261</v>
      </c>
      <c r="C788" s="2410" t="s">
        <v>189</v>
      </c>
      <c r="D788" s="2414" t="s">
        <v>8498</v>
      </c>
    </row>
    <row r="789" spans="1:4" ht="12.2" customHeight="1">
      <c r="A789" s="2410" t="str">
        <f t="shared" si="12"/>
        <v>Wegfuhr</v>
      </c>
      <c r="B789" s="2410" t="s">
        <v>2912</v>
      </c>
      <c r="C789" s="2410" t="s">
        <v>186</v>
      </c>
      <c r="D789" s="2414" t="s">
        <v>8743</v>
      </c>
    </row>
    <row r="790" spans="1:4" ht="12.75" customHeight="1">
      <c r="A790" s="2410" t="str">
        <f t="shared" si="12"/>
        <v>dt TS</v>
      </c>
      <c r="B790" s="2410" t="s">
        <v>2639</v>
      </c>
      <c r="C790" s="2410" t="s">
        <v>6533</v>
      </c>
      <c r="D790" s="2414" t="s">
        <v>5879</v>
      </c>
    </row>
    <row r="791" spans="1:4" ht="12.75" customHeight="1">
      <c r="A791" s="2410" t="str">
        <f t="shared" si="12"/>
        <v>Zufuhr</v>
      </c>
      <c r="B791" s="2410" t="s">
        <v>2913</v>
      </c>
      <c r="C791" s="2410" t="s">
        <v>187</v>
      </c>
      <c r="D791" s="2414" t="s">
        <v>8744</v>
      </c>
    </row>
    <row r="792" spans="1:4" ht="12.75" customHeight="1">
      <c r="A792" s="2410" t="str">
        <f t="shared" si="12"/>
        <v>GFprod</v>
      </c>
      <c r="B792" s="2410" t="s">
        <v>5228</v>
      </c>
      <c r="C792" s="2410" t="s">
        <v>190</v>
      </c>
      <c r="D792" s="2414" t="s">
        <v>8745</v>
      </c>
    </row>
    <row r="793" spans="1:4" ht="12.75" customHeight="1">
      <c r="A793" s="2410" t="str">
        <f t="shared" si="12"/>
        <v>ausserhalb</v>
      </c>
      <c r="B793" s="2410" t="s">
        <v>3484</v>
      </c>
      <c r="C793" s="2410"/>
      <c r="D793" s="2414" t="s">
        <v>8746</v>
      </c>
    </row>
    <row r="794" spans="1:4" ht="12.75" customHeight="1">
      <c r="A794" s="2410" t="str">
        <f t="shared" ref="A794:A839" si="13">IF($A$2=1,B794,IF($A$2=2,C794,IF($A$2=3,IF(D794="",C794,D794),"")))</f>
        <v>der FF</v>
      </c>
      <c r="B794" s="2410" t="s">
        <v>3486</v>
      </c>
      <c r="C794" s="2410"/>
      <c r="D794" s="2414" t="s">
        <v>8747</v>
      </c>
    </row>
    <row r="795" spans="1:4" ht="12.75" customHeight="1">
      <c r="A795" s="2410" t="str">
        <f t="shared" si="13"/>
        <v>Gras, Grassilage</v>
      </c>
      <c r="B795" s="2410" t="s">
        <v>5015</v>
      </c>
      <c r="C795" s="2410" t="s">
        <v>191</v>
      </c>
      <c r="D795" s="2414" t="s">
        <v>3744</v>
      </c>
    </row>
    <row r="796" spans="1:4" ht="12.75" customHeight="1">
      <c r="A796" s="2410" t="str">
        <f t="shared" si="13"/>
        <v>Dürrfutter</v>
      </c>
      <c r="B796" s="2410" t="s">
        <v>5017</v>
      </c>
      <c r="C796" s="2410" t="s">
        <v>2806</v>
      </c>
      <c r="D796" s="2414" t="s">
        <v>3745</v>
      </c>
    </row>
    <row r="797" spans="1:4" ht="12.75" customHeight="1">
      <c r="A797" s="2410" t="str">
        <f t="shared" si="13"/>
        <v>Dürrfutter, "nährstoffarm"</v>
      </c>
      <c r="B797" s="2410" t="s">
        <v>5018</v>
      </c>
      <c r="C797" s="2410" t="s">
        <v>1588</v>
      </c>
      <c r="D797" s="2414" t="s">
        <v>8748</v>
      </c>
    </row>
    <row r="798" spans="1:4" ht="12.75" customHeight="1">
      <c r="A798" s="2410" t="str">
        <f t="shared" si="13"/>
        <v>Silomais</v>
      </c>
      <c r="B798" s="2410" t="s">
        <v>1024</v>
      </c>
      <c r="C798" s="2410" t="s">
        <v>4565</v>
      </c>
      <c r="D798" s="2414" t="s">
        <v>11615</v>
      </c>
    </row>
    <row r="799" spans="1:4" ht="12.75" customHeight="1">
      <c r="A799" s="2410" t="str">
        <f t="shared" si="13"/>
        <v>Futterrüben</v>
      </c>
      <c r="B799" s="2410" t="s">
        <v>56</v>
      </c>
      <c r="C799" s="2410" t="s">
        <v>4566</v>
      </c>
      <c r="D799" s="2414" t="s">
        <v>5199</v>
      </c>
    </row>
    <row r="800" spans="1:4" ht="12.75" customHeight="1">
      <c r="A800" s="2410" t="str">
        <f t="shared" si="13"/>
        <v>Biertreber, getrocknet</v>
      </c>
      <c r="B800" s="2410" t="s">
        <v>1211</v>
      </c>
      <c r="C800" s="2410" t="s">
        <v>1212</v>
      </c>
      <c r="D800" s="2414" t="s">
        <v>8749</v>
      </c>
    </row>
    <row r="801" spans="1:4" ht="12.75" customHeight="1">
      <c r="A801" s="2410" t="str">
        <f t="shared" si="13"/>
        <v>Nebenprodukte Trocken- und Schälmüllerei</v>
      </c>
      <c r="B801" s="2410" t="s">
        <v>1213</v>
      </c>
      <c r="C801" s="2410" t="s">
        <v>7973</v>
      </c>
      <c r="D801" s="2414" t="s">
        <v>11647</v>
      </c>
    </row>
    <row r="802" spans="1:4" ht="12.75" customHeight="1">
      <c r="A802" s="2410" t="str">
        <f t="shared" si="13"/>
        <v>Zuckerrüben</v>
      </c>
      <c r="B802" s="2410" t="s">
        <v>4799</v>
      </c>
      <c r="C802" s="2410" t="s">
        <v>1786</v>
      </c>
      <c r="D802" s="2414" t="s">
        <v>8493</v>
      </c>
    </row>
    <row r="803" spans="1:4" ht="12.75" customHeight="1">
      <c r="A803" s="2410" t="str">
        <f t="shared" si="13"/>
        <v>Zuckerrübenschnitzel</v>
      </c>
      <c r="B803" s="2410" t="s">
        <v>3505</v>
      </c>
      <c r="C803" s="2410" t="s">
        <v>4567</v>
      </c>
      <c r="D803" s="2414" t="s">
        <v>1997</v>
      </c>
    </row>
    <row r="804" spans="1:4" ht="12.75" customHeight="1">
      <c r="A804" s="2410" t="str">
        <f t="shared" si="13"/>
        <v>Zuckerrübenblätter</v>
      </c>
      <c r="B804" s="2410" t="s">
        <v>760</v>
      </c>
      <c r="C804" s="2410" t="s">
        <v>1428</v>
      </c>
      <c r="D804" s="2414" t="s">
        <v>5794</v>
      </c>
    </row>
    <row r="805" spans="1:4" ht="12.75" customHeight="1">
      <c r="A805" s="2410" t="str">
        <f t="shared" si="13"/>
        <v>Kartoffeln</v>
      </c>
      <c r="B805" s="2410" t="s">
        <v>5700</v>
      </c>
      <c r="C805" s="2410" t="s">
        <v>1609</v>
      </c>
      <c r="D805" s="2414" t="s">
        <v>8667</v>
      </c>
    </row>
    <row r="806" spans="1:4" ht="12.75" customHeight="1">
      <c r="A806" s="2410" t="str">
        <f t="shared" si="13"/>
        <v>Zukauf von Stroh zur Verfütterung</v>
      </c>
      <c r="B806" s="2410" t="s">
        <v>5554</v>
      </c>
      <c r="C806" s="2410" t="s">
        <v>4675</v>
      </c>
      <c r="D806" s="2414" t="s">
        <v>8750</v>
      </c>
    </row>
    <row r="807" spans="1:4" ht="12.75" customHeight="1">
      <c r="A807" s="2410" t="str">
        <f t="shared" si="13"/>
        <v>dt TS)</v>
      </c>
      <c r="B807" s="2410" t="s">
        <v>3228</v>
      </c>
      <c r="C807" s="2410" t="s">
        <v>4676</v>
      </c>
      <c r="D807" s="2414" t="s">
        <v>1403</v>
      </c>
    </row>
    <row r="808" spans="1:4" ht="12.75" customHeight="1">
      <c r="A808" s="2410" t="str">
        <f t="shared" si="13"/>
        <v xml:space="preserve">Total Wegfuhr (davon  </v>
      </c>
      <c r="B808" s="2410" t="s">
        <v>6028</v>
      </c>
      <c r="C808" s="2410" t="s">
        <v>6605</v>
      </c>
      <c r="D808" s="2414" t="s">
        <v>8751</v>
      </c>
    </row>
    <row r="809" spans="1:4" ht="12.75" customHeight="1">
      <c r="A809" s="2410" t="str">
        <f t="shared" si="13"/>
        <v>Total Zufuhr    (davon</v>
      </c>
      <c r="B809" s="2410" t="s">
        <v>2715</v>
      </c>
      <c r="C809" s="2410" t="s">
        <v>2142</v>
      </c>
      <c r="D809" s="2414" t="s">
        <v>8752</v>
      </c>
    </row>
    <row r="810" spans="1:4" ht="12.75" customHeight="1">
      <c r="A810" s="2410" t="str">
        <f t="shared" si="13"/>
        <v>Total Produktion ausserhalb der Futterfläche (FF)</v>
      </c>
      <c r="B810" s="2410" t="s">
        <v>4023</v>
      </c>
      <c r="C810" s="2410" t="s">
        <v>4173</v>
      </c>
      <c r="D810" s="2414" t="s">
        <v>8753</v>
      </c>
    </row>
    <row r="811" spans="1:4" ht="12.75" customHeight="1">
      <c r="A811" s="2410" t="str">
        <f t="shared" si="13"/>
        <v>Total Netto-Grundfutterbedarf</v>
      </c>
      <c r="B811" s="2410" t="s">
        <v>6417</v>
      </c>
      <c r="C811" s="2410" t="s">
        <v>6759</v>
      </c>
      <c r="D811" s="2414" t="s">
        <v>8754</v>
      </c>
    </row>
    <row r="812" spans="1:4" ht="12.75" customHeight="1">
      <c r="A812" s="2410" t="str">
        <f t="shared" si="13"/>
        <v>Zuzüglich Lagerungs- und Krippenverluste, 0 - 5 % von Netto-Grundfutterbedarf</v>
      </c>
      <c r="B812" s="2781" t="s">
        <v>11869</v>
      </c>
      <c r="C812" s="2781" t="s">
        <v>11870</v>
      </c>
      <c r="D812" s="2780" t="s">
        <v>11871</v>
      </c>
    </row>
    <row r="813" spans="1:4" ht="12.75" customHeight="1">
      <c r="A813" s="2410" t="str">
        <f t="shared" si="13"/>
        <v>Fehlerbereich der Grundfutterbilanz: 0 - 5 %</v>
      </c>
      <c r="B813" s="2781" t="s">
        <v>11872</v>
      </c>
      <c r="C813" s="2781" t="s">
        <v>11873</v>
      </c>
      <c r="D813" s="2780" t="s">
        <v>11874</v>
      </c>
    </row>
    <row r="814" spans="1:4" ht="12.75" customHeight="1">
      <c r="A814" s="2410" t="str">
        <f t="shared" si="13"/>
        <v>Total auf der Futterfläche zu produzierendes Grundfutter (GFprod)</v>
      </c>
      <c r="B814" s="2410" t="s">
        <v>685</v>
      </c>
      <c r="C814" s="2410" t="s">
        <v>6760</v>
      </c>
      <c r="D814" s="2414" t="s">
        <v>8755</v>
      </c>
    </row>
    <row r="815" spans="1:4" ht="12.75" customHeight="1">
      <c r="A815" s="2410" t="str">
        <f t="shared" si="13"/>
        <v>Legende</v>
      </c>
      <c r="B815" s="2410" t="s">
        <v>2911</v>
      </c>
      <c r="C815" s="2410" t="s">
        <v>323</v>
      </c>
      <c r="D815" s="2414" t="s">
        <v>2293</v>
      </c>
    </row>
    <row r="816" spans="1:4" ht="12.75" customHeight="1">
      <c r="A816" s="2410" t="str">
        <f t="shared" si="13"/>
        <v>Nges-Anfall im Laufhof =</v>
      </c>
      <c r="B816" s="2410" t="s">
        <v>10980</v>
      </c>
      <c r="C816" s="2410" t="s">
        <v>11032</v>
      </c>
      <c r="D816" s="2414" t="s">
        <v>11014</v>
      </c>
    </row>
    <row r="817" spans="1:4" ht="12.75" customHeight="1">
      <c r="A817" s="2410">
        <f t="shared" si="13"/>
        <v>0</v>
      </c>
      <c r="B817" s="2410"/>
      <c r="C817" s="2410" t="s">
        <v>10999</v>
      </c>
      <c r="D817" s="2414"/>
    </row>
    <row r="818" spans="1:4" ht="12.75" customHeight="1">
      <c r="A818" s="2410" t="str">
        <f t="shared" si="13"/>
        <v>Anz. Einheiten x Laufhoftage x Nges x 0.1</v>
      </c>
      <c r="B818" s="2410" t="s">
        <v>11030</v>
      </c>
      <c r="C818" s="2410" t="s">
        <v>6761</v>
      </c>
      <c r="D818" s="2414" t="s">
        <v>8756</v>
      </c>
    </row>
    <row r="819" spans="1:4" ht="12.75" customHeight="1">
      <c r="A819" s="2410" t="str">
        <f t="shared" si="13"/>
        <v>Nges-Anfall auf der Weide =</v>
      </c>
      <c r="B819" s="2410" t="s">
        <v>10981</v>
      </c>
      <c r="C819" s="2410" t="s">
        <v>11028</v>
      </c>
      <c r="D819" s="2414" t="s">
        <v>11015</v>
      </c>
    </row>
    <row r="820" spans="1:4" ht="12.75" customHeight="1">
      <c r="A820" s="2410" t="str">
        <f t="shared" si="13"/>
        <v>Anz. Einheiten x Stunden x Weidetage x Nges</v>
      </c>
      <c r="B820" s="2410" t="s">
        <v>4110</v>
      </c>
      <c r="C820" s="2410" t="s">
        <v>5543</v>
      </c>
      <c r="D820" s="2414" t="s">
        <v>11648</v>
      </c>
    </row>
    <row r="821" spans="1:4" ht="24" customHeight="1">
      <c r="A821" s="2410" t="str">
        <f t="shared" si="13"/>
        <v>Aufstallungssysteme ohne Gülleanfall = Vollmist-Systeme (siehe Wegleitung)</v>
      </c>
      <c r="B821" s="2410" t="s">
        <v>11031</v>
      </c>
      <c r="C821" s="2410" t="s">
        <v>11029</v>
      </c>
      <c r="D821" s="2414" t="s">
        <v>11016</v>
      </c>
    </row>
    <row r="822" spans="1:4" ht="12.75" customHeight="1">
      <c r="A822" s="2410" t="str">
        <f t="shared" si="13"/>
        <v xml:space="preserve">-Typ 0: Herstellung von nur Gülle, Gülle und Stapelmist, </v>
      </c>
      <c r="B822" s="2418" t="s">
        <v>10996</v>
      </c>
      <c r="C822" s="2785" t="s">
        <v>11875</v>
      </c>
      <c r="D822" s="2425" t="s">
        <v>11017</v>
      </c>
    </row>
    <row r="823" spans="1:4" ht="12.75" customHeight="1">
      <c r="A823" s="2410" t="str">
        <f t="shared" si="13"/>
        <v>Gülle und &lt; 10 % Vollmist</v>
      </c>
      <c r="B823" s="2410" t="s">
        <v>10995</v>
      </c>
      <c r="C823" s="2410" t="s">
        <v>11000</v>
      </c>
      <c r="D823" s="2780" t="s">
        <v>11876</v>
      </c>
    </row>
    <row r="824" spans="1:4" ht="12.75" customHeight="1">
      <c r="A824" s="2410" t="str">
        <f t="shared" si="13"/>
        <v xml:space="preserve">-Typ 100: Einraumlaufstall (Tiefstreu) für Raufutterverzehrer, </v>
      </c>
      <c r="B824" s="2418" t="s">
        <v>10982</v>
      </c>
      <c r="C824" s="2418" t="s">
        <v>11001</v>
      </c>
      <c r="D824" s="2425" t="s">
        <v>3206</v>
      </c>
    </row>
    <row r="825" spans="1:4" ht="12.75" customHeight="1">
      <c r="A825" s="2410" t="str">
        <f t="shared" si="13"/>
        <v>Tiefstreulaufstall für Schweine, alle Systeme für Geflügel (&lt;10 % Gülle).</v>
      </c>
      <c r="B825" s="2781" t="s">
        <v>11877</v>
      </c>
      <c r="C825" s="2410" t="s">
        <v>11027</v>
      </c>
      <c r="D825" s="2414" t="s">
        <v>11018</v>
      </c>
    </row>
    <row r="826" spans="1:4" ht="12.75" customHeight="1">
      <c r="A826" s="2410" t="str">
        <f t="shared" si="13"/>
        <v>Nges-Anfall ganz übertragen</v>
      </c>
      <c r="B826" s="2410" t="s">
        <v>10983</v>
      </c>
      <c r="C826" s="2781" t="s">
        <v>11878</v>
      </c>
      <c r="D826" s="2780" t="s">
        <v>11879</v>
      </c>
    </row>
    <row r="827" spans="1:4" ht="12.75" customHeight="1">
      <c r="A827" s="2410" t="str">
        <f t="shared" si="13"/>
        <v xml:space="preserve"> -Typ 50: Zweiraumlaufstall (10-90 % Vollmist). </v>
      </c>
      <c r="B827" s="2785" t="s">
        <v>11880</v>
      </c>
      <c r="C827" s="2785" t="s">
        <v>11881</v>
      </c>
      <c r="D827" s="2786" t="s">
        <v>11882</v>
      </c>
    </row>
    <row r="828" spans="1:4" ht="12.75" customHeight="1">
      <c r="A828" s="2410" t="str">
        <f t="shared" si="13"/>
        <v>Nges-Anfall zur Hälfte übertragen</v>
      </c>
      <c r="B828" s="2410" t="s">
        <v>10984</v>
      </c>
      <c r="C828" s="2410" t="s">
        <v>11002</v>
      </c>
      <c r="D828" s="2414" t="s">
        <v>11019</v>
      </c>
    </row>
    <row r="829" spans="1:4" ht="12.75" customHeight="1">
      <c r="A829" s="2410" t="str">
        <f t="shared" si="13"/>
        <v>Betriebseigenes nährstoffarmes Grundfutter</v>
      </c>
      <c r="B829" s="2410" t="s">
        <v>10985</v>
      </c>
      <c r="C829" s="2410" t="s">
        <v>11003</v>
      </c>
      <c r="D829" s="2414" t="s">
        <v>11020</v>
      </c>
    </row>
    <row r="830" spans="1:4" ht="12.75" customHeight="1">
      <c r="A830" s="2410" t="str">
        <f t="shared" si="13"/>
        <v>Nährstoffarmes Grundfutter aus Zu- und Wegfuhren</v>
      </c>
      <c r="B830" s="2410" t="s">
        <v>10986</v>
      </c>
      <c r="C830" s="2410" t="s">
        <v>11004</v>
      </c>
      <c r="D830" s="2414" t="s">
        <v>11021</v>
      </c>
    </row>
    <row r="831" spans="1:4" ht="12.75" customHeight="1">
      <c r="A831" s="2410" t="str">
        <f t="shared" si="13"/>
        <v xml:space="preserve">N-Bedarf ist zu reduzieren für Ackerkulturen mit </v>
      </c>
      <c r="B831" s="2410" t="s">
        <v>10987</v>
      </c>
      <c r="C831" s="2410" t="s">
        <v>11005</v>
      </c>
      <c r="D831" s="2414" t="s">
        <v>11022</v>
      </c>
    </row>
    <row r="832" spans="1:4" ht="12.75" customHeight="1">
      <c r="A832" s="2410" t="str">
        <f t="shared" si="13"/>
        <v>besonders tiefen Erträgen. Bei regelmässig über dem 3-Jahresdurchschnitt</v>
      </c>
      <c r="B832" s="2410" t="s">
        <v>10988</v>
      </c>
      <c r="C832" s="2410" t="s">
        <v>11006</v>
      </c>
      <c r="D832" s="2414" t="s">
        <v>11146</v>
      </c>
    </row>
    <row r="833" spans="1:4" ht="12.75" customHeight="1">
      <c r="A833" s="2410" t="str">
        <f t="shared" si="13"/>
        <v>Werte für Nebenprodukte anderer Kulturen (siehe Wegleitung)</v>
      </c>
      <c r="B833" s="2410" t="s">
        <v>10989</v>
      </c>
      <c r="C833" s="2410" t="s">
        <v>11007</v>
      </c>
      <c r="D833" s="2414" t="s">
        <v>11023</v>
      </c>
    </row>
    <row r="834" spans="1:4" ht="12.75" customHeight="1">
      <c r="A834" s="2410" t="str">
        <f t="shared" si="13"/>
        <v>Nur auf dem Betrieb verfüttertes Futter von ungedüngten</v>
      </c>
      <c r="B834" s="2410" t="s">
        <v>10990</v>
      </c>
      <c r="C834" s="2410" t="s">
        <v>11008</v>
      </c>
      <c r="D834" s="2414" t="s">
        <v>11024</v>
      </c>
    </row>
    <row r="835" spans="1:4" ht="12.75" customHeight="1">
      <c r="A835" s="2410" t="str">
        <f t="shared" si="13"/>
        <v>Wiesen; max. 1/4 von GFprod anrechenbar</v>
      </c>
      <c r="B835" s="2410" t="s">
        <v>10991</v>
      </c>
      <c r="C835" s="2410" t="s">
        <v>11009</v>
      </c>
      <c r="D835" s="2780" t="s">
        <v>11883</v>
      </c>
    </row>
    <row r="836" spans="1:4" ht="12.75" customHeight="1">
      <c r="A836" s="2410" t="str">
        <f t="shared" si="13"/>
        <v>"Unechter" Nährstoffbedarf = Nährstoffanfall der Weidetiere</v>
      </c>
      <c r="B836" s="2410" t="s">
        <v>10992</v>
      </c>
      <c r="C836" s="2410" t="s">
        <v>11010</v>
      </c>
      <c r="D836" s="2414" t="s">
        <v>11025</v>
      </c>
    </row>
    <row r="837" spans="1:4" ht="12.75" customHeight="1">
      <c r="A837" s="2410" t="str">
        <f t="shared" si="13"/>
        <v>Betriebsspezifischer N-Ausnutzungsgrad (siehe Wegleitung)</v>
      </c>
      <c r="B837" s="2410" t="s">
        <v>10993</v>
      </c>
      <c r="C837" s="2410" t="s">
        <v>11011</v>
      </c>
      <c r="D837" s="2425" t="s">
        <v>11026</v>
      </c>
    </row>
    <row r="838" spans="1:4" ht="12.75" customHeight="1">
      <c r="A838" s="2410" t="str">
        <f t="shared" si="13"/>
        <v>Betriebsspezifischer Fehlerbereich bei Abweichung vom Normalfall DZV</v>
      </c>
      <c r="B838" s="2410" t="s">
        <v>10994</v>
      </c>
      <c r="C838" s="2410" t="s">
        <v>11012</v>
      </c>
      <c r="D838" s="2414" t="s">
        <v>11013</v>
      </c>
    </row>
    <row r="839" spans="1:4" ht="12.75" customHeight="1">
      <c r="A839" s="2410" t="str">
        <f t="shared" si="13"/>
        <v>nur gültig bis einschliesslich Erntejahr 2023</v>
      </c>
      <c r="B839" s="2410" t="s">
        <v>11515</v>
      </c>
      <c r="C839" s="2410" t="s">
        <v>11999</v>
      </c>
      <c r="D839" s="2414" t="s">
        <v>12001</v>
      </c>
    </row>
    <row r="840" spans="1:4" ht="12.2" customHeight="1">
      <c r="A840" s="2410"/>
      <c r="B840" s="2410"/>
      <c r="C840" s="2410"/>
      <c r="D840" s="2414"/>
    </row>
    <row r="841" spans="1:4" ht="12.2" customHeight="1">
      <c r="A841" s="2410"/>
      <c r="B841" s="2410"/>
      <c r="C841" s="2410"/>
      <c r="D841" s="2414"/>
    </row>
    <row r="842" spans="1:4" ht="12.75" customHeight="1">
      <c r="A842" s="2410" t="str">
        <f t="shared" ref="A842:A862" si="14">IF($A$2=1,B842,IF($A$2=2,C842,IF($A$2=3,IF(D842="",C842,D842),"")))</f>
        <v>Zone:</v>
      </c>
      <c r="B842" s="2410" t="s">
        <v>5192</v>
      </c>
      <c r="C842" s="2410" t="s">
        <v>5192</v>
      </c>
      <c r="D842" s="2414" t="s">
        <v>8757</v>
      </c>
    </row>
    <row r="843" spans="1:4" ht="12.75" customHeight="1">
      <c r="A843" s="2410" t="str">
        <f t="shared" si="14"/>
        <v>Formular C:  Nährstoffbedarf der Kulturen</v>
      </c>
      <c r="B843" s="2410" t="s">
        <v>3897</v>
      </c>
      <c r="C843" s="2410" t="s">
        <v>1395</v>
      </c>
      <c r="D843" s="2414" t="s">
        <v>8758</v>
      </c>
    </row>
    <row r="844" spans="1:4" ht="12.75" customHeight="1">
      <c r="A844" s="2410" t="str">
        <f t="shared" si="14"/>
        <v>Tabelle "Nährstoffbedarf" ausfüllen, aktualisieren</v>
      </c>
      <c r="B844" s="2410" t="s">
        <v>11649</v>
      </c>
      <c r="C844" s="2410" t="s">
        <v>11650</v>
      </c>
      <c r="D844" s="2414" t="s">
        <v>11651</v>
      </c>
    </row>
    <row r="845" spans="1:4" ht="12.75" customHeight="1">
      <c r="A845" s="2410" t="str">
        <f t="shared" si="14"/>
        <v>C1: Bedarf für die Grundfutterproduktion</v>
      </c>
      <c r="B845" s="2410" t="s">
        <v>3898</v>
      </c>
      <c r="C845" s="2410" t="s">
        <v>611</v>
      </c>
      <c r="D845" s="2414" t="s">
        <v>8759</v>
      </c>
    </row>
    <row r="846" spans="1:4" ht="12.75" customHeight="1">
      <c r="A846" s="2410" t="str">
        <f t="shared" si="14"/>
        <v>Standard-ertrag</v>
      </c>
      <c r="B846" s="2410" t="s">
        <v>3899</v>
      </c>
      <c r="C846" s="2410" t="s">
        <v>811</v>
      </c>
      <c r="D846" s="2414" t="s">
        <v>3836</v>
      </c>
    </row>
    <row r="847" spans="1:4" ht="12.75" customHeight="1">
      <c r="A847" s="2410" t="str">
        <f t="shared" si="14"/>
        <v>dt / TS ha</v>
      </c>
      <c r="B847" s="2410" t="s">
        <v>11652</v>
      </c>
      <c r="C847" s="2410" t="s">
        <v>11653</v>
      </c>
      <c r="D847" s="2414" t="s">
        <v>11654</v>
      </c>
    </row>
    <row r="848" spans="1:4" ht="12.75" customHeight="1">
      <c r="A848" s="2410" t="str">
        <f t="shared" si="14"/>
        <v>Fläche</v>
      </c>
      <c r="B848" s="2410" t="s">
        <v>5348</v>
      </c>
      <c r="C848" s="2410" t="s">
        <v>1697</v>
      </c>
      <c r="D848" s="2414" t="s">
        <v>2757</v>
      </c>
    </row>
    <row r="849" spans="1:6" ht="12.75" customHeight="1">
      <c r="A849" s="2410" t="str">
        <f t="shared" si="14"/>
        <v>Feld-ertrag</v>
      </c>
      <c r="B849" s="2410" t="s">
        <v>3900</v>
      </c>
      <c r="C849" s="2410" t="s">
        <v>812</v>
      </c>
      <c r="D849" s="2414" t="s">
        <v>8761</v>
      </c>
    </row>
    <row r="850" spans="1:6" ht="12.75" customHeight="1">
      <c r="A850" s="2410" t="str">
        <f t="shared" si="14"/>
        <v>dt / TS ha</v>
      </c>
      <c r="B850" s="2410" t="s">
        <v>11652</v>
      </c>
      <c r="C850" s="2410" t="s">
        <v>11653</v>
      </c>
      <c r="D850" s="2414" t="s">
        <v>11654</v>
      </c>
    </row>
    <row r="851" spans="1:6" ht="12.75" customHeight="1">
      <c r="A851" s="2410" t="str">
        <f t="shared" si="14"/>
        <v>Menge total</v>
      </c>
      <c r="B851" s="2410" t="s">
        <v>6233</v>
      </c>
      <c r="C851" s="2410" t="s">
        <v>813</v>
      </c>
      <c r="D851" s="2414" t="s">
        <v>8762</v>
      </c>
    </row>
    <row r="852" spans="1:6" ht="12.75" customHeight="1">
      <c r="A852" s="2410" t="str">
        <f t="shared" si="14"/>
        <v>dt TS</v>
      </c>
      <c r="B852" s="2410" t="s">
        <v>2639</v>
      </c>
      <c r="C852" s="2410" t="s">
        <v>6533</v>
      </c>
      <c r="D852" s="2414" t="s">
        <v>5879</v>
      </c>
    </row>
    <row r="853" spans="1:6" ht="24" customHeight="1">
      <c r="A853" s="2410" t="str">
        <f t="shared" si="14"/>
        <v>N-Be-
darf 7]</v>
      </c>
      <c r="B853" s="2417" t="s">
        <v>6437</v>
      </c>
      <c r="C853" s="2410" t="s">
        <v>6438</v>
      </c>
      <c r="D853" s="2414" t="s">
        <v>8763</v>
      </c>
      <c r="F853" s="2426"/>
    </row>
    <row r="854" spans="1:6" ht="12.75" customHeight="1">
      <c r="A854" s="2410" t="str">
        <f t="shared" si="14"/>
        <v>kg / ha</v>
      </c>
      <c r="B854" s="2410" t="s">
        <v>1866</v>
      </c>
      <c r="C854" s="2410" t="s">
        <v>1866</v>
      </c>
      <c r="D854" s="2414" t="s">
        <v>11655</v>
      </c>
    </row>
    <row r="855" spans="1:6" ht="12.75" customHeight="1">
      <c r="A855" s="2410" t="str">
        <f t="shared" si="14"/>
        <v>Netto-Nährstoffbedarf, kg / dt TS</v>
      </c>
      <c r="B855" s="2410" t="s">
        <v>11656</v>
      </c>
      <c r="C855" s="2410" t="s">
        <v>11657</v>
      </c>
      <c r="D855" s="2414" t="s">
        <v>11658</v>
      </c>
    </row>
    <row r="856" spans="1:6" ht="12.75" customHeight="1">
      <c r="A856" s="2410" t="str">
        <f t="shared" si="14"/>
        <v>Netto-Nährstoffbedarf, kg / Jahr</v>
      </c>
      <c r="B856" s="2410" t="s">
        <v>11659</v>
      </c>
      <c r="C856" s="2410" t="s">
        <v>11660</v>
      </c>
      <c r="D856" s="2414" t="s">
        <v>11661</v>
      </c>
    </row>
    <row r="857" spans="1:6" ht="24" customHeight="1">
      <c r="A857" s="2410" t="str">
        <f t="shared" si="14"/>
        <v>Total auf der Futterfläche zu produzierendes Grundfutter (Gfprod),  Übertrag aus B</v>
      </c>
      <c r="B857" s="2410" t="s">
        <v>7649</v>
      </c>
      <c r="C857" s="2410" t="s">
        <v>7648</v>
      </c>
      <c r="D857" s="2414" t="s">
        <v>8764</v>
      </c>
    </row>
    <row r="858" spans="1:6" ht="12.75" customHeight="1">
      <c r="A858" s="2410" t="str">
        <f t="shared" si="14"/>
        <v>Ganzpflanzen-Mais, Silomais</v>
      </c>
      <c r="B858" s="2410" t="s">
        <v>7782</v>
      </c>
      <c r="C858" s="2410" t="s">
        <v>11662</v>
      </c>
      <c r="D858" s="2414" t="s">
        <v>8684</v>
      </c>
    </row>
    <row r="859" spans="1:6" ht="12.75" customHeight="1">
      <c r="A859" s="2410" t="str">
        <f t="shared" si="14"/>
        <v>Ganzpflanzen-Sorghum</v>
      </c>
      <c r="B859" s="2410" t="s">
        <v>7778</v>
      </c>
      <c r="C859" s="2410" t="s">
        <v>7779</v>
      </c>
      <c r="D859" s="2414" t="s">
        <v>11125</v>
      </c>
    </row>
    <row r="860" spans="1:6" ht="12.75" customHeight="1">
      <c r="A860" s="2410" t="str">
        <f t="shared" si="14"/>
        <v>Futterrüben, ohne Blätter</v>
      </c>
      <c r="B860" s="2410" t="s">
        <v>7638</v>
      </c>
      <c r="C860" s="2410" t="s">
        <v>7639</v>
      </c>
      <c r="D860" s="2414" t="s">
        <v>8766</v>
      </c>
    </row>
    <row r="861" spans="1:6" ht="12.75" customHeight="1">
      <c r="A861" s="2410" t="str">
        <f t="shared" si="14"/>
        <v>Getreide-Silage</v>
      </c>
      <c r="B861" s="2410" t="s">
        <v>5437</v>
      </c>
      <c r="C861" s="2410" t="s">
        <v>5439</v>
      </c>
      <c r="D861" s="2414" t="s">
        <v>8278</v>
      </c>
    </row>
    <row r="862" spans="1:6" ht="12.75" customHeight="1">
      <c r="A862" s="2410" t="str">
        <f t="shared" si="14"/>
        <v>Getreide-Silage mit Leguminosen</v>
      </c>
      <c r="B862" s="2410" t="s">
        <v>5438</v>
      </c>
      <c r="C862" s="2410" t="s">
        <v>5440</v>
      </c>
      <c r="D862" s="2414" t="s">
        <v>11147</v>
      </c>
    </row>
    <row r="863" spans="1:6" ht="12.75" customHeight="1">
      <c r="A863" s="2410" t="str">
        <f t="shared" ref="A863:A928" si="15">IF($A$2=1,B863,IF($A$2=2,C863,IF($A$2=3,IF(D863="",C863,D863),"")))</f>
        <v>Grünmais, Zweitkultur</v>
      </c>
      <c r="B863" s="2410" t="s">
        <v>7637</v>
      </c>
      <c r="C863" s="2410" t="s">
        <v>7640</v>
      </c>
      <c r="D863" s="2414" t="s">
        <v>8779</v>
      </c>
    </row>
    <row r="864" spans="1:6" ht="12.75" customHeight="1">
      <c r="A864" s="2410" t="str">
        <f t="shared" si="15"/>
        <v>Ganzpflanzen-Sorghum, Zweitkultur</v>
      </c>
      <c r="B864" s="2410" t="s">
        <v>7780</v>
      </c>
      <c r="C864" s="2410" t="s">
        <v>7781</v>
      </c>
      <c r="D864" s="2414" t="s">
        <v>11127</v>
      </c>
    </row>
    <row r="865" spans="1:4" ht="12.75" customHeight="1">
      <c r="A865" s="2410" t="str">
        <f t="shared" si="15"/>
        <v>Verfüttertes Stroh, nur betriebseigenes 8]</v>
      </c>
      <c r="B865" s="2410" t="s">
        <v>7641</v>
      </c>
      <c r="C865" s="2410" t="s">
        <v>5964</v>
      </c>
      <c r="D865" s="2414" t="s">
        <v>8767</v>
      </c>
    </row>
    <row r="866" spans="1:4" ht="12.75" customHeight="1">
      <c r="A866" s="2410" t="str">
        <f t="shared" si="15"/>
        <v xml:space="preserve">Verfütterte Rübenblätter, nur betriebseigene 8] </v>
      </c>
      <c r="B866" s="2410" t="s">
        <v>7642</v>
      </c>
      <c r="C866" s="2410" t="s">
        <v>1593</v>
      </c>
      <c r="D866" s="2414" t="s">
        <v>8768</v>
      </c>
    </row>
    <row r="867" spans="1:4" ht="12.75" customHeight="1">
      <c r="A867" s="2410" t="str">
        <f t="shared" si="15"/>
        <v>Zwischenfutter, ohne Kunstwiesen</v>
      </c>
      <c r="B867" s="2410" t="s">
        <v>7618</v>
      </c>
      <c r="C867" s="2410" t="s">
        <v>7643</v>
      </c>
      <c r="D867" s="2414" t="s">
        <v>8549</v>
      </c>
    </row>
    <row r="868" spans="1:4" ht="12.75" customHeight="1">
      <c r="A868" s="2410" t="str">
        <f t="shared" si="15"/>
        <v>Zwischenfutter (KW), Aeugstlen, Frühjahrsschnitt vor Umbruch</v>
      </c>
      <c r="B868" s="2410" t="s">
        <v>889</v>
      </c>
      <c r="C868" s="2410" t="s">
        <v>7644</v>
      </c>
      <c r="D868" s="2414" t="s">
        <v>8769</v>
      </c>
    </row>
    <row r="869" spans="1:4" ht="12.75" customHeight="1">
      <c r="A869" s="2410" t="str">
        <f t="shared" si="15"/>
        <v>Samenproduktion: Leguminosen Reinbestand</v>
      </c>
      <c r="B869" s="2410" t="s">
        <v>1880</v>
      </c>
      <c r="C869" s="2410" t="s">
        <v>430</v>
      </c>
      <c r="D869" s="2414" t="s">
        <v>8770</v>
      </c>
    </row>
    <row r="870" spans="1:4" ht="12.75" customHeight="1">
      <c r="A870" s="2410" t="str">
        <f t="shared" si="15"/>
        <v>Samenproduktion: Gras Reinbestand</v>
      </c>
      <c r="B870" s="2410" t="s">
        <v>431</v>
      </c>
      <c r="C870" s="2410" t="s">
        <v>880</v>
      </c>
      <c r="D870" s="2414" t="s">
        <v>8771</v>
      </c>
    </row>
    <row r="871" spans="1:4" ht="12.75" customHeight="1">
      <c r="A871" s="2410" t="str">
        <f t="shared" si="15"/>
        <v>Extensive Wiesen</v>
      </c>
      <c r="B871" s="2410" t="s">
        <v>5669</v>
      </c>
      <c r="C871" s="2410" t="s">
        <v>5435</v>
      </c>
      <c r="D871" s="2414" t="s">
        <v>8772</v>
      </c>
    </row>
    <row r="872" spans="1:4" ht="12.75" customHeight="1">
      <c r="A872" s="2410" t="str">
        <f t="shared" si="15"/>
        <v>Übrige Wiesen mit Düngeverbot</v>
      </c>
      <c r="B872" s="2410" t="s">
        <v>3795</v>
      </c>
      <c r="C872" s="2410" t="s">
        <v>1592</v>
      </c>
      <c r="D872" s="2414" t="s">
        <v>8530</v>
      </c>
    </row>
    <row r="873" spans="1:4" ht="12.75" customHeight="1">
      <c r="A873" s="2410" t="str">
        <f t="shared" si="15"/>
        <v>Extensive Weiden, Waldweiden</v>
      </c>
      <c r="B873" s="2410" t="s">
        <v>3394</v>
      </c>
      <c r="C873" s="2410" t="s">
        <v>5436</v>
      </c>
      <c r="D873" s="2414" t="s">
        <v>8773</v>
      </c>
    </row>
    <row r="874" spans="1:4" ht="12.75" customHeight="1">
      <c r="A874" s="2410" t="str">
        <f t="shared" si="15"/>
        <v>Wenig intensive Wiesen und Weiden, 1-3 Nutzungen</v>
      </c>
      <c r="B874" s="2410" t="s">
        <v>648</v>
      </c>
      <c r="C874" s="2410" t="s">
        <v>7645</v>
      </c>
      <c r="D874" s="2414" t="s">
        <v>8774</v>
      </c>
    </row>
    <row r="875" spans="1:4" ht="12.75" customHeight="1">
      <c r="A875" s="2410" t="str">
        <f t="shared" si="15"/>
        <v>Mittelintensive Wiesen und Weiden, 1-5 Nutzungen</v>
      </c>
      <c r="B875" s="2410" t="s">
        <v>2036</v>
      </c>
      <c r="C875" s="2410" t="s">
        <v>7646</v>
      </c>
      <c r="D875" s="2414" t="s">
        <v>8775</v>
      </c>
    </row>
    <row r="876" spans="1:4" ht="12.75" customHeight="1">
      <c r="A876" s="2410" t="str">
        <f t="shared" si="15"/>
        <v>Intensive Wiesen und Weiden, 2-6 Nutzungen</v>
      </c>
      <c r="B876" s="2410" t="s">
        <v>3625</v>
      </c>
      <c r="C876" s="2410" t="s">
        <v>7647</v>
      </c>
      <c r="D876" s="2414" t="s">
        <v>8776</v>
      </c>
    </row>
    <row r="877" spans="1:4" ht="12.75" customHeight="1">
      <c r="A877" s="2410" t="str">
        <f t="shared" si="15"/>
        <v>GFnährstoffarm</v>
      </c>
      <c r="B877" s="2410" t="s">
        <v>6068</v>
      </c>
      <c r="C877" s="2410" t="s">
        <v>4</v>
      </c>
      <c r="D877" s="2414" t="s">
        <v>8777</v>
      </c>
    </row>
    <row r="878" spans="1:4" ht="12.75" customHeight="1">
      <c r="A878" s="2410" t="str">
        <f t="shared" si="15"/>
        <v>TS-Erträge der Wiesen oder Zu- und Wegfuhr anpassen!</v>
      </c>
      <c r="B878" s="2410" t="s">
        <v>3270</v>
      </c>
      <c r="C878" s="2410" t="s">
        <v>3271</v>
      </c>
      <c r="D878" s="2414" t="s">
        <v>8778</v>
      </c>
    </row>
    <row r="879" spans="1:4" ht="12.75" customHeight="1">
      <c r="A879" s="2410" t="str">
        <f t="shared" si="15"/>
        <v>Wegfuhr von Grundfutter überprüfen!</v>
      </c>
      <c r="B879" s="2410" t="s">
        <v>4384</v>
      </c>
      <c r="C879" s="2410" t="s">
        <v>1911</v>
      </c>
      <c r="D879" s="2414" t="s">
        <v>3894</v>
      </c>
    </row>
    <row r="880" spans="1:4" ht="12.75" customHeight="1">
      <c r="A880" s="2410" t="str">
        <f t="shared" si="15"/>
        <v>Erträge von Silomais müssen mindestens 125 % der Erträge der intensiven Wiesen entsprechen!</v>
      </c>
      <c r="B880" s="2410" t="s">
        <v>4908</v>
      </c>
      <c r="C880" s="2410" t="s">
        <v>3344</v>
      </c>
      <c r="D880" s="2780" t="s">
        <v>11884</v>
      </c>
    </row>
    <row r="881" spans="1:6" ht="12.75" customHeight="1">
      <c r="A881" s="2410" t="str">
        <f t="shared" si="15"/>
        <v>Erträge von Silomais bzw. Sorghum müssen mindestens 125 % der Erträge der intensiven Wiesen entsprechen!</v>
      </c>
      <c r="B881" s="2410" t="s">
        <v>7784</v>
      </c>
      <c r="C881" s="2410" t="s">
        <v>7783</v>
      </c>
      <c r="D881" s="2780" t="s">
        <v>11885</v>
      </c>
    </row>
    <row r="882" spans="1:6" ht="24" customHeight="1">
      <c r="A882" s="2410" t="str">
        <f t="shared" si="15"/>
        <v>T: Innerbetrieblicher Nährstofftransfer für Futter von ungedüngten Wiesen (GFT)</v>
      </c>
      <c r="B882" s="2410" t="s">
        <v>3459</v>
      </c>
      <c r="C882" s="2410" t="s">
        <v>1842</v>
      </c>
      <c r="D882" s="2414" t="s">
        <v>11148</v>
      </c>
    </row>
    <row r="883" spans="1:6" ht="12.75" customHeight="1">
      <c r="A883" s="2410" t="str">
        <f t="shared" si="15"/>
        <v>dt TS GFT</v>
      </c>
      <c r="B883" s="2410" t="s">
        <v>1843</v>
      </c>
      <c r="C883" s="2410" t="s">
        <v>1844</v>
      </c>
      <c r="D883" s="2414" t="s">
        <v>11149</v>
      </c>
    </row>
    <row r="884" spans="1:6" ht="12.75" customHeight="1">
      <c r="A884" s="2410" t="str">
        <f t="shared" si="15"/>
        <v>C2: Bedarf der Ackerkulturen</v>
      </c>
      <c r="B884" s="2410" t="s">
        <v>3627</v>
      </c>
      <c r="C884" s="2410" t="s">
        <v>7564</v>
      </c>
      <c r="D884" s="2414" t="s">
        <v>8780</v>
      </c>
    </row>
    <row r="885" spans="1:6" ht="12.75" customHeight="1">
      <c r="A885" s="2410" t="str">
        <f t="shared" si="15"/>
        <v>Standard-ertrag</v>
      </c>
      <c r="B885" s="2410" t="s">
        <v>3899</v>
      </c>
      <c r="C885" s="2410" t="s">
        <v>5631</v>
      </c>
      <c r="D885" s="2414" t="s">
        <v>3836</v>
      </c>
    </row>
    <row r="886" spans="1:6" ht="12.75" customHeight="1">
      <c r="A886" s="2410" t="str">
        <f t="shared" si="15"/>
        <v>Fläche</v>
      </c>
      <c r="B886" s="2410" t="s">
        <v>5348</v>
      </c>
      <c r="C886" s="2410" t="s">
        <v>1697</v>
      </c>
      <c r="D886" s="2414" t="s">
        <v>2757</v>
      </c>
    </row>
    <row r="887" spans="1:6" ht="12.75" customHeight="1">
      <c r="A887" s="2410" t="str">
        <f t="shared" si="15"/>
        <v>Feld-ertrag</v>
      </c>
      <c r="B887" s="2410" t="s">
        <v>3900</v>
      </c>
      <c r="C887" s="2410" t="s">
        <v>88</v>
      </c>
      <c r="D887" s="2414" t="s">
        <v>8761</v>
      </c>
    </row>
    <row r="888" spans="1:6" ht="12.75" customHeight="1">
      <c r="A888" s="2410" t="str">
        <f t="shared" si="15"/>
        <v>Menge total</v>
      </c>
      <c r="B888" s="2410" t="s">
        <v>6233</v>
      </c>
      <c r="C888" s="2410" t="s">
        <v>813</v>
      </c>
      <c r="D888" s="2414" t="s">
        <v>8762</v>
      </c>
    </row>
    <row r="889" spans="1:6" ht="24" customHeight="1">
      <c r="A889" s="2410" t="str">
        <f t="shared" si="15"/>
        <v>N-Be
darf 7]</v>
      </c>
      <c r="B889" s="2417" t="s">
        <v>5047</v>
      </c>
      <c r="C889" s="2410" t="s">
        <v>6438</v>
      </c>
      <c r="D889" s="2414" t="s">
        <v>8763</v>
      </c>
      <c r="F889" s="2426"/>
    </row>
    <row r="890" spans="1:6" ht="12.75" customHeight="1">
      <c r="A890" s="2410" t="str">
        <f t="shared" si="15"/>
        <v>Netto-Nährstoffbedarf, kg / ha, kg / dt</v>
      </c>
      <c r="B890" s="2410" t="s">
        <v>11663</v>
      </c>
      <c r="C890" s="2410" t="s">
        <v>11664</v>
      </c>
      <c r="D890" s="2414" t="s">
        <v>11665</v>
      </c>
    </row>
    <row r="891" spans="1:6" ht="12.75" customHeight="1">
      <c r="A891" s="2410" t="str">
        <f t="shared" si="15"/>
        <v>Netto-Nährstoffbedarf, kg / Jahr</v>
      </c>
      <c r="B891" s="2410" t="s">
        <v>11659</v>
      </c>
      <c r="C891" s="2410" t="s">
        <v>11660</v>
      </c>
      <c r="D891" s="2414" t="s">
        <v>11666</v>
      </c>
    </row>
    <row r="892" spans="1:6" ht="12.75" customHeight="1">
      <c r="A892" s="2410" t="str">
        <f t="shared" si="15"/>
        <v>Gründüngung, nur Nichtleguminosen</v>
      </c>
      <c r="B892" s="2410" t="s">
        <v>7652</v>
      </c>
      <c r="C892" s="2410" t="s">
        <v>7653</v>
      </c>
      <c r="D892" s="2414" t="s">
        <v>8552</v>
      </c>
    </row>
    <row r="893" spans="1:6" ht="12.75" customHeight="1">
      <c r="A893" s="2410" t="str">
        <f t="shared" si="15"/>
        <v>Ackerschonstreifen</v>
      </c>
      <c r="B893" s="2410" t="s">
        <v>3140</v>
      </c>
      <c r="C893" s="2410" t="s">
        <v>2546</v>
      </c>
      <c r="D893" s="2414" t="s">
        <v>8553</v>
      </c>
    </row>
    <row r="894" spans="1:6" ht="12.75" customHeight="1">
      <c r="A894" s="2410" t="str">
        <f t="shared" si="15"/>
        <v>Bunt- und Rotationsbrachen, Säume auf Ackerfläche, Nützlingsstreifen</v>
      </c>
      <c r="B894" s="2781" t="s">
        <v>11856</v>
      </c>
      <c r="C894" s="2781" t="s">
        <v>11845</v>
      </c>
      <c r="D894" s="2780" t="s">
        <v>11857</v>
      </c>
    </row>
    <row r="895" spans="1:6" ht="12.75" customHeight="1">
      <c r="A895" s="2410" t="str">
        <f t="shared" si="15"/>
        <v>Hecken, Feldgehölz, Streueflächen</v>
      </c>
      <c r="B895" s="2410" t="s">
        <v>2343</v>
      </c>
      <c r="C895" s="2410" t="s">
        <v>5591</v>
      </c>
      <c r="D895" s="2414" t="s">
        <v>8781</v>
      </c>
    </row>
    <row r="896" spans="1:6" ht="12.75" customHeight="1">
      <c r="A896" s="2410" t="str">
        <f t="shared" si="15"/>
        <v>Vom Betrieb weggeführtes Stroh</v>
      </c>
      <c r="B896" s="2410" t="s">
        <v>2344</v>
      </c>
      <c r="C896" s="2410" t="s">
        <v>4464</v>
      </c>
      <c r="D896" s="2414" t="s">
        <v>4810</v>
      </c>
    </row>
    <row r="897" spans="1:4" ht="12.75" customHeight="1">
      <c r="A897" s="2410" t="str">
        <f t="shared" si="15"/>
        <v>Vom Betrieb weggeführte Rübenblätter</v>
      </c>
      <c r="B897" s="2410" t="s">
        <v>653</v>
      </c>
      <c r="C897" s="2410" t="s">
        <v>2025</v>
      </c>
      <c r="D897" s="2414" t="s">
        <v>4811</v>
      </c>
    </row>
    <row r="898" spans="1:4" ht="12.75" customHeight="1">
      <c r="A898" s="2410" t="str">
        <f t="shared" si="15"/>
        <v>C2: Zwischentotal  Ackerkulturen, Hecken und Streuflächen</v>
      </c>
      <c r="B898" s="2410" t="s">
        <v>3923</v>
      </c>
      <c r="C898" s="2410" t="s">
        <v>1862</v>
      </c>
      <c r="D898" s="2414" t="s">
        <v>8782</v>
      </c>
    </row>
    <row r="899" spans="1:4" ht="12.75" customHeight="1">
      <c r="A899" s="2410" t="str">
        <f t="shared" si="15"/>
        <v>C1: Zwischentotal Futterflächen</v>
      </c>
      <c r="B899" s="2410" t="s">
        <v>6439</v>
      </c>
      <c r="C899" s="2410" t="s">
        <v>5046</v>
      </c>
      <c r="D899" s="2414" t="s">
        <v>8783</v>
      </c>
    </row>
    <row r="900" spans="1:4" ht="12.75" customHeight="1">
      <c r="A900" s="2410" t="str">
        <f t="shared" si="15"/>
        <v xml:space="preserve"> (ohne Zweitkulturen)</v>
      </c>
      <c r="B900" s="2410" t="s">
        <v>3924</v>
      </c>
      <c r="C900" s="2410" t="s">
        <v>1863</v>
      </c>
      <c r="D900" s="2414" t="s">
        <v>8784</v>
      </c>
    </row>
    <row r="901" spans="1:4" ht="12.75" customHeight="1">
      <c r="A901" s="2410" t="str">
        <f t="shared" si="15"/>
        <v>C3: Bedarf Spezial- und Dauerkulturen</v>
      </c>
      <c r="B901" s="2410" t="s">
        <v>4079</v>
      </c>
      <c r="C901" s="2410" t="s">
        <v>1508</v>
      </c>
      <c r="D901" s="2414" t="s">
        <v>8785</v>
      </c>
    </row>
    <row r="902" spans="1:4" ht="12.75" customHeight="1">
      <c r="A902" s="2410" t="str">
        <f t="shared" si="15"/>
        <v>mit Berücksichtigung des Nährstoffvorrats im Boden</v>
      </c>
      <c r="B902" s="2410" t="s">
        <v>4700</v>
      </c>
      <c r="C902" s="2410" t="s">
        <v>6228</v>
      </c>
      <c r="D902" s="2414" t="s">
        <v>8786</v>
      </c>
    </row>
    <row r="903" spans="1:4" ht="12.75" customHeight="1">
      <c r="A903" s="2410" t="str">
        <f t="shared" si="15"/>
        <v>Fläche</v>
      </c>
      <c r="B903" s="2410" t="s">
        <v>5348</v>
      </c>
      <c r="C903" s="2410" t="s">
        <v>1697</v>
      </c>
      <c r="D903" s="2414" t="s">
        <v>2757</v>
      </c>
    </row>
    <row r="904" spans="1:4" ht="12.75" customHeight="1">
      <c r="A904" s="2410" t="str">
        <f t="shared" si="15"/>
        <v>Normdüngungsfaktor</v>
      </c>
      <c r="B904" s="2410" t="s">
        <v>4080</v>
      </c>
      <c r="C904" s="2410" t="s">
        <v>1864</v>
      </c>
      <c r="D904" s="2414" t="s">
        <v>8787</v>
      </c>
    </row>
    <row r="905" spans="1:4" ht="12.75" customHeight="1">
      <c r="A905" s="2410" t="str">
        <f t="shared" si="15"/>
        <v>Netto-Nährstoffbedarf, kg je ha</v>
      </c>
      <c r="B905" s="2410" t="s">
        <v>6652</v>
      </c>
      <c r="C905" s="2410" t="s">
        <v>11667</v>
      </c>
      <c r="D905" s="2414" t="s">
        <v>11668</v>
      </c>
    </row>
    <row r="906" spans="1:4" ht="12.75" customHeight="1">
      <c r="A906" s="2410" t="str">
        <f t="shared" si="15"/>
        <v>Netto-Nährstoffbedarf, kg / Jahr</v>
      </c>
      <c r="B906" s="2410" t="s">
        <v>11659</v>
      </c>
      <c r="C906" s="2410" t="s">
        <v>11660</v>
      </c>
      <c r="D906" s="2414" t="s">
        <v>11666</v>
      </c>
    </row>
    <row r="907" spans="1:4" ht="12.75" customHeight="1">
      <c r="A907" s="2410" t="str">
        <f t="shared" si="15"/>
        <v>Reben</v>
      </c>
      <c r="B907" s="2410" t="s">
        <v>4839</v>
      </c>
      <c r="C907" s="2410" t="s">
        <v>5395</v>
      </c>
      <c r="D907" s="2414" t="s">
        <v>8518</v>
      </c>
    </row>
    <row r="908" spans="1:4" ht="12.75" customHeight="1">
      <c r="A908" s="2410" t="str">
        <f t="shared" si="15"/>
        <v>Hopfen, Rharbarber, Spargel</v>
      </c>
      <c r="B908" s="2590" t="s">
        <v>11791</v>
      </c>
      <c r="C908" s="2590" t="s">
        <v>11792</v>
      </c>
      <c r="D908" s="2591" t="s">
        <v>11793</v>
      </c>
    </row>
    <row r="909" spans="1:4" ht="12.75" customHeight="1">
      <c r="A909" s="2410" t="str">
        <f t="shared" si="15"/>
        <v>Obstanlagen</v>
      </c>
      <c r="B909" s="2410" t="s">
        <v>3139</v>
      </c>
      <c r="C909" s="2410" t="s">
        <v>4761</v>
      </c>
      <c r="D909" s="2414" t="s">
        <v>8519</v>
      </c>
    </row>
    <row r="910" spans="1:4" ht="12.75" customHeight="1">
      <c r="A910" s="2410" t="str">
        <f t="shared" si="15"/>
        <v>Beeren</v>
      </c>
      <c r="B910" s="2410" t="s">
        <v>3276</v>
      </c>
      <c r="C910" s="2410" t="s">
        <v>5249</v>
      </c>
      <c r="D910" s="2414" t="s">
        <v>8522</v>
      </c>
    </row>
    <row r="911" spans="1:4" ht="12.75" customHeight="1">
      <c r="A911" s="2410" t="str">
        <f t="shared" si="15"/>
        <v>Freilandgemüse, Schnittblumen, Kräuter</v>
      </c>
      <c r="B911" s="2410" t="s">
        <v>7355</v>
      </c>
      <c r="C911" s="2410" t="s">
        <v>2922</v>
      </c>
      <c r="D911" s="2414" t="s">
        <v>8788</v>
      </c>
    </row>
    <row r="912" spans="1:4" ht="12.75" customHeight="1">
      <c r="A912" s="2410" t="str">
        <f t="shared" si="15"/>
        <v>Kulturen in geschütztem Anbau</v>
      </c>
      <c r="B912" s="2410" t="s">
        <v>5617</v>
      </c>
      <c r="C912" s="2410" t="s">
        <v>7393</v>
      </c>
      <c r="D912" s="2414" t="s">
        <v>8442</v>
      </c>
    </row>
    <row r="913" spans="1:6" ht="12.75" customHeight="1">
      <c r="A913" s="2410" t="str">
        <f t="shared" si="15"/>
        <v>Andere Dauerkulturen, inkl. Permakultur</v>
      </c>
      <c r="B913" s="2411" t="s">
        <v>11112</v>
      </c>
      <c r="C913" s="2413" t="s">
        <v>11113</v>
      </c>
      <c r="D913" s="2427" t="s">
        <v>8528</v>
      </c>
    </row>
    <row r="914" spans="1:6" ht="12.75" customHeight="1">
      <c r="A914" s="2410" t="str">
        <f t="shared" si="15"/>
        <v>Hochstamm-Feldobstbäume, Nussbäume, Edelkastanien: 1 Are pro  Baum</v>
      </c>
      <c r="B914" s="2781" t="s">
        <v>11971</v>
      </c>
      <c r="C914" s="2781" t="s">
        <v>11969</v>
      </c>
      <c r="D914" s="2780" t="s">
        <v>11970</v>
      </c>
    </row>
    <row r="915" spans="1:6" ht="12.75" customHeight="1">
      <c r="A915" s="2410" t="str">
        <f t="shared" si="15"/>
        <v xml:space="preserve">C3: Zwischentotal Spezialkulturen </v>
      </c>
      <c r="B915" s="2410" t="s">
        <v>7357</v>
      </c>
      <c r="C915" s="2410" t="s">
        <v>3859</v>
      </c>
      <c r="D915" s="2414" t="s">
        <v>8789</v>
      </c>
    </row>
    <row r="916" spans="1:6" ht="12.75" customHeight="1">
      <c r="A916" s="2410" t="str">
        <f t="shared" si="15"/>
        <v xml:space="preserve">C = C1 + C2 + C3 </v>
      </c>
      <c r="B916" s="2410" t="s">
        <v>5315</v>
      </c>
      <c r="C916" s="2410" t="s">
        <v>4786</v>
      </c>
      <c r="D916" s="2414" t="s">
        <v>5315</v>
      </c>
    </row>
    <row r="917" spans="1:6" ht="12.75" customHeight="1">
      <c r="A917" s="2410" t="str">
        <f t="shared" si="15"/>
        <v>(Gesamtfläche C - Bauzone ausserhalb LN  = LN)</v>
      </c>
      <c r="B917" s="2410" t="s">
        <v>5318</v>
      </c>
      <c r="C917" s="2410" t="s">
        <v>6693</v>
      </c>
      <c r="D917" s="2414" t="s">
        <v>8790</v>
      </c>
    </row>
    <row r="918" spans="1:6" ht="12.75" customHeight="1">
      <c r="A918" s="2410" t="str">
        <f t="shared" si="15"/>
        <v xml:space="preserve">Nährstoffbedarf Betrieb  C    </v>
      </c>
      <c r="B918" s="2410" t="s">
        <v>5335</v>
      </c>
      <c r="C918" s="2410" t="s">
        <v>2115</v>
      </c>
      <c r="D918" s="2414" t="s">
        <v>8791</v>
      </c>
    </row>
    <row r="919" spans="1:6" ht="12.75" customHeight="1">
      <c r="A919" s="2410" t="str">
        <f t="shared" si="15"/>
        <v xml:space="preserve">Offene Ackerfläche </v>
      </c>
      <c r="B919" s="2410" t="s">
        <v>5319</v>
      </c>
      <c r="C919" s="2410" t="s">
        <v>4785</v>
      </c>
      <c r="D919" s="2414" t="s">
        <v>6457</v>
      </c>
    </row>
    <row r="920" spans="1:6" ht="12.75" customHeight="1">
      <c r="A920" s="2410" t="str">
        <f t="shared" si="15"/>
        <v>= LN</v>
      </c>
      <c r="B920" s="2418" t="s">
        <v>5313</v>
      </c>
      <c r="C920" s="2418" t="s">
        <v>5314</v>
      </c>
      <c r="D920" s="2414" t="s">
        <v>5314</v>
      </c>
      <c r="E920" s="2428"/>
      <c r="F920" s="2428"/>
    </row>
    <row r="921" spans="1:6" ht="12.75" customHeight="1">
      <c r="A921" s="2410" t="str">
        <f t="shared" si="15"/>
        <v>% der Gesamtfläche C</v>
      </c>
      <c r="B921" s="2410" t="s">
        <v>5312</v>
      </c>
      <c r="C921" s="2410" t="s">
        <v>5316</v>
      </c>
      <c r="D921" s="2414" t="s">
        <v>6458</v>
      </c>
    </row>
    <row r="922" spans="1:6" ht="12.75" customHeight="1">
      <c r="A922" s="2410" t="str">
        <f t="shared" si="15"/>
        <v>Formular D:  Übrige Dünger</v>
      </c>
      <c r="B922" s="2410" t="s">
        <v>5336</v>
      </c>
      <c r="C922" s="2410" t="s">
        <v>6640</v>
      </c>
      <c r="D922" s="2414" t="s">
        <v>8792</v>
      </c>
    </row>
    <row r="923" spans="1:6" ht="12.75" customHeight="1">
      <c r="A923" s="2410" t="str">
        <f t="shared" si="15"/>
        <v>Düngerart</v>
      </c>
      <c r="B923" s="2410" t="s">
        <v>5337</v>
      </c>
      <c r="C923" s="2410" t="s">
        <v>4421</v>
      </c>
      <c r="D923" s="2414" t="s">
        <v>6459</v>
      </c>
    </row>
    <row r="924" spans="1:6" ht="12.75" customHeight="1">
      <c r="A924" s="2410" t="str">
        <f t="shared" si="15"/>
        <v>Einheit</v>
      </c>
      <c r="B924" s="2410" t="s">
        <v>6392</v>
      </c>
      <c r="C924" s="2410" t="s">
        <v>6215</v>
      </c>
      <c r="D924" s="2414" t="s">
        <v>1418</v>
      </c>
    </row>
    <row r="925" spans="1:6" ht="12.75" customHeight="1">
      <c r="A925" s="2410" t="str">
        <f t="shared" si="15"/>
        <v>zugeführte Menge</v>
      </c>
      <c r="B925" s="2410" t="s">
        <v>5338</v>
      </c>
      <c r="C925" s="2410" t="s">
        <v>3429</v>
      </c>
      <c r="D925" s="2414" t="s">
        <v>8793</v>
      </c>
    </row>
    <row r="926" spans="1:6" ht="12.75" customHeight="1">
      <c r="A926" s="2410" t="str">
        <f t="shared" si="15"/>
        <v>Nährstoffgehalt je Einheit, kg</v>
      </c>
      <c r="B926" s="2410" t="s">
        <v>3460</v>
      </c>
      <c r="C926" s="2410" t="s">
        <v>7242</v>
      </c>
      <c r="D926" s="2414" t="s">
        <v>11669</v>
      </c>
    </row>
    <row r="927" spans="1:6" ht="12.75" customHeight="1">
      <c r="A927" s="2410" t="str">
        <f t="shared" si="15"/>
        <v>Nährstoffmenge kg / Jahr</v>
      </c>
      <c r="B927" s="2410" t="s">
        <v>11670</v>
      </c>
      <c r="C927" s="2410" t="s">
        <v>806</v>
      </c>
      <c r="D927" s="2414" t="s">
        <v>11671</v>
      </c>
    </row>
    <row r="928" spans="1:6" ht="12.75" customHeight="1">
      <c r="A928" s="2410" t="str">
        <f t="shared" si="15"/>
        <v>Nverf</v>
      </c>
      <c r="B928" s="2410" t="s">
        <v>5721</v>
      </c>
      <c r="C928" s="2410" t="s">
        <v>5722</v>
      </c>
      <c r="D928" s="2414" t="s">
        <v>5722</v>
      </c>
    </row>
    <row r="929" spans="1:4" ht="12.75" customHeight="1">
      <c r="A929" s="2410" t="str">
        <f t="shared" ref="A929:A994" si="16">IF($A$2=1,B929,IF($A$2=2,C929,IF($A$2=3,IF(D929="",C929,D929),"")))</f>
        <v>Klärschlamm laut Lieferschein</v>
      </c>
      <c r="B929" s="2410" t="s">
        <v>3463</v>
      </c>
      <c r="C929" s="2410" t="s">
        <v>5723</v>
      </c>
      <c r="D929" s="2414" t="s">
        <v>11150</v>
      </c>
    </row>
    <row r="930" spans="1:4" ht="12.75" customHeight="1">
      <c r="A930" s="2410" t="str">
        <f t="shared" si="16"/>
        <v>Kompost</v>
      </c>
      <c r="B930" s="2410" t="s">
        <v>3464</v>
      </c>
      <c r="C930" s="2410" t="s">
        <v>5724</v>
      </c>
      <c r="D930" s="2414" t="s">
        <v>5724</v>
      </c>
    </row>
    <row r="931" spans="1:4" ht="12.75" customHeight="1">
      <c r="A931" s="2410" t="str">
        <f t="shared" si="16"/>
        <v>Mineral- und andere Dünger</v>
      </c>
      <c r="B931" s="2410" t="s">
        <v>376</v>
      </c>
      <c r="C931" s="2410" t="s">
        <v>5725</v>
      </c>
      <c r="D931" s="2414" t="s">
        <v>8794</v>
      </c>
    </row>
    <row r="932" spans="1:4" ht="12.75" customHeight="1">
      <c r="A932" s="2410" t="str">
        <f t="shared" si="16"/>
        <v>Emissionsmindernde Ausbringverfahren</v>
      </c>
      <c r="B932" s="2410" t="s">
        <v>4268</v>
      </c>
      <c r="C932" s="2410" t="s">
        <v>4269</v>
      </c>
      <c r="D932" s="2414" t="s">
        <v>8795</v>
      </c>
    </row>
    <row r="933" spans="1:4" ht="12.75" customHeight="1">
      <c r="A933" s="2410" t="str">
        <f t="shared" si="16"/>
        <v>Zukauf von Weizenstroh zum Einstreuen</v>
      </c>
      <c r="B933" s="2410" t="s">
        <v>377</v>
      </c>
      <c r="C933" s="2410" t="s">
        <v>5726</v>
      </c>
      <c r="D933" s="2414" t="s">
        <v>8796</v>
      </c>
    </row>
    <row r="934" spans="1:4" ht="12.75" customHeight="1">
      <c r="A934" s="2410" t="str">
        <f t="shared" si="16"/>
        <v>dt FS</v>
      </c>
      <c r="B934" s="2410" t="s">
        <v>3485</v>
      </c>
      <c r="C934" s="2410" t="s">
        <v>188</v>
      </c>
      <c r="D934" s="2414" t="s">
        <v>8742</v>
      </c>
    </row>
    <row r="935" spans="1:4" ht="12.75" customHeight="1">
      <c r="A935" s="2410" t="str">
        <f t="shared" si="16"/>
        <v>D: Gesamttotal Zufuhr übriger Dünger</v>
      </c>
      <c r="B935" s="2410" t="s">
        <v>378</v>
      </c>
      <c r="C935" s="2410" t="s">
        <v>5727</v>
      </c>
      <c r="D935" s="2414" t="s">
        <v>8797</v>
      </c>
    </row>
    <row r="936" spans="1:4" ht="12.75" customHeight="1">
      <c r="A936" s="2410" t="str">
        <f t="shared" si="16"/>
        <v>Formular F:  Nährstoffbilanz</v>
      </c>
      <c r="B936" s="2410" t="s">
        <v>4825</v>
      </c>
      <c r="C936" s="2410" t="s">
        <v>4826</v>
      </c>
      <c r="D936" s="2414" t="s">
        <v>8798</v>
      </c>
    </row>
    <row r="937" spans="1:4" ht="12.75" customHeight="1">
      <c r="A937" s="2410" t="str">
        <f t="shared" si="16"/>
        <v>Berechnung des betriebsspezifischen N-Ausnutzungsgrades</v>
      </c>
      <c r="B937" s="2410" t="s">
        <v>6293</v>
      </c>
      <c r="C937" s="2410" t="s">
        <v>3301</v>
      </c>
      <c r="D937" s="2414" t="s">
        <v>8799</v>
      </c>
    </row>
    <row r="938" spans="1:4" ht="12.75" customHeight="1">
      <c r="A938" s="2410" t="str">
        <f t="shared" si="16"/>
        <v>Basis-N-Ausnutzungsgrad</v>
      </c>
      <c r="B938" s="2410" t="s">
        <v>5214</v>
      </c>
      <c r="C938" s="2410" t="s">
        <v>3454</v>
      </c>
      <c r="D938" s="2414" t="s">
        <v>8800</v>
      </c>
    </row>
    <row r="939" spans="1:4" ht="12.75" customHeight="1">
      <c r="A939" s="2410" t="str">
        <f t="shared" si="16"/>
        <v>abzüglich</v>
      </c>
      <c r="B939" s="2410" t="s">
        <v>3704</v>
      </c>
      <c r="C939" s="2410" t="s">
        <v>3455</v>
      </c>
      <c r="D939" s="2414" t="s">
        <v>4406</v>
      </c>
    </row>
    <row r="940" spans="1:4" ht="12.75" customHeight="1">
      <c r="A940" s="2410" t="str">
        <f t="shared" si="16"/>
        <v>Offene Ackerfläche x 0.15</v>
      </c>
      <c r="B940" s="2410" t="s">
        <v>6665</v>
      </c>
      <c r="C940" s="2410" t="s">
        <v>3456</v>
      </c>
      <c r="D940" s="2414" t="s">
        <v>11151</v>
      </c>
    </row>
    <row r="941" spans="1:4" ht="12.75" customHeight="1">
      <c r="A941" s="2410" t="str">
        <f t="shared" si="16"/>
        <v>Anteil Nges-Vollmist x 0.12</v>
      </c>
      <c r="B941" s="2410" t="s">
        <v>2026</v>
      </c>
      <c r="C941" s="2410" t="s">
        <v>3457</v>
      </c>
      <c r="D941" s="2414" t="s">
        <v>11152</v>
      </c>
    </row>
    <row r="942" spans="1:4" ht="12.75" customHeight="1">
      <c r="A942" s="2410" t="str">
        <f t="shared" si="16"/>
        <v>Total betriebsspezifischer Ausnutzungsgrad</v>
      </c>
      <c r="B942" s="2410" t="s">
        <v>4119</v>
      </c>
      <c r="C942" s="2410" t="s">
        <v>305</v>
      </c>
      <c r="D942" s="2414" t="s">
        <v>8801</v>
      </c>
    </row>
    <row r="943" spans="1:4" ht="12.75" customHeight="1">
      <c r="A943" s="2410" t="str">
        <f t="shared" si="16"/>
        <v>Gesamtbetrieblich</v>
      </c>
      <c r="B943" s="2410" t="s">
        <v>4120</v>
      </c>
      <c r="C943" s="2410" t="s">
        <v>3458</v>
      </c>
      <c r="D943" s="2414" t="s">
        <v>8802</v>
      </c>
    </row>
    <row r="944" spans="1:4" ht="12.75" customHeight="1">
      <c r="A944" s="2410" t="str">
        <f t="shared" si="16"/>
        <v>je Hektare düngbare Fläche (DF)</v>
      </c>
      <c r="B944" s="2410" t="s">
        <v>619</v>
      </c>
      <c r="C944" s="2410" t="s">
        <v>2099</v>
      </c>
      <c r="D944" s="2414" t="s">
        <v>11672</v>
      </c>
    </row>
    <row r="945" spans="1:4" ht="12.75" customHeight="1">
      <c r="A945" s="2410" t="str">
        <f t="shared" si="16"/>
        <v>Nges</v>
      </c>
      <c r="B945" s="2410" t="s">
        <v>5419</v>
      </c>
      <c r="C945" s="2410" t="s">
        <v>1538</v>
      </c>
      <c r="D945" s="2414" t="s">
        <v>1538</v>
      </c>
    </row>
    <row r="946" spans="1:4" ht="12.75" customHeight="1">
      <c r="A946" s="2410" t="str">
        <f t="shared" si="16"/>
        <v>Nverf =</v>
      </c>
      <c r="B946" s="2410" t="s">
        <v>4160</v>
      </c>
      <c r="C946" s="2410" t="s">
        <v>2100</v>
      </c>
      <c r="D946" s="2414" t="s">
        <v>2100</v>
      </c>
    </row>
    <row r="947" spans="1:4" ht="12.75" customHeight="1">
      <c r="A947" s="2410" t="str">
        <f t="shared" si="16"/>
        <v>Nges x 12]</v>
      </c>
      <c r="B947" s="2410" t="s">
        <v>3132</v>
      </c>
      <c r="C947" s="2410" t="s">
        <v>1671</v>
      </c>
      <c r="D947" s="2414" t="s">
        <v>1671</v>
      </c>
    </row>
    <row r="948" spans="1:4" ht="12.75" customHeight="1">
      <c r="A948" s="2410" t="str">
        <f t="shared" si="16"/>
        <v>Nverf</v>
      </c>
      <c r="B948" s="2410" t="s">
        <v>5721</v>
      </c>
      <c r="C948" s="2410" t="s">
        <v>5722</v>
      </c>
      <c r="D948" s="2414" t="s">
        <v>5722</v>
      </c>
    </row>
    <row r="949" spans="1:4" ht="12.75" customHeight="1">
      <c r="A949" s="2410" t="str">
        <f t="shared" si="16"/>
        <v xml:space="preserve">Nährstoffe aus der Tierhaltung (% = Eigenversorgung Betrieb)  </v>
      </c>
      <c r="B949" s="2781" t="s">
        <v>11886</v>
      </c>
      <c r="C949" s="2410" t="s">
        <v>5010</v>
      </c>
      <c r="D949" s="2414" t="s">
        <v>8803</v>
      </c>
    </row>
    <row r="950" spans="1:4" ht="12.75" customHeight="1">
      <c r="A950" s="2410" t="str">
        <f t="shared" si="16"/>
        <v>[ - ] Nährstoffbedarf der Kulturen</v>
      </c>
      <c r="B950" s="2410" t="s">
        <v>3880</v>
      </c>
      <c r="C950" s="2410" t="s">
        <v>7043</v>
      </c>
      <c r="D950" s="2414" t="s">
        <v>8804</v>
      </c>
    </row>
    <row r="951" spans="1:4" ht="12.75" customHeight="1">
      <c r="A951" s="2410" t="str">
        <f t="shared" si="16"/>
        <v xml:space="preserve">Zwischenbilanz </v>
      </c>
      <c r="B951" s="2410" t="s">
        <v>4959</v>
      </c>
      <c r="C951" s="2410" t="s">
        <v>5498</v>
      </c>
      <c r="D951" s="2414" t="s">
        <v>6059</v>
      </c>
    </row>
    <row r="952" spans="1:4" ht="12.75" customHeight="1">
      <c r="A952" s="2410" t="str">
        <f t="shared" si="16"/>
        <v>[ + ] Zu- und Wegfuhr von Hofdüngern</v>
      </c>
      <c r="B952" s="2410" t="s">
        <v>5390</v>
      </c>
      <c r="C952" s="2410" t="s">
        <v>5268</v>
      </c>
      <c r="D952" s="2414" t="s">
        <v>8805</v>
      </c>
    </row>
    <row r="953" spans="1:4" ht="12.75" customHeight="1">
      <c r="A953" s="2410" t="str">
        <f t="shared" si="16"/>
        <v>[ + ] Zufuhr übriger Dünger</v>
      </c>
      <c r="B953" s="2410" t="s">
        <v>5391</v>
      </c>
      <c r="C953" s="2410" t="s">
        <v>5269</v>
      </c>
      <c r="D953" s="2414" t="s">
        <v>8806</v>
      </c>
    </row>
    <row r="954" spans="1:4" ht="12.75" customHeight="1">
      <c r="A954" s="2410" t="str">
        <f t="shared" si="16"/>
        <v xml:space="preserve">[ - ] Nährstofftransfer für Futter von ungedüngten Wiesen       </v>
      </c>
      <c r="B954" s="2410" t="s">
        <v>3371</v>
      </c>
      <c r="C954" s="2410" t="s">
        <v>5332</v>
      </c>
      <c r="D954" s="2414" t="s">
        <v>8807</v>
      </c>
    </row>
    <row r="955" spans="1:4" ht="12.75" customHeight="1">
      <c r="A955" s="2410" t="str">
        <f t="shared" si="16"/>
        <v xml:space="preserve">Gesamtbilanz: alle Nährstoffe </v>
      </c>
      <c r="B955" s="2410" t="s">
        <v>3373</v>
      </c>
      <c r="C955" s="2410" t="s">
        <v>5333</v>
      </c>
      <c r="D955" s="2414" t="s">
        <v>8808</v>
      </c>
    </row>
    <row r="956" spans="1:4" ht="12.75" customHeight="1">
      <c r="A956" s="2410" t="str">
        <f t="shared" si="16"/>
        <v>Maximaler Fehlerbereich für N und P2O5    13]</v>
      </c>
      <c r="B956" s="2410" t="s">
        <v>11738</v>
      </c>
      <c r="C956" s="2410" t="s">
        <v>11739</v>
      </c>
      <c r="D956" s="2414" t="s">
        <v>11740</v>
      </c>
    </row>
    <row r="957" spans="1:4" ht="12.75" customHeight="1">
      <c r="A957" s="2410" t="str">
        <f t="shared" si="16"/>
        <v>Nährstoffzufuhr (+), -wegfuhr (-)</v>
      </c>
      <c r="B957" s="2410" t="s">
        <v>11531</v>
      </c>
      <c r="C957" s="2410" t="s">
        <v>11532</v>
      </c>
      <c r="D957" s="2414" t="s">
        <v>11533</v>
      </c>
    </row>
    <row r="958" spans="1:4" ht="12.75" customHeight="1">
      <c r="A958" s="2410" t="str">
        <f t="shared" si="16"/>
        <v>Nährstoffzufuhr (+), -wegfuhr (-) mit Fehlerbereich</v>
      </c>
      <c r="B958" s="2410" t="s">
        <v>11534</v>
      </c>
      <c r="C958" s="2410" t="s">
        <v>11535</v>
      </c>
      <c r="D958" s="2414" t="s">
        <v>11673</v>
      </c>
    </row>
    <row r="959" spans="1:4" ht="12.75" customHeight="1">
      <c r="A959" s="2410" t="str">
        <f t="shared" si="16"/>
        <v>Die Bilanz für Stickstoff ist überschritten!</v>
      </c>
      <c r="B959" s="2410" t="s">
        <v>11356</v>
      </c>
      <c r="C959" s="2410" t="s">
        <v>11357</v>
      </c>
      <c r="D959" s="2414" t="s">
        <v>11358</v>
      </c>
    </row>
    <row r="960" spans="1:4" ht="12.75" customHeight="1">
      <c r="A960" s="2410" t="str">
        <f t="shared" si="16"/>
        <v>Die Bilanz für Phosphor ist überschritten!</v>
      </c>
      <c r="B960" s="2410" t="s">
        <v>11359</v>
      </c>
      <c r="C960" s="2410" t="s">
        <v>11360</v>
      </c>
      <c r="D960" s="2414" t="s">
        <v>11361</v>
      </c>
    </row>
    <row r="961" spans="1:4" ht="12.75" customHeight="1">
      <c r="A961" s="2410" t="str">
        <f t="shared" si="16"/>
        <v>Ort, Datum :</v>
      </c>
      <c r="B961" s="2410" t="s">
        <v>4121</v>
      </c>
      <c r="C961" s="2410" t="s">
        <v>3584</v>
      </c>
      <c r="D961" s="2414" t="s">
        <v>5111</v>
      </c>
    </row>
    <row r="962" spans="1:4" ht="12.75" customHeight="1">
      <c r="A962" s="2410" t="str">
        <f t="shared" si="16"/>
        <v>Unterschrift :</v>
      </c>
      <c r="B962" s="2410" t="s">
        <v>7230</v>
      </c>
      <c r="C962" s="2410" t="s">
        <v>2803</v>
      </c>
      <c r="D962" s="2414" t="s">
        <v>2752</v>
      </c>
    </row>
    <row r="963" spans="1:4" ht="12.75" customHeight="1">
      <c r="A963" s="2410" t="str">
        <f t="shared" si="16"/>
        <v>N</v>
      </c>
      <c r="B963" s="2410" t="s">
        <v>1511</v>
      </c>
      <c r="C963" s="2410" t="s">
        <v>1511</v>
      </c>
      <c r="D963" s="2414" t="s">
        <v>1511</v>
      </c>
    </row>
    <row r="964" spans="1:4" ht="12.75" customHeight="1">
      <c r="A964" s="2410" t="str">
        <f t="shared" si="16"/>
        <v>P2O5</v>
      </c>
      <c r="B964" s="2410" t="s">
        <v>1513</v>
      </c>
      <c r="C964" s="2410" t="s">
        <v>1513</v>
      </c>
      <c r="D964" s="2414" t="s">
        <v>1513</v>
      </c>
    </row>
    <row r="965" spans="1:4" ht="12.75" customHeight="1">
      <c r="A965" s="2410" t="str">
        <f t="shared" si="16"/>
        <v>K2O</v>
      </c>
      <c r="B965" s="2410" t="s">
        <v>1867</v>
      </c>
      <c r="C965" s="2410" t="s">
        <v>1867</v>
      </c>
      <c r="D965" s="2414" t="s">
        <v>1867</v>
      </c>
    </row>
    <row r="966" spans="1:4" ht="12.75" customHeight="1">
      <c r="A966" s="2410" t="str">
        <f t="shared" si="16"/>
        <v>Mg</v>
      </c>
      <c r="B966" s="2410" t="s">
        <v>7031</v>
      </c>
      <c r="C966" s="2410" t="s">
        <v>7031</v>
      </c>
      <c r="D966" s="2414" t="s">
        <v>7031</v>
      </c>
    </row>
    <row r="967" spans="1:4" ht="12.75" customHeight="1">
      <c r="A967" s="2410">
        <f t="shared" si="16"/>
        <v>0</v>
      </c>
      <c r="B967" s="2410"/>
      <c r="C967" s="2410"/>
      <c r="D967" s="2414"/>
    </row>
    <row r="968" spans="1:4" ht="12.75" customHeight="1">
      <c r="A968" s="2410" t="str">
        <f t="shared" si="16"/>
        <v>Zusatzformular Korrekturfaktoren Bodenuntersuchung bei Gemüsekulturen</v>
      </c>
      <c r="B968" s="2410" t="s">
        <v>7231</v>
      </c>
      <c r="C968" s="2410" t="s">
        <v>2544</v>
      </c>
      <c r="D968" s="2414" t="s">
        <v>8809</v>
      </c>
    </row>
    <row r="969" spans="1:4" ht="12.75" customHeight="1">
      <c r="A969" s="2410" t="str">
        <f t="shared" si="16"/>
        <v>Parzelle</v>
      </c>
      <c r="B969" s="2410" t="s">
        <v>7232</v>
      </c>
      <c r="C969" s="2410" t="s">
        <v>2545</v>
      </c>
      <c r="D969" s="2414" t="s">
        <v>8810</v>
      </c>
    </row>
    <row r="970" spans="1:4" ht="12.75" customHeight="1">
      <c r="A970" s="2410" t="str">
        <f t="shared" si="16"/>
        <v>Fläche</v>
      </c>
      <c r="B970" s="2410" t="s">
        <v>5348</v>
      </c>
      <c r="C970" s="2410" t="s">
        <v>1697</v>
      </c>
      <c r="D970" s="2414" t="s">
        <v>2757</v>
      </c>
    </row>
    <row r="971" spans="1:4" ht="12.75" customHeight="1">
      <c r="A971" s="2410" t="str">
        <f t="shared" si="16"/>
        <v>Aren</v>
      </c>
      <c r="B971" s="2410" t="s">
        <v>2445</v>
      </c>
      <c r="C971" s="2410" t="s">
        <v>1507</v>
      </c>
      <c r="D971" s="2414" t="s">
        <v>5112</v>
      </c>
    </row>
    <row r="972" spans="1:4" ht="12.75" customHeight="1">
      <c r="A972" s="2410" t="str">
        <f t="shared" si="16"/>
        <v>Korrekturfaktoren</v>
      </c>
      <c r="B972" s="2410" t="s">
        <v>2444</v>
      </c>
      <c r="C972" s="2410" t="s">
        <v>6684</v>
      </c>
      <c r="D972" s="2414" t="s">
        <v>5113</v>
      </c>
    </row>
    <row r="973" spans="1:4" ht="12.75" customHeight="1">
      <c r="A973" s="2410" t="str">
        <f t="shared" si="16"/>
        <v>Freilandgemüse</v>
      </c>
      <c r="B973" s="2410" t="s">
        <v>1059</v>
      </c>
      <c r="C973" s="2410" t="s">
        <v>4181</v>
      </c>
      <c r="D973" s="2414" t="s">
        <v>8511</v>
      </c>
    </row>
    <row r="974" spans="1:4" ht="12.75" customHeight="1">
      <c r="A974" s="2410" t="str">
        <f t="shared" si="16"/>
        <v>Flächengewichtete Korrekturfaktoren</v>
      </c>
      <c r="B974" s="2410" t="s">
        <v>3566</v>
      </c>
      <c r="C974" s="2410" t="s">
        <v>4234</v>
      </c>
      <c r="D974" s="2414" t="s">
        <v>1907</v>
      </c>
    </row>
    <row r="975" spans="1:4" ht="12.75" customHeight="1">
      <c r="A975" s="2410" t="str">
        <f t="shared" si="16"/>
        <v>Gemüse Gewächshaus (Hochtunnel)</v>
      </c>
      <c r="B975" s="2410" t="s">
        <v>4339</v>
      </c>
      <c r="C975" s="2410" t="s">
        <v>4235</v>
      </c>
      <c r="D975" s="2414" t="s">
        <v>1908</v>
      </c>
    </row>
    <row r="976" spans="1:4" ht="12.75" customHeight="1">
      <c r="A976" s="2410" t="str">
        <f t="shared" si="16"/>
        <v>Übertrag in Formular SB2</v>
      </c>
      <c r="B976" s="2410" t="s">
        <v>4340</v>
      </c>
      <c r="C976" s="2410" t="s">
        <v>4236</v>
      </c>
      <c r="D976" s="2414" t="s">
        <v>8811</v>
      </c>
    </row>
    <row r="977" spans="1:4" ht="12.75" customHeight="1">
      <c r="A977" s="2410" t="str">
        <f t="shared" si="16"/>
        <v>Freilandgemüse</v>
      </c>
      <c r="B977" s="2410" t="s">
        <v>1059</v>
      </c>
      <c r="C977" s="2410" t="s">
        <v>4181</v>
      </c>
      <c r="D977" s="2414" t="s">
        <v>8511</v>
      </c>
    </row>
    <row r="978" spans="1:4" ht="12.75" customHeight="1">
      <c r="A978" s="2410" t="str">
        <f t="shared" si="16"/>
        <v>Gewächshaus, Hochtunnel</v>
      </c>
      <c r="B978" s="2410" t="s">
        <v>11536</v>
      </c>
      <c r="C978" s="2410" t="s">
        <v>11537</v>
      </c>
      <c r="D978" s="2414" t="s">
        <v>11674</v>
      </c>
    </row>
    <row r="979" spans="1:4" ht="12.75" customHeight="1">
      <c r="A979" s="2410">
        <f t="shared" si="16"/>
        <v>0</v>
      </c>
      <c r="B979" s="2410"/>
      <c r="C979" s="2410"/>
      <c r="D979" s="2414"/>
    </row>
    <row r="980" spans="1:4" ht="12.75" customHeight="1">
      <c r="A980" s="2410" t="str">
        <f t="shared" si="16"/>
        <v>Zusatzformular "Reben und andere Dauerkulturen"</v>
      </c>
      <c r="B980" s="2580" t="s">
        <v>11770</v>
      </c>
      <c r="C980" s="2580" t="s">
        <v>11771</v>
      </c>
      <c r="D980" s="2581" t="s">
        <v>11772</v>
      </c>
    </row>
    <row r="981" spans="1:4" ht="12.75" customHeight="1">
      <c r="A981" s="2410" t="str">
        <f t="shared" si="16"/>
        <v>Parzelle</v>
      </c>
      <c r="B981" s="2410" t="s">
        <v>7232</v>
      </c>
      <c r="C981" s="2410" t="s">
        <v>2545</v>
      </c>
      <c r="D981" s="2414" t="s">
        <v>8810</v>
      </c>
    </row>
    <row r="982" spans="1:4" ht="12.75" customHeight="1">
      <c r="A982" s="2410" t="str">
        <f t="shared" si="16"/>
        <v>Fläche</v>
      </c>
      <c r="B982" s="2410" t="s">
        <v>5348</v>
      </c>
      <c r="C982" s="2410" t="s">
        <v>1697</v>
      </c>
      <c r="D982" s="2414" t="s">
        <v>2757</v>
      </c>
    </row>
    <row r="983" spans="1:4" ht="12.75" customHeight="1">
      <c r="A983" s="2410" t="str">
        <f t="shared" si="16"/>
        <v>Hektaren</v>
      </c>
      <c r="B983" s="2410" t="s">
        <v>1982</v>
      </c>
      <c r="C983" s="2410" t="s">
        <v>2372</v>
      </c>
      <c r="D983" s="2414" t="s">
        <v>11153</v>
      </c>
    </row>
    <row r="984" spans="1:4" ht="12.75" customHeight="1">
      <c r="A984" s="2410" t="str">
        <f t="shared" si="16"/>
        <v>Korrektur-</v>
      </c>
      <c r="B984" s="2410" t="s">
        <v>2791</v>
      </c>
      <c r="C984" s="2410" t="s">
        <v>2790</v>
      </c>
      <c r="D984" s="2414" t="s">
        <v>5815</v>
      </c>
    </row>
    <row r="985" spans="1:4" ht="12.75" customHeight="1">
      <c r="A985" s="2410" t="str">
        <f t="shared" si="16"/>
        <v>faktoren</v>
      </c>
      <c r="B985" s="2410" t="s">
        <v>2788</v>
      </c>
      <c r="C985" s="2410" t="s">
        <v>2789</v>
      </c>
      <c r="D985" s="2414" t="s">
        <v>5816</v>
      </c>
    </row>
    <row r="986" spans="1:4" ht="12.75" customHeight="1">
      <c r="A986" s="2410" t="str">
        <f t="shared" si="16"/>
        <v>Reben</v>
      </c>
      <c r="B986" s="2410" t="s">
        <v>4839</v>
      </c>
      <c r="C986" s="2410" t="s">
        <v>6464</v>
      </c>
      <c r="D986" s="2414" t="s">
        <v>8518</v>
      </c>
    </row>
    <row r="987" spans="1:4" ht="12.75" customHeight="1">
      <c r="A987" s="2410" t="str">
        <f t="shared" si="16"/>
        <v>Netto-Nährstoffbedarf gemäss Wegleitung Suisse-Bilanz</v>
      </c>
      <c r="B987" s="2410" t="s">
        <v>1338</v>
      </c>
      <c r="C987" s="2410" t="s">
        <v>6511</v>
      </c>
      <c r="D987" s="2414" t="s">
        <v>8812</v>
      </c>
    </row>
    <row r="988" spans="1:4" ht="12.75" customHeight="1">
      <c r="A988" s="2410" t="str">
        <f t="shared" si="16"/>
        <v>Andere Dauerkulturen</v>
      </c>
      <c r="B988" s="2580" t="s">
        <v>2593</v>
      </c>
      <c r="C988" s="2580" t="s">
        <v>2327</v>
      </c>
      <c r="D988" s="2581" t="s">
        <v>11776</v>
      </c>
    </row>
    <row r="989" spans="1:4" ht="12.75" customHeight="1">
      <c r="A989" s="2410" t="str">
        <f t="shared" si="16"/>
        <v>Obstanlagen</v>
      </c>
      <c r="B989" s="2410" t="s">
        <v>3139</v>
      </c>
      <c r="C989" s="2410" t="s">
        <v>4761</v>
      </c>
      <c r="D989" s="2414" t="s">
        <v>8519</v>
      </c>
    </row>
    <row r="990" spans="1:4" ht="12.75" customHeight="1">
      <c r="A990" s="2410" t="str">
        <f t="shared" si="16"/>
        <v>Beeren</v>
      </c>
      <c r="B990" s="2410" t="s">
        <v>3276</v>
      </c>
      <c r="C990" s="2410" t="s">
        <v>5249</v>
      </c>
      <c r="D990" s="2414" t="s">
        <v>8522</v>
      </c>
    </row>
    <row r="991" spans="1:4" ht="12.75" customHeight="1">
      <c r="A991" s="2410" t="str">
        <f t="shared" si="16"/>
        <v>Parzelle, Sorte</v>
      </c>
      <c r="B991" s="2410" t="s">
        <v>11538</v>
      </c>
      <c r="C991" s="2410" t="s">
        <v>11539</v>
      </c>
      <c r="D991" s="2414" t="s">
        <v>11675</v>
      </c>
    </row>
    <row r="992" spans="1:4" ht="12.75" customHeight="1">
      <c r="A992" s="2410" t="str">
        <f t="shared" si="16"/>
        <v>Standardertrag: Weinreben, Tafeltrauben</v>
      </c>
      <c r="B992" s="2410" t="s">
        <v>6421</v>
      </c>
      <c r="C992" s="2410" t="s">
        <v>5799</v>
      </c>
      <c r="D992" s="2414" t="s">
        <v>8813</v>
      </c>
    </row>
    <row r="993" spans="1:4" ht="12.75" customHeight="1">
      <c r="A993" s="2410" t="str">
        <f t="shared" si="16"/>
        <v>Hoher Ertrag: Tafeltrauben</v>
      </c>
      <c r="B993" s="2410" t="s">
        <v>544</v>
      </c>
      <c r="C993" s="2410" t="s">
        <v>6422</v>
      </c>
      <c r="D993" s="2414" t="s">
        <v>8814</v>
      </c>
    </row>
    <row r="994" spans="1:4" ht="12.75" customHeight="1">
      <c r="A994" s="2410" t="str">
        <f t="shared" si="16"/>
        <v>Übertrag in Formular SB2</v>
      </c>
      <c r="B994" s="2410" t="s">
        <v>4340</v>
      </c>
      <c r="C994" s="2410" t="s">
        <v>4236</v>
      </c>
      <c r="D994" s="2414" t="s">
        <v>8811</v>
      </c>
    </row>
    <row r="995" spans="1:4" ht="12.75" customHeight="1">
      <c r="A995" s="2410" t="str">
        <f t="shared" ref="A995:A1064" si="17">IF($A$2=1,B995,IF($A$2=2,C995,IF($A$2=3,IF(D995="",C995,D995),"")))</f>
        <v>Beispiel: Buck, Gewürztraminer</v>
      </c>
      <c r="B995" s="2410" t="s">
        <v>6418</v>
      </c>
      <c r="C995" s="2410" t="s">
        <v>6939</v>
      </c>
      <c r="D995" s="2414" t="s">
        <v>11676</v>
      </c>
    </row>
    <row r="996" spans="1:4" ht="12.75" customHeight="1">
      <c r="A996" s="2410" t="str">
        <f t="shared" si="17"/>
        <v>Beispiel: Buck, Muscat bleu</v>
      </c>
      <c r="B996" s="2410" t="s">
        <v>4622</v>
      </c>
      <c r="C996" s="2410" t="s">
        <v>6679</v>
      </c>
      <c r="D996" s="2414" t="s">
        <v>11677</v>
      </c>
    </row>
    <row r="997" spans="1:4" ht="12.75" customHeight="1">
      <c r="A997" s="2410" t="str">
        <f t="shared" si="17"/>
        <v>Beispiel: Hopfen</v>
      </c>
      <c r="B997" s="2410" t="s">
        <v>1994</v>
      </c>
      <c r="C997" s="2410" t="s">
        <v>1995</v>
      </c>
      <c r="D997" s="2414" t="s">
        <v>8815</v>
      </c>
    </row>
    <row r="998" spans="1:4" ht="12.75" customHeight="1">
      <c r="A998" s="2410" t="str">
        <f t="shared" si="17"/>
        <v>Nährstoffbedarf Reben:</v>
      </c>
      <c r="B998" s="2410" t="s">
        <v>6512</v>
      </c>
      <c r="C998" s="2410" t="s">
        <v>6576</v>
      </c>
      <c r="D998" s="2414" t="s">
        <v>8816</v>
      </c>
    </row>
    <row r="999" spans="1:4" ht="12.75" customHeight="1">
      <c r="A999" s="2410" t="str">
        <f t="shared" si="17"/>
        <v>Nährstoffbedarf DK:</v>
      </c>
      <c r="B999" s="2580" t="s">
        <v>11777</v>
      </c>
      <c r="C999" s="2580" t="s">
        <v>11778</v>
      </c>
      <c r="D999" s="2581" t="s">
        <v>11779</v>
      </c>
    </row>
    <row r="1000" spans="1:4" ht="12.75" customHeight="1">
      <c r="A1000" s="2410" t="str">
        <f t="shared" si="17"/>
        <v>Spargel, Bleich-</v>
      </c>
      <c r="B1000" s="2580" t="s">
        <v>11783</v>
      </c>
      <c r="C1000" s="2410" t="s">
        <v>6735</v>
      </c>
      <c r="D1000" s="2424" t="s">
        <v>10161</v>
      </c>
    </row>
    <row r="1001" spans="1:4" ht="12.75" customHeight="1">
      <c r="A1001" s="2410" t="str">
        <f t="shared" si="17"/>
        <v>Spargel, Grün-</v>
      </c>
      <c r="B1001" s="2580" t="s">
        <v>11784</v>
      </c>
      <c r="C1001" s="2410" t="s">
        <v>6736</v>
      </c>
      <c r="D1001" s="2424" t="s">
        <v>10162</v>
      </c>
    </row>
    <row r="1002" spans="1:4" ht="12.75" customHeight="1">
      <c r="A1002" s="2410" t="str">
        <f>IF($A$2=1,B1002,IF($A$2=2,C1002,IF($A$2=3,IF(D1002="",C1002,D1002),"")))</f>
        <v>Rhabarber</v>
      </c>
      <c r="B1002" s="2410" t="s">
        <v>1651</v>
      </c>
      <c r="C1002" s="2410" t="s">
        <v>5209</v>
      </c>
      <c r="D1002" s="2424" t="s">
        <v>10146</v>
      </c>
    </row>
    <row r="1003" spans="1:4" ht="12.75" customHeight="1">
      <c r="A1003" s="2410" t="str">
        <f>IF($A$2=1,B1003,IF($A$2=2,C1003,IF($A$2=3,IF(D1003="",C1003,D1003),"")))</f>
        <v>Beispiel: Spargel, Bleich-</v>
      </c>
      <c r="B1003" s="2580" t="s">
        <v>11788</v>
      </c>
      <c r="C1003" s="2580" t="s">
        <v>11789</v>
      </c>
      <c r="D1003" s="2581" t="s">
        <v>11790</v>
      </c>
    </row>
    <row r="1004" spans="1:4" ht="12.75" customHeight="1">
      <c r="A1004" s="2410" t="str">
        <f>IF($A$2=1,B1004,IF($A$2=2,C1004,IF($A$2=3,IF(D1004="",C1004,D1004),"")))</f>
        <v>Beispiel: Spargel, Grün-</v>
      </c>
      <c r="B1004" s="2580" t="s">
        <v>11785</v>
      </c>
      <c r="C1004" s="2580" t="s">
        <v>11786</v>
      </c>
      <c r="D1004" s="2581" t="s">
        <v>11787</v>
      </c>
    </row>
    <row r="1005" spans="1:4" ht="12.75" customHeight="1">
      <c r="A1005" s="2410" t="str">
        <f>IF($A$2=1,B1005,IF($A$2=2,C1005,IF($A$2=3,IF(D1005="",C1005,D1005),"")))</f>
        <v>Beispiel: Rharbarber</v>
      </c>
      <c r="B1005" s="2580" t="s">
        <v>11780</v>
      </c>
      <c r="C1005" s="2580" t="s">
        <v>11781</v>
      </c>
      <c r="D1005" s="2581" t="s">
        <v>11782</v>
      </c>
    </row>
    <row r="1006" spans="1:4" ht="12.75" customHeight="1">
      <c r="A1006" s="2410" t="str">
        <f t="shared" si="17"/>
        <v>Reben</v>
      </c>
      <c r="B1006" s="2410" t="s">
        <v>4839</v>
      </c>
      <c r="C1006" s="2410" t="s">
        <v>6464</v>
      </c>
      <c r="D1006" s="2414" t="s">
        <v>8518</v>
      </c>
    </row>
    <row r="1007" spans="1:4" ht="12.75" customHeight="1">
      <c r="A1007" s="2410" t="str">
        <f t="shared" si="17"/>
        <v>Hopfen</v>
      </c>
      <c r="B1007" s="2410" t="s">
        <v>4840</v>
      </c>
      <c r="C1007" s="2410" t="s">
        <v>4760</v>
      </c>
      <c r="D1007" s="2414" t="s">
        <v>802</v>
      </c>
    </row>
    <row r="1008" spans="1:4" ht="12.75" customHeight="1">
      <c r="A1008" s="2410" t="str">
        <f t="shared" si="17"/>
        <v>Obstanlagen</v>
      </c>
      <c r="B1008" s="2410" t="s">
        <v>3139</v>
      </c>
      <c r="C1008" s="2410" t="s">
        <v>4761</v>
      </c>
      <c r="D1008" s="2414" t="s">
        <v>8519</v>
      </c>
    </row>
    <row r="1009" spans="1:4" ht="12.75" customHeight="1">
      <c r="A1009" s="2410" t="str">
        <f t="shared" si="17"/>
        <v>Beeren</v>
      </c>
      <c r="B1009" s="2410" t="s">
        <v>3276</v>
      </c>
      <c r="C1009" s="2410" t="s">
        <v>5249</v>
      </c>
      <c r="D1009" s="2414" t="s">
        <v>8522</v>
      </c>
    </row>
    <row r="1010" spans="1:4" ht="12.75" customHeight="1">
      <c r="A1010" s="2410">
        <f t="shared" si="17"/>
        <v>0</v>
      </c>
      <c r="B1010" s="2410"/>
      <c r="C1010" s="2410"/>
      <c r="D1010" s="2414"/>
    </row>
    <row r="1011" spans="1:4" ht="12.75" customHeight="1">
      <c r="A1011" s="2410" t="str">
        <f t="shared" si="17"/>
        <v>Zusatzformular "Freiland-Gemüsebau"</v>
      </c>
      <c r="B1011" s="2410" t="s">
        <v>22</v>
      </c>
      <c r="C1011" s="2580" t="s">
        <v>11773</v>
      </c>
      <c r="D1011" s="2414" t="s">
        <v>8817</v>
      </c>
    </row>
    <row r="1012" spans="1:4" ht="12.75" customHeight="1">
      <c r="A1012" s="2410" t="str">
        <f t="shared" si="17"/>
        <v>Anbaufläche (Aren):</v>
      </c>
      <c r="B1012" s="2410" t="s">
        <v>2446</v>
      </c>
      <c r="C1012" s="2410" t="s">
        <v>2929</v>
      </c>
      <c r="D1012" s="2414" t="s">
        <v>3818</v>
      </c>
    </row>
    <row r="1013" spans="1:4" ht="12.75" customHeight="1">
      <c r="A1013" s="2410" t="str">
        <f t="shared" si="17"/>
        <v>Netto-Nährstoffbedarf der Gemüsekulturen gemäss "Handbuch Gemüse"</v>
      </c>
      <c r="B1013" s="2410" t="s">
        <v>7537</v>
      </c>
      <c r="C1013" s="2410" t="s">
        <v>2930</v>
      </c>
      <c r="D1013" s="2414" t="s">
        <v>8818</v>
      </c>
    </row>
    <row r="1014" spans="1:4" ht="12.75" customHeight="1">
      <c r="A1014" s="2410" t="str">
        <f t="shared" si="17"/>
        <v>Gemüsekulturen auswählen</v>
      </c>
      <c r="B1014" s="2410" t="s">
        <v>1326</v>
      </c>
      <c r="C1014" s="2410" t="s">
        <v>5172</v>
      </c>
      <c r="D1014" s="2414" t="s">
        <v>8819</v>
      </c>
    </row>
    <row r="1015" spans="1:4" ht="12.75" customHeight="1">
      <c r="A1015" s="2410" t="str">
        <f t="shared" si="17"/>
        <v>Fläche</v>
      </c>
      <c r="B1015" s="2410" t="s">
        <v>5348</v>
      </c>
      <c r="C1015" s="2410" t="s">
        <v>1697</v>
      </c>
      <c r="D1015" s="2414" t="s">
        <v>2757</v>
      </c>
    </row>
    <row r="1016" spans="1:4" ht="12.75" customHeight="1">
      <c r="A1016" s="2410" t="str">
        <f t="shared" si="17"/>
        <v>Kultur</v>
      </c>
      <c r="B1016" s="2410" t="s">
        <v>3603</v>
      </c>
      <c r="C1016" s="2410" t="s">
        <v>312</v>
      </c>
      <c r="D1016" s="2414" t="s">
        <v>581</v>
      </c>
    </row>
    <row r="1017" spans="1:4" ht="12.75" customHeight="1">
      <c r="A1017" s="2410" t="str">
        <f t="shared" si="17"/>
        <v>Netto-Nährstoffbedarf</v>
      </c>
      <c r="B1017" s="2410" t="s">
        <v>7538</v>
      </c>
      <c r="C1017" s="2410" t="s">
        <v>6575</v>
      </c>
      <c r="D1017" s="2414" t="s">
        <v>8820</v>
      </c>
    </row>
    <row r="1018" spans="1:4" ht="12.75" customHeight="1">
      <c r="A1018" s="2410" t="str">
        <f t="shared" si="17"/>
        <v>in</v>
      </c>
      <c r="B1018" s="2410" t="s">
        <v>7539</v>
      </c>
      <c r="C1018" s="2410" t="s">
        <v>5174</v>
      </c>
      <c r="D1018" s="2414" t="s">
        <v>7539</v>
      </c>
    </row>
    <row r="1019" spans="1:4" ht="12.75" customHeight="1">
      <c r="A1019" s="2410" t="str">
        <f t="shared" si="17"/>
        <v>kg pro Are</v>
      </c>
      <c r="B1019" s="2410" t="s">
        <v>7540</v>
      </c>
      <c r="C1019" s="2410" t="s">
        <v>6513</v>
      </c>
      <c r="D1019" s="2414" t="s">
        <v>11678</v>
      </c>
    </row>
    <row r="1020" spans="1:4" ht="12.75" customHeight="1">
      <c r="A1020" s="2410" t="str">
        <f t="shared" si="17"/>
        <v>Netto-Nährstoffbedarf</v>
      </c>
      <c r="B1020" s="2410" t="s">
        <v>7538</v>
      </c>
      <c r="C1020" s="2410" t="s">
        <v>5173</v>
      </c>
      <c r="D1020" s="2414" t="s">
        <v>8820</v>
      </c>
    </row>
    <row r="1021" spans="1:4" ht="12.75" customHeight="1">
      <c r="A1021" s="2410" t="str">
        <f t="shared" si="17"/>
        <v>in</v>
      </c>
      <c r="B1021" s="2410" t="s">
        <v>7539</v>
      </c>
      <c r="C1021" s="2410" t="s">
        <v>5174</v>
      </c>
      <c r="D1021" s="2414" t="s">
        <v>7539</v>
      </c>
    </row>
    <row r="1022" spans="1:4" ht="12.75" customHeight="1">
      <c r="A1022" s="2410" t="str">
        <f t="shared" si="17"/>
        <v xml:space="preserve">kg pro Jahr </v>
      </c>
      <c r="B1022" s="2410" t="s">
        <v>6879</v>
      </c>
      <c r="C1022" s="2410" t="s">
        <v>2872</v>
      </c>
      <c r="D1022" s="2414" t="s">
        <v>11637</v>
      </c>
    </row>
    <row r="1023" spans="1:4" ht="12.75" customHeight="1">
      <c r="A1023" s="2410" t="str">
        <f t="shared" si="17"/>
        <v>Beispiel: Karotten Industrie</v>
      </c>
      <c r="B1023" s="2410" t="s">
        <v>7542</v>
      </c>
      <c r="C1023" s="2410" t="s">
        <v>878</v>
      </c>
      <c r="D1023" s="2414" t="s">
        <v>8821</v>
      </c>
    </row>
    <row r="1024" spans="1:4" ht="12.75" customHeight="1">
      <c r="A1024" s="2410" t="str">
        <f t="shared" si="17"/>
        <v>Total Nährstoffbedarf der Gemüse:</v>
      </c>
      <c r="B1024" s="2410" t="s">
        <v>3822</v>
      </c>
      <c r="C1024" s="2410" t="s">
        <v>879</v>
      </c>
      <c r="D1024" s="2414" t="s">
        <v>8822</v>
      </c>
    </row>
    <row r="1025" spans="1:4" ht="12.75" customHeight="1">
      <c r="A1025" s="2410">
        <f t="shared" si="17"/>
        <v>0</v>
      </c>
      <c r="B1025" s="2410"/>
      <c r="C1025" s="2410"/>
      <c r="D1025" s="2414"/>
    </row>
    <row r="1026" spans="1:4" ht="12.75" customHeight="1">
      <c r="A1026" s="2410" t="str">
        <f t="shared" si="17"/>
        <v>Zusatzformular "Gemüsebau Gewächshaus, Hochtunnel"</v>
      </c>
      <c r="B1026" s="2410" t="s">
        <v>11679</v>
      </c>
      <c r="C1026" s="2580" t="s">
        <v>11774</v>
      </c>
      <c r="D1026" s="2414" t="s">
        <v>11680</v>
      </c>
    </row>
    <row r="1027" spans="1:4" ht="12.75" customHeight="1">
      <c r="A1027" s="2410" t="str">
        <f t="shared" si="17"/>
        <v>Anbaufläche (Aren):</v>
      </c>
      <c r="B1027" s="2410" t="s">
        <v>2446</v>
      </c>
      <c r="C1027" s="2410" t="s">
        <v>2929</v>
      </c>
      <c r="D1027" s="2414" t="s">
        <v>3818</v>
      </c>
    </row>
    <row r="1028" spans="1:4" ht="12.75" customHeight="1">
      <c r="A1028" s="2410" t="str">
        <f t="shared" si="17"/>
        <v>Netto-Nährstoffbedarf der Gemüsekulturen gemäss "Handbuch Gemüse"</v>
      </c>
      <c r="B1028" s="2410" t="s">
        <v>7537</v>
      </c>
      <c r="C1028" s="2410" t="s">
        <v>2930</v>
      </c>
      <c r="D1028" s="2414" t="s">
        <v>11681</v>
      </c>
    </row>
    <row r="1029" spans="1:4" ht="12.75" customHeight="1">
      <c r="A1029" s="2410" t="str">
        <f t="shared" si="17"/>
        <v>Gemüsekulturen auswählen</v>
      </c>
      <c r="B1029" s="2410" t="s">
        <v>1326</v>
      </c>
      <c r="C1029" s="2410" t="s">
        <v>5172</v>
      </c>
      <c r="D1029" s="2414" t="s">
        <v>8819</v>
      </c>
    </row>
    <row r="1030" spans="1:4" ht="12.75" customHeight="1">
      <c r="A1030" s="2410" t="str">
        <f t="shared" si="17"/>
        <v>Fläche</v>
      </c>
      <c r="B1030" s="2410" t="s">
        <v>5348</v>
      </c>
      <c r="C1030" s="2410" t="s">
        <v>1697</v>
      </c>
      <c r="D1030" s="2414" t="s">
        <v>2757</v>
      </c>
    </row>
    <row r="1031" spans="1:4" ht="12.75" customHeight="1">
      <c r="A1031" s="2410" t="str">
        <f t="shared" si="17"/>
        <v>Kultur</v>
      </c>
      <c r="B1031" s="2410" t="s">
        <v>3603</v>
      </c>
      <c r="C1031" s="2410" t="s">
        <v>312</v>
      </c>
      <c r="D1031" s="2414" t="s">
        <v>581</v>
      </c>
    </row>
    <row r="1032" spans="1:4" ht="12.75" customHeight="1">
      <c r="A1032" s="2410" t="str">
        <f t="shared" si="17"/>
        <v>Netto-Nährstoffbedarf</v>
      </c>
      <c r="B1032" s="2410" t="s">
        <v>7538</v>
      </c>
      <c r="C1032" s="2410" t="s">
        <v>6575</v>
      </c>
      <c r="D1032" s="2414" t="s">
        <v>8820</v>
      </c>
    </row>
    <row r="1033" spans="1:4" ht="12.75" customHeight="1">
      <c r="A1033" s="2410" t="str">
        <f t="shared" si="17"/>
        <v>in</v>
      </c>
      <c r="B1033" s="2410" t="s">
        <v>7539</v>
      </c>
      <c r="C1033" s="2410" t="s">
        <v>5174</v>
      </c>
      <c r="D1033" s="2414" t="s">
        <v>7539</v>
      </c>
    </row>
    <row r="1034" spans="1:4" ht="12.75" customHeight="1">
      <c r="A1034" s="2410" t="str">
        <f t="shared" si="17"/>
        <v>kg pro Are</v>
      </c>
      <c r="B1034" s="2410" t="s">
        <v>7540</v>
      </c>
      <c r="C1034" s="2410" t="s">
        <v>6513</v>
      </c>
      <c r="D1034" s="2414" t="s">
        <v>11678</v>
      </c>
    </row>
    <row r="1035" spans="1:4" ht="12.75" customHeight="1">
      <c r="A1035" s="2410" t="str">
        <f t="shared" si="17"/>
        <v>Netto-Nährstoffbedarf</v>
      </c>
      <c r="B1035" s="2410" t="s">
        <v>7538</v>
      </c>
      <c r="C1035" s="2410" t="s">
        <v>5173</v>
      </c>
      <c r="D1035" s="2414" t="s">
        <v>8820</v>
      </c>
    </row>
    <row r="1036" spans="1:4" ht="12.75" customHeight="1">
      <c r="A1036" s="2410" t="str">
        <f t="shared" si="17"/>
        <v>in</v>
      </c>
      <c r="B1036" s="2410" t="s">
        <v>7539</v>
      </c>
      <c r="C1036" s="2410" t="s">
        <v>5174</v>
      </c>
      <c r="D1036" s="2414" t="s">
        <v>7539</v>
      </c>
    </row>
    <row r="1037" spans="1:4" ht="12.75" customHeight="1">
      <c r="A1037" s="2410" t="str">
        <f t="shared" si="17"/>
        <v xml:space="preserve">kg pro Jahr </v>
      </c>
      <c r="B1037" s="2410" t="s">
        <v>6879</v>
      </c>
      <c r="C1037" s="2410" t="s">
        <v>2872</v>
      </c>
      <c r="D1037" s="2414" t="s">
        <v>11637</v>
      </c>
    </row>
    <row r="1038" spans="1:4" ht="12.75" customHeight="1">
      <c r="A1038" s="2410" t="str">
        <f t="shared" si="17"/>
        <v>Beispiel: Aubergine</v>
      </c>
      <c r="B1038" s="2410" t="s">
        <v>4536</v>
      </c>
      <c r="C1038" s="2410" t="s">
        <v>4247</v>
      </c>
      <c r="D1038" s="2414" t="s">
        <v>8823</v>
      </c>
    </row>
    <row r="1039" spans="1:4" ht="12.75" customHeight="1">
      <c r="A1039" s="2410" t="str">
        <f t="shared" si="17"/>
        <v>Total Nährstoffbedarf der Gemüse:</v>
      </c>
      <c r="B1039" s="2410" t="s">
        <v>3822</v>
      </c>
      <c r="C1039" s="2410" t="s">
        <v>879</v>
      </c>
      <c r="D1039" s="2414" t="s">
        <v>8824</v>
      </c>
    </row>
    <row r="1040" spans="1:4" ht="12.75" customHeight="1">
      <c r="A1040" s="2410">
        <f t="shared" si="17"/>
        <v>0</v>
      </c>
      <c r="B1040" s="2410"/>
      <c r="C1040" s="2410"/>
      <c r="D1040" s="2414"/>
    </row>
    <row r="1041" spans="1:4" ht="12.75" customHeight="1">
      <c r="A1041" s="2410" t="str">
        <f t="shared" si="17"/>
        <v>Zusatzformular "Obst und Beeren"</v>
      </c>
      <c r="B1041" s="2410" t="s">
        <v>2764</v>
      </c>
      <c r="C1041" s="2580" t="s">
        <v>11775</v>
      </c>
      <c r="D1041" s="2414" t="s">
        <v>8825</v>
      </c>
    </row>
    <row r="1042" spans="1:4" ht="12.75" customHeight="1">
      <c r="A1042" s="2410" t="str">
        <f t="shared" si="17"/>
        <v>Netto-Nährstoffbedarf Obst gemäss Wegleitung Suisse-Bilanz</v>
      </c>
      <c r="B1042" s="2410" t="s">
        <v>2765</v>
      </c>
      <c r="C1042" s="2410" t="s">
        <v>437</v>
      </c>
      <c r="D1042" s="2414" t="s">
        <v>8826</v>
      </c>
    </row>
    <row r="1043" spans="1:4" ht="12.75" customHeight="1">
      <c r="A1043" s="2410" t="str">
        <f t="shared" si="17"/>
        <v>Obstkulturen auswählen</v>
      </c>
      <c r="B1043" s="2410" t="s">
        <v>5279</v>
      </c>
      <c r="C1043" s="2410" t="s">
        <v>2748</v>
      </c>
      <c r="D1043" s="2414" t="s">
        <v>8827</v>
      </c>
    </row>
    <row r="1044" spans="1:4" ht="12.75" customHeight="1">
      <c r="A1044" s="2410" t="str">
        <f t="shared" si="17"/>
        <v>Fläche</v>
      </c>
      <c r="B1044" s="2410" t="s">
        <v>5348</v>
      </c>
      <c r="C1044" s="2410" t="s">
        <v>1697</v>
      </c>
      <c r="D1044" s="2414" t="s">
        <v>2757</v>
      </c>
    </row>
    <row r="1045" spans="1:4" ht="12.75" customHeight="1">
      <c r="A1045" s="2410" t="str">
        <f t="shared" si="17"/>
        <v>Kultur</v>
      </c>
      <c r="B1045" s="2410" t="s">
        <v>3603</v>
      </c>
      <c r="C1045" s="2410" t="s">
        <v>312</v>
      </c>
      <c r="D1045" s="2414" t="s">
        <v>581</v>
      </c>
    </row>
    <row r="1046" spans="1:4" ht="12.75" customHeight="1">
      <c r="A1046" s="2410" t="str">
        <f t="shared" si="17"/>
        <v>Netto-Nährstoffbedarf</v>
      </c>
      <c r="B1046" s="2410" t="s">
        <v>7538</v>
      </c>
      <c r="C1046" s="2410" t="s">
        <v>6575</v>
      </c>
      <c r="D1046" s="2414" t="s">
        <v>8820</v>
      </c>
    </row>
    <row r="1047" spans="1:4" ht="12.75" customHeight="1">
      <c r="A1047" s="2410" t="str">
        <f t="shared" si="17"/>
        <v>in</v>
      </c>
      <c r="B1047" s="2410" t="s">
        <v>7539</v>
      </c>
      <c r="C1047" s="2410" t="s">
        <v>5174</v>
      </c>
      <c r="D1047" s="2414" t="s">
        <v>7539</v>
      </c>
    </row>
    <row r="1048" spans="1:4" ht="12.75" customHeight="1">
      <c r="A1048" s="2410" t="str">
        <f t="shared" si="17"/>
        <v>kg pro ha</v>
      </c>
      <c r="B1048" s="2410" t="s">
        <v>6419</v>
      </c>
      <c r="C1048" s="2410" t="s">
        <v>6420</v>
      </c>
      <c r="D1048" s="2414" t="s">
        <v>1866</v>
      </c>
    </row>
    <row r="1049" spans="1:4" ht="12.75" customHeight="1">
      <c r="A1049" s="2410" t="str">
        <f t="shared" si="17"/>
        <v>Netto-Nährstoffbedarf</v>
      </c>
      <c r="B1049" s="2410" t="s">
        <v>7538</v>
      </c>
      <c r="C1049" s="2410" t="s">
        <v>5173</v>
      </c>
      <c r="D1049" s="2414" t="s">
        <v>8820</v>
      </c>
    </row>
    <row r="1050" spans="1:4" ht="12.75" customHeight="1">
      <c r="A1050" s="2410" t="str">
        <f t="shared" si="17"/>
        <v>in</v>
      </c>
      <c r="B1050" s="2410" t="s">
        <v>7539</v>
      </c>
      <c r="C1050" s="2410" t="s">
        <v>5174</v>
      </c>
      <c r="D1050" s="2414" t="s">
        <v>7539</v>
      </c>
    </row>
    <row r="1051" spans="1:4" ht="12.75" customHeight="1">
      <c r="A1051" s="2410" t="str">
        <f t="shared" si="17"/>
        <v xml:space="preserve">kg pro Jahr </v>
      </c>
      <c r="B1051" s="2410" t="s">
        <v>6879</v>
      </c>
      <c r="C1051" s="2410" t="s">
        <v>2872</v>
      </c>
      <c r="D1051" s="2414" t="s">
        <v>11637</v>
      </c>
    </row>
    <row r="1052" spans="1:4" ht="12.75" customHeight="1">
      <c r="A1052" s="2410" t="str">
        <f t="shared" si="17"/>
        <v>Beispiel: Kiwi</v>
      </c>
      <c r="B1052" s="2410" t="s">
        <v>2766</v>
      </c>
      <c r="C1052" s="2410" t="s">
        <v>2148</v>
      </c>
      <c r="D1052" s="2414" t="s">
        <v>8828</v>
      </c>
    </row>
    <row r="1053" spans="1:4" ht="12.75" customHeight="1">
      <c r="A1053" s="2410" t="str">
        <f t="shared" si="17"/>
        <v>Anbaufläche (Hektaren):</v>
      </c>
      <c r="B1053" s="2410" t="s">
        <v>1579</v>
      </c>
      <c r="C1053" s="2410" t="s">
        <v>6022</v>
      </c>
      <c r="D1053" s="2414" t="s">
        <v>8829</v>
      </c>
    </row>
    <row r="1054" spans="1:4" ht="12.75" customHeight="1">
      <c r="A1054" s="2410" t="str">
        <f t="shared" si="17"/>
        <v>Nährstoffbedarf Obst:</v>
      </c>
      <c r="B1054" s="2410" t="s">
        <v>3185</v>
      </c>
      <c r="C1054" s="2410" t="s">
        <v>6819</v>
      </c>
      <c r="D1054" s="2414" t="s">
        <v>8830</v>
      </c>
    </row>
    <row r="1055" spans="1:4" ht="12.75" customHeight="1">
      <c r="A1055" s="2410" t="str">
        <f t="shared" si="17"/>
        <v>Netto-Nährstoffbedarf Beeren gemäss "Handbuch Beeren"</v>
      </c>
      <c r="B1055" s="2410" t="s">
        <v>3186</v>
      </c>
      <c r="C1055" s="2410" t="s">
        <v>5962</v>
      </c>
      <c r="D1055" s="2414" t="s">
        <v>8831</v>
      </c>
    </row>
    <row r="1056" spans="1:4" ht="12.75" customHeight="1">
      <c r="A1056" s="2410" t="str">
        <f t="shared" si="17"/>
        <v>Beerenkulturen auswählen</v>
      </c>
      <c r="B1056" s="2410" t="s">
        <v>4860</v>
      </c>
      <c r="C1056" s="2410" t="s">
        <v>6609</v>
      </c>
      <c r="D1056" s="2414" t="s">
        <v>8832</v>
      </c>
    </row>
    <row r="1057" spans="1:4" ht="12.75" customHeight="1">
      <c r="A1057" s="2410" t="str">
        <f t="shared" si="17"/>
        <v>Beispiel: Stachelbeeren</v>
      </c>
      <c r="B1057" s="2410" t="s">
        <v>3187</v>
      </c>
      <c r="C1057" s="2410" t="s">
        <v>6610</v>
      </c>
      <c r="D1057" s="2414" t="s">
        <v>8833</v>
      </c>
    </row>
    <row r="1058" spans="1:4" ht="12.75" customHeight="1">
      <c r="A1058" s="2410" t="str">
        <f t="shared" si="17"/>
        <v>Nährstoffbedarf Beeren:</v>
      </c>
      <c r="B1058" s="2410" t="s">
        <v>6611</v>
      </c>
      <c r="C1058" s="2410" t="s">
        <v>6574</v>
      </c>
      <c r="D1058" s="2414" t="s">
        <v>8834</v>
      </c>
    </row>
    <row r="1059" spans="1:4" ht="12.75" customHeight="1">
      <c r="A1059" s="2410" t="str">
        <f t="shared" si="17"/>
        <v>Anbaufläche stimmt nicht mit dem Blatt Fläche überein!</v>
      </c>
      <c r="B1059" s="2410" t="s">
        <v>2414</v>
      </c>
      <c r="C1059" s="2410" t="s">
        <v>4716</v>
      </c>
      <c r="D1059" s="2414" t="s">
        <v>8835</v>
      </c>
    </row>
    <row r="1060" spans="1:4" ht="12.75" customHeight="1">
      <c r="A1060" s="2410">
        <f t="shared" si="17"/>
        <v>0</v>
      </c>
      <c r="B1060" s="2410"/>
      <c r="C1060" s="2410"/>
      <c r="D1060" s="2414"/>
    </row>
    <row r="1061" spans="1:4" ht="12.75" customHeight="1">
      <c r="A1061" s="2410" t="str">
        <f t="shared" si="17"/>
        <v>Aufzucht</v>
      </c>
      <c r="B1061" s="2410" t="s">
        <v>3189</v>
      </c>
      <c r="C1061" s="2410" t="s">
        <v>6936</v>
      </c>
      <c r="D1061" s="2414" t="s">
        <v>8836</v>
      </c>
    </row>
    <row r="1062" spans="1:4" ht="12.75" customHeight="1">
      <c r="A1062" s="2410" t="str">
        <f t="shared" si="17"/>
        <v>Zurück zum Blatt Tierbestand, Tierzahlen in andere Blätter übertragen</v>
      </c>
      <c r="B1062" s="2410" t="s">
        <v>3945</v>
      </c>
      <c r="C1062" s="2410" t="s">
        <v>5525</v>
      </c>
      <c r="D1062" s="2414" t="s">
        <v>8837</v>
      </c>
    </row>
    <row r="1063" spans="1:4" ht="12.75" customHeight="1">
      <c r="A1063" s="2410" t="str">
        <f t="shared" si="17"/>
        <v>Anzahl Tiere</v>
      </c>
      <c r="B1063" s="2410" t="s">
        <v>1043</v>
      </c>
      <c r="C1063" s="2410" t="s">
        <v>5526</v>
      </c>
      <c r="D1063" s="2414" t="s">
        <v>8838</v>
      </c>
    </row>
    <row r="1064" spans="1:4" ht="12.75" customHeight="1">
      <c r="A1064" s="2410" t="str">
        <f t="shared" si="17"/>
        <v>Kuhbestand</v>
      </c>
      <c r="B1064" s="2410" t="s">
        <v>1044</v>
      </c>
      <c r="C1064" s="2410" t="s">
        <v>5527</v>
      </c>
      <c r="D1064" s="2414" t="s">
        <v>8839</v>
      </c>
    </row>
    <row r="1065" spans="1:4" ht="12.75" customHeight="1">
      <c r="A1065" s="2410" t="str">
        <f t="shared" ref="A1065:A1130" si="18">IF($A$2=1,B1065,IF($A$2=2,C1065,IF($A$2=3,IF(D1065="",C1065,D1065),"")))</f>
        <v>Kälber pro Kuh pro Jahr</v>
      </c>
      <c r="B1065" s="2410" t="s">
        <v>8216</v>
      </c>
      <c r="C1065" s="2410" t="s">
        <v>8217</v>
      </c>
      <c r="D1065" s="2414" t="s">
        <v>11682</v>
      </c>
    </row>
    <row r="1066" spans="1:4" ht="12.75" customHeight="1">
      <c r="A1066" s="2410" t="str">
        <f t="shared" si="18"/>
        <v>Erstkalbealter</v>
      </c>
      <c r="B1066" s="2410" t="s">
        <v>2260</v>
      </c>
      <c r="C1066" s="2410" t="s">
        <v>6370</v>
      </c>
      <c r="D1066" s="2414" t="s">
        <v>8840</v>
      </c>
    </row>
    <row r="1067" spans="1:4" ht="12.75" customHeight="1">
      <c r="A1067" s="2410" t="str">
        <f t="shared" si="18"/>
        <v>Monate</v>
      </c>
      <c r="B1067" s="2410" t="s">
        <v>4984</v>
      </c>
      <c r="C1067" s="2410" t="s">
        <v>5019</v>
      </c>
      <c r="D1067" s="2414" t="s">
        <v>5875</v>
      </c>
    </row>
    <row r="1068" spans="1:4" ht="12.75" customHeight="1">
      <c r="A1068" s="2410" t="str">
        <f t="shared" si="18"/>
        <v>davon weiblich (w), männlich (m), bis 160-tägig</v>
      </c>
      <c r="B1068" s="2410" t="s">
        <v>11540</v>
      </c>
      <c r="C1068" s="2410" t="s">
        <v>11541</v>
      </c>
      <c r="D1068" s="2414" t="s">
        <v>11683</v>
      </c>
    </row>
    <row r="1069" spans="1:4" ht="12.75" customHeight="1">
      <c r="A1069" s="2410" t="str">
        <f t="shared" si="18"/>
        <v xml:space="preserve">kg im Ø </v>
      </c>
      <c r="B1069" s="2410" t="s">
        <v>8221</v>
      </c>
      <c r="C1069" s="2410" t="s">
        <v>8220</v>
      </c>
      <c r="D1069" s="2414" t="s">
        <v>8841</v>
      </c>
    </row>
    <row r="1070" spans="1:4" ht="12.75" customHeight="1">
      <c r="A1070" s="2410" t="str">
        <f t="shared" si="18"/>
        <v>w</v>
      </c>
      <c r="B1070" s="2410" t="s">
        <v>4985</v>
      </c>
      <c r="C1070" s="2410" t="s">
        <v>4274</v>
      </c>
      <c r="D1070" s="2414" t="s">
        <v>4274</v>
      </c>
    </row>
    <row r="1071" spans="1:4" ht="12.75" customHeight="1">
      <c r="A1071" s="2410" t="str">
        <f t="shared" si="18"/>
        <v>w               +</v>
      </c>
      <c r="B1071" s="2410" t="s">
        <v>8223</v>
      </c>
      <c r="C1071" s="2410" t="s">
        <v>8226</v>
      </c>
      <c r="D1071" s="2414" t="s">
        <v>8842</v>
      </c>
    </row>
    <row r="1072" spans="1:4" ht="12.75" customHeight="1">
      <c r="A1072" s="2410" t="str">
        <f t="shared" si="18"/>
        <v>w               –</v>
      </c>
      <c r="B1072" s="2410" t="s">
        <v>8224</v>
      </c>
      <c r="C1072" s="2410" t="s">
        <v>8227</v>
      </c>
      <c r="D1072" s="2414" t="s">
        <v>8843</v>
      </c>
    </row>
    <row r="1073" spans="1:4" ht="12.75" customHeight="1">
      <c r="A1073" s="2410" t="str">
        <f t="shared" si="18"/>
        <v>w               =</v>
      </c>
      <c r="B1073" s="2410" t="s">
        <v>8225</v>
      </c>
      <c r="C1073" s="2410" t="s">
        <v>8228</v>
      </c>
      <c r="D1073" s="2414" t="s">
        <v>8844</v>
      </c>
    </row>
    <row r="1074" spans="1:4" ht="12.75" customHeight="1">
      <c r="A1074" s="2410" t="str">
        <f t="shared" si="18"/>
        <v>Zukauf Tränkekälber</v>
      </c>
      <c r="B1074" s="2410" t="s">
        <v>4988</v>
      </c>
      <c r="C1074" s="2410" t="s">
        <v>7351</v>
      </c>
      <c r="D1074" s="2414" t="s">
        <v>8845</v>
      </c>
    </row>
    <row r="1075" spans="1:4" ht="12.75" customHeight="1">
      <c r="A1075" s="2410" t="str">
        <f t="shared" si="18"/>
        <v>Verkauf Tränkekälber</v>
      </c>
      <c r="B1075" s="2410" t="s">
        <v>844</v>
      </c>
      <c r="C1075" s="2410" t="s">
        <v>2454</v>
      </c>
      <c r="D1075" s="2414" t="s">
        <v>8846</v>
      </c>
    </row>
    <row r="1076" spans="1:4" ht="12.75" customHeight="1">
      <c r="A1076" s="2410" t="str">
        <f t="shared" si="18"/>
        <v>Verkauf Mastkälber</v>
      </c>
      <c r="B1076" s="2410" t="s">
        <v>845</v>
      </c>
      <c r="C1076" s="2410" t="s">
        <v>2455</v>
      </c>
      <c r="D1076" s="2414" t="s">
        <v>11154</v>
      </c>
    </row>
    <row r="1077" spans="1:4" ht="12.75" customHeight="1">
      <c r="A1077" s="2410" t="str">
        <f t="shared" si="18"/>
        <v>Aufzuchtkälber, bis 160-tägig</v>
      </c>
      <c r="B1077" s="2410" t="s">
        <v>8206</v>
      </c>
      <c r="C1077" s="2410" t="s">
        <v>8233</v>
      </c>
      <c r="D1077" s="2414" t="s">
        <v>8847</v>
      </c>
    </row>
    <row r="1078" spans="1:4" ht="12.75" customHeight="1">
      <c r="A1078" s="2410" t="str">
        <f t="shared" si="18"/>
        <v>Aufzuchtkälber für Grossviehmast</v>
      </c>
      <c r="B1078" s="2410" t="s">
        <v>1471</v>
      </c>
      <c r="C1078" s="2410" t="s">
        <v>6876</v>
      </c>
      <c r="D1078" s="2414" t="s">
        <v>8848</v>
      </c>
    </row>
    <row r="1079" spans="1:4" ht="12.75" customHeight="1">
      <c r="A1079" s="2410" t="str">
        <f t="shared" si="18"/>
        <v>Kälber für Milchviehremontierung</v>
      </c>
      <c r="B1079" s="2410" t="s">
        <v>1472</v>
      </c>
      <c r="C1079" s="2410" t="s">
        <v>7544</v>
      </c>
      <c r="D1079" s="2414" t="s">
        <v>11155</v>
      </c>
    </row>
    <row r="1080" spans="1:4" ht="12.75" customHeight="1">
      <c r="A1080" s="2410" t="str">
        <f t="shared" si="18"/>
        <v>Verkauf Tiere</v>
      </c>
      <c r="B1080" s="2410" t="s">
        <v>8208</v>
      </c>
      <c r="C1080" s="2410" t="s">
        <v>186</v>
      </c>
      <c r="D1080" s="2414" t="s">
        <v>2269</v>
      </c>
    </row>
    <row r="1081" spans="1:4" ht="12.75" customHeight="1">
      <c r="A1081" s="2410" t="str">
        <f t="shared" si="18"/>
        <v>Zukauf Tiere</v>
      </c>
      <c r="B1081" s="2410" t="s">
        <v>8209</v>
      </c>
      <c r="C1081" s="2410" t="s">
        <v>187</v>
      </c>
      <c r="D1081" s="2414" t="s">
        <v>5772</v>
      </c>
    </row>
    <row r="1082" spans="1:4" ht="12.75" customHeight="1">
      <c r="A1082" s="2410" t="str">
        <f t="shared" si="18"/>
        <v>bis 160-tägig</v>
      </c>
      <c r="B1082" s="2410" t="s">
        <v>8210</v>
      </c>
      <c r="C1082" s="2410" t="s">
        <v>8234</v>
      </c>
      <c r="D1082" s="2414" t="s">
        <v>8849</v>
      </c>
    </row>
    <row r="1083" spans="1:4" ht="12.75" customHeight="1">
      <c r="A1083" s="2410" t="str">
        <f t="shared" si="18"/>
        <v>160 bis 365-tägig</v>
      </c>
      <c r="B1083" s="2410" t="s">
        <v>8211</v>
      </c>
      <c r="C1083" s="2410" t="s">
        <v>8235</v>
      </c>
      <c r="D1083" s="2414" t="s">
        <v>8850</v>
      </c>
    </row>
    <row r="1084" spans="1:4" ht="12.75" customHeight="1">
      <c r="A1084" s="2410" t="str">
        <f t="shared" si="18"/>
        <v>1 bis 2-jährig</v>
      </c>
      <c r="B1084" s="2410" t="s">
        <v>8212</v>
      </c>
      <c r="C1084" s="2410" t="s">
        <v>2620</v>
      </c>
      <c r="D1084" s="2414" t="s">
        <v>11156</v>
      </c>
    </row>
    <row r="1085" spans="1:4" ht="12.75" customHeight="1">
      <c r="A1085" s="2410" t="str">
        <f t="shared" si="18"/>
        <v>über 2-jährig</v>
      </c>
      <c r="B1085" s="2410" t="s">
        <v>8213</v>
      </c>
      <c r="C1085" s="2410" t="s">
        <v>2621</v>
      </c>
      <c r="D1085" s="2414" t="s">
        <v>8851</v>
      </c>
    </row>
    <row r="1086" spans="1:4" ht="12.75" customHeight="1">
      <c r="A1086" s="2410" t="str">
        <f t="shared" si="18"/>
        <v>Anzahl</v>
      </c>
      <c r="B1086" s="2410" t="s">
        <v>7044</v>
      </c>
      <c r="C1086" s="2410" t="s">
        <v>5260</v>
      </c>
      <c r="D1086" s="2414" t="s">
        <v>3773</v>
      </c>
    </row>
    <row r="1087" spans="1:4" ht="12.75" customHeight="1">
      <c r="A1087" s="2410" t="str">
        <f t="shared" si="18"/>
        <v>Anfall Erstlaktierende bzw. Deckstiere pro Jahr</v>
      </c>
      <c r="B1087" s="2410" t="s">
        <v>8207</v>
      </c>
      <c r="C1087" s="2410" t="s">
        <v>5234</v>
      </c>
      <c r="D1087" s="2414" t="s">
        <v>11684</v>
      </c>
    </row>
    <row r="1088" spans="1:4" ht="12.75" customHeight="1">
      <c r="A1088" s="2410" t="str">
        <f t="shared" si="18"/>
        <v>Zucht-, Nutzkühe bzw. Deckstiere</v>
      </c>
      <c r="B1088" s="2410" t="s">
        <v>8154</v>
      </c>
      <c r="C1088" s="2410" t="s">
        <v>5235</v>
      </c>
      <c r="D1088" s="2414" t="s">
        <v>11685</v>
      </c>
    </row>
    <row r="1089" spans="1:4" ht="12.75" customHeight="1">
      <c r="A1089" s="2410" t="str">
        <f t="shared" si="18"/>
        <v>Bedarf Remonten pro Jahr</v>
      </c>
      <c r="B1089" s="2410" t="s">
        <v>8218</v>
      </c>
      <c r="C1089" s="2410" t="s">
        <v>8219</v>
      </c>
      <c r="D1089" s="2414" t="s">
        <v>11686</v>
      </c>
    </row>
    <row r="1090" spans="1:4" ht="12.75" customHeight="1">
      <c r="A1090" s="2410" t="str">
        <f t="shared" si="18"/>
        <v>Ø Bestand</v>
      </c>
      <c r="B1090" s="2410" t="s">
        <v>6714</v>
      </c>
      <c r="C1090" s="2410" t="s">
        <v>5236</v>
      </c>
      <c r="D1090" s="2414" t="s">
        <v>8852</v>
      </c>
    </row>
    <row r="1091" spans="1:4" ht="12.75" customHeight="1">
      <c r="A1091" s="2410" t="str">
        <f t="shared" si="18"/>
        <v>Kühe</v>
      </c>
      <c r="B1091" s="2410" t="s">
        <v>4323</v>
      </c>
      <c r="C1091" s="2410" t="s">
        <v>5237</v>
      </c>
      <c r="D1091" s="2414" t="s">
        <v>1571</v>
      </c>
    </row>
    <row r="1092" spans="1:4" ht="12.75" customHeight="1">
      <c r="A1092" s="2410" t="str">
        <f t="shared" si="18"/>
        <v>Stiere</v>
      </c>
      <c r="B1092" s="2410" t="s">
        <v>6715</v>
      </c>
      <c r="C1092" s="2410" t="s">
        <v>5238</v>
      </c>
      <c r="D1092" s="2414" t="s">
        <v>1572</v>
      </c>
    </row>
    <row r="1093" spans="1:4" ht="12.75" customHeight="1">
      <c r="A1093" s="2410" t="str">
        <f t="shared" si="18"/>
        <v>Ø Nutzungsdauer</v>
      </c>
      <c r="B1093" s="2410" t="s">
        <v>5400</v>
      </c>
      <c r="C1093" s="2410" t="s">
        <v>788</v>
      </c>
      <c r="D1093" s="2414" t="s">
        <v>8853</v>
      </c>
    </row>
    <row r="1094" spans="1:4" ht="12.75" customHeight="1">
      <c r="A1094" s="2410" t="str">
        <f t="shared" si="18"/>
        <v>Jahre</v>
      </c>
      <c r="B1094" s="2410" t="s">
        <v>3516</v>
      </c>
      <c r="C1094" s="2410" t="s">
        <v>789</v>
      </c>
      <c r="D1094" s="2414" t="s">
        <v>1573</v>
      </c>
    </row>
    <row r="1095" spans="1:4" ht="12.75" customHeight="1">
      <c r="A1095" s="2410" t="str">
        <f t="shared" si="18"/>
        <v>Grossviehmast</v>
      </c>
      <c r="B1095" s="2410" t="s">
        <v>3501</v>
      </c>
      <c r="C1095" s="2410" t="s">
        <v>4067</v>
      </c>
      <c r="D1095" s="2414" t="s">
        <v>8854</v>
      </c>
    </row>
    <row r="1096" spans="1:4" ht="12.75" customHeight="1">
      <c r="A1096" s="2410" t="str">
        <f t="shared" si="18"/>
        <v>Aufzuchtkälber für Grossviehmast, siehe oben</v>
      </c>
      <c r="B1096" s="2410" t="s">
        <v>8155</v>
      </c>
      <c r="C1096" s="2410" t="s">
        <v>8156</v>
      </c>
      <c r="D1096" s="2414" t="s">
        <v>8855</v>
      </c>
    </row>
    <row r="1097" spans="1:4" ht="12.75" customHeight="1">
      <c r="A1097" s="2410" t="str">
        <f t="shared" si="18"/>
        <v>Zukauf Tiere</v>
      </c>
      <c r="B1097" s="2410" t="s">
        <v>8209</v>
      </c>
      <c r="C1097" s="2410" t="s">
        <v>3382</v>
      </c>
      <c r="D1097" s="2414" t="s">
        <v>11157</v>
      </c>
    </row>
    <row r="1098" spans="1:4" ht="12.75" customHeight="1">
      <c r="A1098" s="2410" t="str">
        <f t="shared" si="18"/>
        <v>Zukauf Mastremonten</v>
      </c>
      <c r="B1098" s="2410" t="s">
        <v>1480</v>
      </c>
      <c r="C1098" s="2410" t="s">
        <v>6079</v>
      </c>
      <c r="D1098" s="2414" t="s">
        <v>8856</v>
      </c>
    </row>
    <row r="1099" spans="1:4" ht="12.75" customHeight="1">
      <c r="A1099" s="2410" t="str">
        <f t="shared" si="18"/>
        <v>Verkauf Tiere</v>
      </c>
      <c r="B1099" s="2410" t="s">
        <v>8208</v>
      </c>
      <c r="C1099" s="2410" t="s">
        <v>6080</v>
      </c>
      <c r="D1099" s="2414" t="s">
        <v>11158</v>
      </c>
    </row>
    <row r="1100" spans="1:4" ht="12.75" customHeight="1">
      <c r="A1100" s="2410" t="str">
        <f t="shared" si="18"/>
        <v>Verkauf Mastremonten</v>
      </c>
      <c r="B1100" s="2410" t="s">
        <v>3541</v>
      </c>
      <c r="C1100" s="2410" t="s">
        <v>6081</v>
      </c>
      <c r="D1100" s="2414" t="s">
        <v>11159</v>
      </c>
    </row>
    <row r="1101" spans="1:4" ht="12.75" customHeight="1">
      <c r="A1101" s="2410" t="str">
        <f t="shared" si="18"/>
        <v>Anfall Tiere zur Ausmast pro Jahr</v>
      </c>
      <c r="B1101" s="2410" t="s">
        <v>8215</v>
      </c>
      <c r="C1101" s="2410" t="s">
        <v>6482</v>
      </c>
      <c r="D1101" s="2414" t="s">
        <v>11687</v>
      </c>
    </row>
    <row r="1102" spans="1:4" ht="12.75" customHeight="1">
      <c r="A1102" s="2410" t="str">
        <f t="shared" si="18"/>
        <v>vorzeitige Abgänge in Ausmast</v>
      </c>
      <c r="B1102" s="2410" t="s">
        <v>5865</v>
      </c>
      <c r="C1102" s="2410" t="s">
        <v>6483</v>
      </c>
      <c r="D1102" s="2414" t="s">
        <v>8858</v>
      </c>
    </row>
    <row r="1103" spans="1:4" ht="12.75" customHeight="1">
      <c r="A1103" s="2410" t="str">
        <f t="shared" si="18"/>
        <v>ausgemästete Tiere pro Jahr</v>
      </c>
      <c r="B1103" s="2410" t="s">
        <v>8222</v>
      </c>
      <c r="C1103" s="2410" t="s">
        <v>2431</v>
      </c>
      <c r="D1103" s="2414" t="s">
        <v>8859</v>
      </c>
    </row>
    <row r="1104" spans="1:4" ht="12.75" customHeight="1">
      <c r="A1104" s="2410" t="str">
        <f t="shared" si="18"/>
        <v>Umtriebsdauer</v>
      </c>
      <c r="B1104" s="2410" t="s">
        <v>5866</v>
      </c>
      <c r="C1104" s="2410" t="s">
        <v>2432</v>
      </c>
      <c r="D1104" s="2414" t="s">
        <v>3701</v>
      </c>
    </row>
    <row r="1105" spans="1:4" ht="12.75" customHeight="1">
      <c r="A1105" s="2410" t="str">
        <f t="shared" si="18"/>
        <v>Tage pro 365 Tage</v>
      </c>
      <c r="B1105" s="2410" t="s">
        <v>8167</v>
      </c>
      <c r="C1105" s="2410" t="s">
        <v>8164</v>
      </c>
      <c r="D1105" s="2414" t="s">
        <v>11688</v>
      </c>
    </row>
    <row r="1106" spans="1:4" ht="12.75" customHeight="1">
      <c r="A1106" s="2410" t="str">
        <f t="shared" si="18"/>
        <v>Anfall ausgemästete Tier pro Umtrieb</v>
      </c>
      <c r="B1106" s="2410" t="s">
        <v>8157</v>
      </c>
      <c r="C1106" s="2410" t="s">
        <v>8158</v>
      </c>
      <c r="D1106" s="2414" t="s">
        <v>11689</v>
      </c>
    </row>
    <row r="1107" spans="1:4" ht="12.75" customHeight="1">
      <c r="A1107" s="2410" t="str">
        <f t="shared" si="18"/>
        <v xml:space="preserve">    Anfall ausgemästete Tiere pro Umtrieb</v>
      </c>
      <c r="B1107" s="2410" t="s">
        <v>8214</v>
      </c>
      <c r="C1107" s="2410" t="s">
        <v>8159</v>
      </c>
      <c r="D1107" s="2414" t="s">
        <v>11690</v>
      </c>
    </row>
    <row r="1108" spans="1:4" ht="12.75" customHeight="1">
      <c r="A1108" s="2410" t="str">
        <f t="shared" si="18"/>
        <v xml:space="preserve">    Ausmastplätze</v>
      </c>
      <c r="B1108" s="2410" t="s">
        <v>6788</v>
      </c>
      <c r="C1108" s="2410" t="s">
        <v>2311</v>
      </c>
      <c r="D1108" s="2414" t="s">
        <v>8860</v>
      </c>
    </row>
    <row r="1109" spans="1:4" ht="12.75" customHeight="1">
      <c r="A1109" s="2410">
        <f t="shared" si="18"/>
        <v>0</v>
      </c>
      <c r="B1109" s="2410"/>
      <c r="C1109" s="2410"/>
      <c r="D1109" s="2414"/>
    </row>
    <row r="1110" spans="1:4" ht="12.75" customHeight="1">
      <c r="A1110" s="2410" t="str">
        <f t="shared" si="18"/>
        <v>Milchverwertung</v>
      </c>
      <c r="B1110" s="2410" t="s">
        <v>6789</v>
      </c>
      <c r="C1110" s="2410" t="s">
        <v>2312</v>
      </c>
      <c r="D1110" s="2414" t="s">
        <v>3702</v>
      </c>
    </row>
    <row r="1111" spans="1:4" ht="12.75" customHeight="1">
      <c r="A1111" s="2410" t="str">
        <f t="shared" si="18"/>
        <v>Basismenge</v>
      </c>
      <c r="B1111" s="2410" t="s">
        <v>3055</v>
      </c>
      <c r="C1111" s="2410" t="s">
        <v>2168</v>
      </c>
      <c r="D1111" s="2414" t="s">
        <v>4497</v>
      </c>
    </row>
    <row r="1112" spans="1:4" ht="12.75" customHeight="1">
      <c r="A1112" s="2410" t="str">
        <f t="shared" si="18"/>
        <v>Zusatzmenge 1</v>
      </c>
      <c r="B1112" s="2410" t="s">
        <v>3056</v>
      </c>
      <c r="C1112" s="2410" t="s">
        <v>2169</v>
      </c>
      <c r="D1112" s="2414" t="s">
        <v>8861</v>
      </c>
    </row>
    <row r="1113" spans="1:4" ht="12.75" customHeight="1">
      <c r="A1113" s="2410" t="str">
        <f t="shared" si="18"/>
        <v>Zusatzmenge 2</v>
      </c>
      <c r="B1113" s="2410" t="s">
        <v>3057</v>
      </c>
      <c r="C1113" s="2410" t="s">
        <v>2170</v>
      </c>
      <c r="D1113" s="2414" t="s">
        <v>8862</v>
      </c>
    </row>
    <row r="1114" spans="1:4" ht="12.75" customHeight="1">
      <c r="A1114" s="2410" t="str">
        <f t="shared" si="18"/>
        <v>Absatzpotenzial</v>
      </c>
      <c r="B1114" s="2410" t="s">
        <v>4555</v>
      </c>
      <c r="C1114" s="2410" t="s">
        <v>6745</v>
      </c>
      <c r="D1114" s="2414" t="s">
        <v>8863</v>
      </c>
    </row>
    <row r="1115" spans="1:4" ht="12.75" customHeight="1">
      <c r="A1115" s="2410" t="str">
        <f t="shared" si="18"/>
        <v xml:space="preserve">Vermarktete Milchmenge </v>
      </c>
      <c r="B1115" s="2410" t="s">
        <v>6653</v>
      </c>
      <c r="C1115" s="2410" t="s">
        <v>6654</v>
      </c>
      <c r="D1115" s="2414" t="s">
        <v>4522</v>
      </c>
    </row>
    <row r="1116" spans="1:4" ht="12.75" customHeight="1">
      <c r="A1116" s="2410" t="str">
        <f t="shared" si="18"/>
        <v>Milch an Haushalt</v>
      </c>
      <c r="B1116" s="2410" t="s">
        <v>3305</v>
      </c>
      <c r="C1116" s="2410" t="s">
        <v>2313</v>
      </c>
      <c r="D1116" s="2414" t="s">
        <v>8864</v>
      </c>
    </row>
    <row r="1117" spans="1:4" ht="12.75" customHeight="1">
      <c r="A1117" s="2410" t="str">
        <f t="shared" si="18"/>
        <v>kg pro Tag x 365 Tage</v>
      </c>
      <c r="B1117" s="2410" t="s">
        <v>8160</v>
      </c>
      <c r="C1117" s="2410" t="s">
        <v>8161</v>
      </c>
      <c r="D1117" s="2414" t="s">
        <v>8166</v>
      </c>
    </row>
    <row r="1118" spans="1:4" ht="12.75" customHeight="1">
      <c r="A1118" s="2410" t="str">
        <f t="shared" si="18"/>
        <v>kg pro Jahr</v>
      </c>
      <c r="B1118" s="2410" t="s">
        <v>8162</v>
      </c>
      <c r="C1118" s="2410" t="s">
        <v>8163</v>
      </c>
      <c r="D1118" s="2414" t="s">
        <v>11637</v>
      </c>
    </row>
    <row r="1119" spans="1:4" ht="12.75" customHeight="1">
      <c r="A1119" s="2410" t="str">
        <f t="shared" si="18"/>
        <v>Aufzuchtkälber</v>
      </c>
      <c r="B1119" s="2410" t="s">
        <v>846</v>
      </c>
      <c r="C1119" s="2410" t="s">
        <v>2314</v>
      </c>
      <c r="D1119" s="2414" t="s">
        <v>8865</v>
      </c>
    </row>
    <row r="1120" spans="1:4" ht="12.75" customHeight="1">
      <c r="A1120" s="2410" t="str">
        <f t="shared" si="18"/>
        <v>Mastkälber</v>
      </c>
      <c r="B1120" s="2410" t="s">
        <v>1805</v>
      </c>
      <c r="C1120" s="2410" t="s">
        <v>2325</v>
      </c>
      <c r="D1120" s="2414" t="s">
        <v>11160</v>
      </c>
    </row>
    <row r="1121" spans="1:4" ht="12.75" customHeight="1">
      <c r="A1121" s="2410" t="str">
        <f t="shared" si="18"/>
        <v>Vormastkälber</v>
      </c>
      <c r="B1121" s="2410" t="s">
        <v>1806</v>
      </c>
      <c r="C1121" s="2410" t="s">
        <v>6806</v>
      </c>
      <c r="D1121" s="2414" t="s">
        <v>8866</v>
      </c>
    </row>
    <row r="1122" spans="1:4" ht="12.75" customHeight="1">
      <c r="A1122" s="2410" t="str">
        <f t="shared" si="18"/>
        <v>Tränkekälber</v>
      </c>
      <c r="B1122" s="2410" t="s">
        <v>1807</v>
      </c>
      <c r="C1122" s="2410" t="s">
        <v>6807</v>
      </c>
      <c r="D1122" s="2414" t="s">
        <v>8867</v>
      </c>
    </row>
    <row r="1123" spans="1:4" ht="12.75" customHeight="1">
      <c r="A1123" s="2410" t="str">
        <f t="shared" si="18"/>
        <v>Milch an andere Haustiere</v>
      </c>
      <c r="B1123" s="2410" t="s">
        <v>1808</v>
      </c>
      <c r="C1123" s="2410" t="s">
        <v>6808</v>
      </c>
      <c r="D1123" s="2414" t="s">
        <v>8868</v>
      </c>
    </row>
    <row r="1124" spans="1:4" ht="12.75" customHeight="1">
      <c r="A1124" s="2410" t="str">
        <f t="shared" si="18"/>
        <v>Total verfütterte Milch</v>
      </c>
      <c r="B1124" s="2410" t="s">
        <v>3282</v>
      </c>
      <c r="C1124" s="2410" t="s">
        <v>3504</v>
      </c>
      <c r="D1124" s="2414" t="s">
        <v>8869</v>
      </c>
    </row>
    <row r="1125" spans="1:4" ht="12.75" customHeight="1">
      <c r="A1125" s="2410" t="str">
        <f t="shared" si="18"/>
        <v>Ø jährliche Milchverwertung des Betriebes</v>
      </c>
      <c r="B1125" s="2410" t="s">
        <v>6448</v>
      </c>
      <c r="C1125" s="2410" t="s">
        <v>2649</v>
      </c>
      <c r="D1125" s="2414" t="s">
        <v>8870</v>
      </c>
    </row>
    <row r="1126" spans="1:4" ht="12.75" customHeight="1">
      <c r="A1126" s="2410" t="str">
        <f t="shared" si="18"/>
        <v>Milchproduktion</v>
      </c>
      <c r="B1126" s="2410" t="s">
        <v>6449</v>
      </c>
      <c r="C1126" s="2410" t="s">
        <v>6680</v>
      </c>
      <c r="D1126" s="2414" t="s">
        <v>8871</v>
      </c>
    </row>
    <row r="1127" spans="1:4" ht="12.75" customHeight="1">
      <c r="A1127" s="2410" t="str">
        <f t="shared" si="18"/>
        <v>Ø Kuhbestand</v>
      </c>
      <c r="B1127" s="2410" t="s">
        <v>5941</v>
      </c>
      <c r="C1127" s="2410" t="s">
        <v>6681</v>
      </c>
      <c r="D1127" s="2414" t="s">
        <v>8839</v>
      </c>
    </row>
    <row r="1128" spans="1:4" ht="12.75" customHeight="1">
      <c r="A1128" s="2410" t="str">
        <f t="shared" si="18"/>
        <v>Stück</v>
      </c>
      <c r="B1128" s="2410" t="s">
        <v>4322</v>
      </c>
      <c r="C1128" s="2410" t="s">
        <v>6682</v>
      </c>
      <c r="D1128" s="2414" t="s">
        <v>8569</v>
      </c>
    </row>
    <row r="1129" spans="1:4" ht="12.75" customHeight="1">
      <c r="A1129" s="2410" t="str">
        <f t="shared" si="18"/>
        <v>Kuhzahl ändern</v>
      </c>
      <c r="B1129" s="2410" t="s">
        <v>6683</v>
      </c>
      <c r="C1129" s="2410" t="s">
        <v>5575</v>
      </c>
      <c r="D1129" s="2414" t="s">
        <v>8872</v>
      </c>
    </row>
    <row r="1130" spans="1:4" ht="12.75" customHeight="1">
      <c r="A1130" s="2410" t="str">
        <f t="shared" si="18"/>
        <v>Ø Milchleistung pro Kuh pro Jahr</v>
      </c>
      <c r="B1130" s="2410" t="s">
        <v>8165</v>
      </c>
      <c r="C1130" s="2410" t="s">
        <v>4995</v>
      </c>
      <c r="D1130" s="2414" t="s">
        <v>11691</v>
      </c>
    </row>
    <row r="1131" spans="1:4" ht="12.75" customHeight="1">
      <c r="A1131" s="2410" t="str">
        <f t="shared" ref="A1131:A1194" si="19">IF($A$2=1,B1131,IF($A$2=2,C1131,IF($A$2=3,IF(D1131="",C1131,D1131),"")))</f>
        <v>Milchleistung verändern</v>
      </c>
      <c r="B1131" s="2410" t="s">
        <v>617</v>
      </c>
      <c r="C1131" s="2410" t="s">
        <v>5985</v>
      </c>
      <c r="D1131" s="2414" t="s">
        <v>8873</v>
      </c>
    </row>
    <row r="1132" spans="1:4" ht="12.75" customHeight="1">
      <c r="A1132" s="2410" t="str">
        <f t="shared" si="19"/>
        <v>Ø jährliche Milchproduktion des Betriebes</v>
      </c>
      <c r="B1132" s="2410" t="s">
        <v>4809</v>
      </c>
      <c r="C1132" s="2410" t="s">
        <v>5986</v>
      </c>
      <c r="D1132" s="2414" t="s">
        <v>8874</v>
      </c>
    </row>
    <row r="1133" spans="1:4" ht="12.75" customHeight="1">
      <c r="A1133" s="2410">
        <f t="shared" si="19"/>
        <v>0</v>
      </c>
      <c r="B1133" s="2410"/>
      <c r="C1133" s="2410"/>
      <c r="D1133" s="2414"/>
    </row>
    <row r="1134" spans="1:4" ht="12.75" customHeight="1">
      <c r="A1134" s="2410" t="str">
        <f t="shared" si="19"/>
        <v>1. Verbrauch</v>
      </c>
      <c r="B1134" s="2410" t="s">
        <v>737</v>
      </c>
      <c r="C1134" s="2410" t="s">
        <v>3343</v>
      </c>
      <c r="D1134" s="2414" t="s">
        <v>2775</v>
      </c>
    </row>
    <row r="1135" spans="1:4" ht="12.75" customHeight="1">
      <c r="A1135" s="2410" t="str">
        <f t="shared" si="19"/>
        <v xml:space="preserve">Tabelle aktualisieren </v>
      </c>
      <c r="B1135" s="2410" t="s">
        <v>643</v>
      </c>
      <c r="C1135" s="2410" t="s">
        <v>7329</v>
      </c>
      <c r="D1135" s="2414" t="s">
        <v>8875</v>
      </c>
    </row>
    <row r="1136" spans="1:4" ht="12.75" customHeight="1">
      <c r="A1136" s="2410" t="str">
        <f t="shared" si="19"/>
        <v>Gehe zu Tabelle "Verbrauch Kühe"</v>
      </c>
      <c r="B1136" s="2410" t="s">
        <v>4996</v>
      </c>
      <c r="C1136" s="2410" t="s">
        <v>5389</v>
      </c>
      <c r="D1136" s="2414" t="s">
        <v>8876</v>
      </c>
    </row>
    <row r="1137" spans="1:4" ht="12.75" customHeight="1">
      <c r="A1137" s="2410" t="str">
        <f t="shared" si="19"/>
        <v>Gehe zu Tabelle "Futterrationen"</v>
      </c>
      <c r="B1137" s="2410" t="s">
        <v>5014</v>
      </c>
      <c r="C1137" s="2410" t="s">
        <v>4093</v>
      </c>
      <c r="D1137" s="2414" t="s">
        <v>8877</v>
      </c>
    </row>
    <row r="1138" spans="1:4" ht="12.75" customHeight="1">
      <c r="A1138" s="2410" t="str">
        <f t="shared" si="19"/>
        <v>Tierkategorie</v>
      </c>
      <c r="B1138" s="2410" t="s">
        <v>853</v>
      </c>
      <c r="C1138" s="2410" t="s">
        <v>4196</v>
      </c>
      <c r="D1138" s="2414" t="s">
        <v>8557</v>
      </c>
    </row>
    <row r="1139" spans="1:4" ht="12.75" customHeight="1">
      <c r="A1139" s="2410" t="str">
        <f t="shared" si="19"/>
        <v>Anzahl Einheiten</v>
      </c>
      <c r="B1139" s="2410" t="s">
        <v>3065</v>
      </c>
      <c r="C1139" s="2410" t="s">
        <v>1550</v>
      </c>
      <c r="D1139" s="2414" t="s">
        <v>8438</v>
      </c>
    </row>
    <row r="1140" spans="1:4" ht="12.75" customHeight="1">
      <c r="A1140" s="2410">
        <f t="shared" si="19"/>
        <v>0</v>
      </c>
      <c r="B1140" s="2410"/>
      <c r="C1140" s="2410" t="s">
        <v>5183</v>
      </c>
      <c r="D1140" s="2414" t="s">
        <v>8878</v>
      </c>
    </row>
    <row r="1141" spans="1:4" ht="12.75" customHeight="1">
      <c r="A1141" s="2410" t="str">
        <f t="shared" si="19"/>
        <v>Futtertage</v>
      </c>
      <c r="B1141" s="2410" t="s">
        <v>854</v>
      </c>
      <c r="C1141" s="2410" t="s">
        <v>5184</v>
      </c>
      <c r="D1141" s="2414" t="s">
        <v>2776</v>
      </c>
    </row>
    <row r="1142" spans="1:4" ht="12.75" customHeight="1">
      <c r="A1142" s="2410" t="str">
        <f t="shared" si="19"/>
        <v>TS-Verbrauch</v>
      </c>
      <c r="B1142" s="2410" t="s">
        <v>8330</v>
      </c>
      <c r="C1142" s="2410" t="s">
        <v>4087</v>
      </c>
      <c r="D1142" s="2414" t="s">
        <v>8879</v>
      </c>
    </row>
    <row r="1143" spans="1:4" ht="12.75" customHeight="1">
      <c r="A1143" s="2410" t="str">
        <f t="shared" si="19"/>
        <v>pro Tag und Tier</v>
      </c>
      <c r="B1143" s="2410" t="s">
        <v>8331</v>
      </c>
      <c r="C1143" s="2410" t="s">
        <v>11692</v>
      </c>
      <c r="D1143" s="2414" t="s">
        <v>8880</v>
      </c>
    </row>
    <row r="1144" spans="1:4" ht="12.75" customHeight="1">
      <c r="A1144" s="2410" t="str">
        <f t="shared" si="19"/>
        <v>Max. einsetzbarer</v>
      </c>
      <c r="B1144" s="2410" t="s">
        <v>6358</v>
      </c>
      <c r="C1144" s="2410" t="s">
        <v>668</v>
      </c>
      <c r="D1144" s="2414" t="s">
        <v>11161</v>
      </c>
    </row>
    <row r="1145" spans="1:4" ht="12.75" customHeight="1">
      <c r="A1145" s="2410" t="str">
        <f t="shared" si="19"/>
        <v>Anteil ext. Futter</v>
      </c>
      <c r="B1145" s="2410" t="s">
        <v>3424</v>
      </c>
      <c r="C1145" s="2410" t="s">
        <v>669</v>
      </c>
      <c r="D1145" s="2414" t="s">
        <v>8881</v>
      </c>
    </row>
    <row r="1146" spans="1:4" ht="12.75" customHeight="1">
      <c r="A1146" s="2410" t="str">
        <f t="shared" si="19"/>
        <v xml:space="preserve">TS-Verbrauch in dt </v>
      </c>
      <c r="B1146" s="2410" t="s">
        <v>2763</v>
      </c>
      <c r="C1146" s="2410" t="s">
        <v>670</v>
      </c>
      <c r="D1146" s="2414" t="s">
        <v>8882</v>
      </c>
    </row>
    <row r="1147" spans="1:4" ht="12.75" customHeight="1">
      <c r="A1147" s="2410" t="str">
        <f t="shared" si="19"/>
        <v>Winter</v>
      </c>
      <c r="B1147" s="2410" t="s">
        <v>7192</v>
      </c>
      <c r="C1147" s="2410" t="s">
        <v>671</v>
      </c>
      <c r="D1147" s="2414" t="s">
        <v>3774</v>
      </c>
    </row>
    <row r="1148" spans="1:4" ht="12.75" customHeight="1">
      <c r="A1148" s="2410" t="str">
        <f t="shared" si="19"/>
        <v>Sommer</v>
      </c>
      <c r="B1148" s="2410" t="s">
        <v>7193</v>
      </c>
      <c r="C1148" s="2410" t="s">
        <v>672</v>
      </c>
      <c r="D1148" s="2414" t="s">
        <v>4401</v>
      </c>
    </row>
    <row r="1149" spans="1:4" ht="12.75" customHeight="1">
      <c r="A1149" s="2410" t="str">
        <f t="shared" si="19"/>
        <v>Total</v>
      </c>
      <c r="B1149" s="2410" t="s">
        <v>4802</v>
      </c>
      <c r="C1149" s="2410" t="s">
        <v>4802</v>
      </c>
      <c r="D1149" s="2414" t="s">
        <v>6340</v>
      </c>
    </row>
    <row r="1150" spans="1:4" ht="12.75" customHeight="1">
      <c r="A1150" s="2410" t="str">
        <f t="shared" si="19"/>
        <v>Intensiv</v>
      </c>
      <c r="B1150" s="2410" t="s">
        <v>7194</v>
      </c>
      <c r="C1150" s="2410" t="s">
        <v>137</v>
      </c>
      <c r="D1150" s="2414" t="s">
        <v>6356</v>
      </c>
    </row>
    <row r="1151" spans="1:4" ht="12.75" customHeight="1">
      <c r="A1151" s="2410" t="str">
        <f t="shared" si="19"/>
        <v>Extensiv</v>
      </c>
      <c r="B1151" s="2410" t="s">
        <v>7195</v>
      </c>
      <c r="C1151" s="2410" t="s">
        <v>138</v>
      </c>
      <c r="D1151" s="2414" t="s">
        <v>6353</v>
      </c>
    </row>
    <row r="1152" spans="1:4" ht="12.75" customHeight="1">
      <c r="A1152" s="2410" t="str">
        <f t="shared" si="19"/>
        <v>Schätzung des Grundfutterverbrauches bei Milchkühen</v>
      </c>
      <c r="B1152" s="2410" t="s">
        <v>1558</v>
      </c>
      <c r="C1152" s="2410" t="s">
        <v>6601</v>
      </c>
      <c r="D1152" s="2414" t="s">
        <v>8883</v>
      </c>
    </row>
    <row r="1153" spans="1:4" ht="12.75" customHeight="1">
      <c r="A1153" s="2410" t="str">
        <f t="shared" si="19"/>
        <v>Grundlagen:</v>
      </c>
      <c r="B1153" s="2410" t="s">
        <v>6359</v>
      </c>
      <c r="C1153" s="2410" t="s">
        <v>6602</v>
      </c>
      <c r="D1153" s="2414" t="s">
        <v>8884</v>
      </c>
    </row>
    <row r="1154" spans="1:4" ht="12.75" customHeight="1">
      <c r="A1154" s="2410" t="str">
        <f t="shared" si="19"/>
        <v xml:space="preserve">660 kg schwere Kuh, 7500 kg Jahresmilchleistung, </v>
      </c>
      <c r="B1154" s="2410" t="str">
        <f>"660 kg schwere Kuh, " &amp; D_Klick!MilkQuantityStandard &amp; " kg Jahresmilchleistung, "</f>
        <v xml:space="preserve">660 kg schwere Kuh, 7500 kg Jahresmilchleistung, </v>
      </c>
      <c r="C1154" s="2410" t="str">
        <f>"vache de 660 kg poids vif, "  &amp; D_Klick!MilkQuantityStandard &amp; " kg de rendement laitier annuel, "</f>
        <v xml:space="preserve">vache de 660 kg poids vif, 7500 kg de rendement laitier annuel, </v>
      </c>
      <c r="D1154" s="2414" t="str">
        <f>"Vacca di " &amp; 660 &amp; " kg che produce " &amp; D_Klick!MilkQuantityStandard &amp; " kg latte / anno"</f>
        <v>Vacca di 660 kg che produce 7500 kg latte / anno</v>
      </c>
    </row>
    <row r="1155" spans="1:4" ht="12.75" customHeight="1">
      <c r="A1155" s="2410" t="str">
        <f t="shared" si="19"/>
        <v>806 kg Kraftfutter</v>
      </c>
      <c r="B1155" s="2410" t="s">
        <v>8422</v>
      </c>
      <c r="C1155" s="2410" t="s">
        <v>8423</v>
      </c>
      <c r="D1155" s="2414" t="s">
        <v>8885</v>
      </c>
    </row>
    <row r="1156" spans="1:4" ht="12.75" customHeight="1">
      <c r="A1156" s="2410" t="str">
        <f t="shared" si="19"/>
        <v>Korr. ML: +/- (0.14 * Abweichung - 0.03 * Abweichung²) pro 100 kg Milch</v>
      </c>
      <c r="B1156" s="2410" t="s">
        <v>11344</v>
      </c>
      <c r="C1156" s="2410" t="s">
        <v>11345</v>
      </c>
      <c r="D1156" s="2414" t="s">
        <v>8886</v>
      </c>
    </row>
    <row r="1157" spans="1:4" ht="12.75" customHeight="1">
      <c r="A1157" s="2410" t="str">
        <f t="shared" si="19"/>
        <v>Korr. KF: +/- 0.012 pro kg Kraftfutter</v>
      </c>
      <c r="B1157" s="2410" t="s">
        <v>8424</v>
      </c>
      <c r="C1157" s="2410" t="s">
        <v>8425</v>
      </c>
      <c r="D1157" s="2414" t="s">
        <v>11162</v>
      </c>
    </row>
    <row r="1158" spans="1:4" ht="12.75" customHeight="1">
      <c r="A1158" s="2410" t="str">
        <f t="shared" si="19"/>
        <v>Wegleitung Suisse-Bilanz, Version 1.19,  Juli 2024</v>
      </c>
      <c r="B1158" s="2410" t="str">
        <f>"Wegleitung Suisse-Bilanz, Version " &amp; Q!SuiBiNr &amp; ",  Juli " &amp; Q!GültigAbErntejahr</f>
        <v>Wegleitung Suisse-Bilanz, Version 1.19,  Juli 2024</v>
      </c>
      <c r="C1158" s="2410" t="str">
        <f>"Guide Suisse-Bilanz, Edition " &amp; Q!SuiBiNr &amp;", Juillet " &amp; Q!GültigAbErntejahr</f>
        <v>Guide Suisse-Bilanz, Edition 1.19, Juillet 2024</v>
      </c>
      <c r="D1158" s="2414" t="str">
        <f>"Guida SuisseBilanz, edizione " &amp; Q!SuiBiNr &amp; ", luglio " &amp; Q!GültigAbErntejahr</f>
        <v>Guida SuisseBilanz, edizione 1.19, luglio 2024</v>
      </c>
    </row>
    <row r="1159" spans="1:4" ht="12.75" customHeight="1">
      <c r="A1159" s="2410" t="str">
        <f t="shared" si="19"/>
        <v>Zurück</v>
      </c>
      <c r="B1159" s="2410" t="s">
        <v>2944</v>
      </c>
      <c r="C1159" s="2410" t="s">
        <v>2945</v>
      </c>
      <c r="D1159" s="2414" t="s">
        <v>1271</v>
      </c>
    </row>
    <row r="1160" spans="1:4" ht="12.75" customHeight="1">
      <c r="A1160" s="2410" t="str">
        <f t="shared" si="19"/>
        <v>Korrektur</v>
      </c>
      <c r="B1160" s="2410" t="s">
        <v>4793</v>
      </c>
      <c r="C1160" s="2410" t="s">
        <v>7551</v>
      </c>
      <c r="D1160" s="2414" t="s">
        <v>1272</v>
      </c>
    </row>
    <row r="1161" spans="1:4" ht="12.75" customHeight="1">
      <c r="A1161" s="2410" t="str">
        <f t="shared" si="19"/>
        <v>Winter</v>
      </c>
      <c r="B1161" s="2410" t="s">
        <v>7192</v>
      </c>
      <c r="C1161" s="2410" t="s">
        <v>671</v>
      </c>
      <c r="D1161" s="2414" t="s">
        <v>2778</v>
      </c>
    </row>
    <row r="1162" spans="1:4" ht="12.75" customHeight="1">
      <c r="A1162" s="2410" t="str">
        <f t="shared" si="19"/>
        <v>Sommer</v>
      </c>
      <c r="B1162" s="2410" t="s">
        <v>7193</v>
      </c>
      <c r="C1162" s="2410" t="s">
        <v>672</v>
      </c>
      <c r="D1162" s="2414" t="s">
        <v>2779</v>
      </c>
    </row>
    <row r="1163" spans="1:4" ht="12.75" customHeight="1">
      <c r="A1163" s="2410" t="str">
        <f t="shared" si="19"/>
        <v>kg TS</v>
      </c>
      <c r="B1163" s="2410" t="s">
        <v>6311</v>
      </c>
      <c r="C1163" s="2410" t="s">
        <v>4957</v>
      </c>
      <c r="D1163" s="2414" t="s">
        <v>7427</v>
      </c>
    </row>
    <row r="1164" spans="1:4" ht="12.75" customHeight="1">
      <c r="A1164" s="2410" t="str">
        <f t="shared" si="19"/>
        <v>Ø Grundfutterverzehr pro Jahrestag</v>
      </c>
      <c r="B1164" s="2410" t="s">
        <v>2782</v>
      </c>
      <c r="C1164" s="2410" t="s">
        <v>2783</v>
      </c>
      <c r="D1164" s="2414" t="s">
        <v>11693</v>
      </c>
    </row>
    <row r="1165" spans="1:4" ht="12.75" customHeight="1">
      <c r="A1165" s="2410" t="str">
        <f t="shared" si="19"/>
        <v>pro 100 kg Jahresmilchmenge unter 7000 kg</v>
      </c>
      <c r="B1165" s="2410" t="s">
        <v>4283</v>
      </c>
      <c r="C1165" s="2410" t="s">
        <v>7552</v>
      </c>
      <c r="D1165" s="2414" t="s">
        <v>8887</v>
      </c>
    </row>
    <row r="1166" spans="1:4" ht="12.75" customHeight="1">
      <c r="A1166" s="2410" t="str">
        <f t="shared" si="19"/>
        <v>± Korrekturzeile nach Bedarf</v>
      </c>
      <c r="B1166" s="2410" t="s">
        <v>8403</v>
      </c>
      <c r="C1166" s="2410" t="s">
        <v>8404</v>
      </c>
      <c r="D1166" s="2414" t="s">
        <v>8888</v>
      </c>
    </row>
    <row r="1167" spans="1:4" ht="12.75" customHeight="1">
      <c r="A1167" s="2410">
        <f t="shared" si="19"/>
        <v>0</v>
      </c>
      <c r="B1167" s="2410"/>
      <c r="C1167" s="2418"/>
      <c r="D1167" s="2414"/>
    </row>
    <row r="1168" spans="1:4" ht="12.75" customHeight="1">
      <c r="A1168" s="2410">
        <f t="shared" si="19"/>
        <v>0</v>
      </c>
      <c r="B1168" s="2410"/>
      <c r="C1168" s="2410"/>
      <c r="D1168" s="2414"/>
    </row>
    <row r="1169" spans="1:4" ht="12.75" customHeight="1">
      <c r="A1169" s="2410">
        <f t="shared" si="19"/>
        <v>0</v>
      </c>
      <c r="B1169" s="2410"/>
      <c r="C1169" s="2410"/>
      <c r="D1169" s="2414"/>
    </row>
    <row r="1170" spans="1:4" ht="12.75" customHeight="1">
      <c r="A1170" s="2410">
        <f t="shared" si="19"/>
        <v>0</v>
      </c>
      <c r="B1170" s="2410"/>
      <c r="C1170" s="2418"/>
      <c r="D1170" s="2414"/>
    </row>
    <row r="1171" spans="1:4" ht="12.75" customHeight="1">
      <c r="A1171" s="2410">
        <f t="shared" si="19"/>
        <v>0</v>
      </c>
      <c r="B1171" s="2410"/>
      <c r="C1171" s="2410"/>
      <c r="D1171" s="2414"/>
    </row>
    <row r="1172" spans="1:4" ht="12.75" customHeight="1">
      <c r="A1172" s="2410">
        <f t="shared" si="19"/>
        <v>0</v>
      </c>
      <c r="B1172" s="2410"/>
      <c r="C1172" s="2418"/>
      <c r="D1172" s="2414"/>
    </row>
    <row r="1173" spans="1:4" ht="12.75" customHeight="1">
      <c r="A1173" s="2410">
        <f t="shared" si="19"/>
        <v>0</v>
      </c>
      <c r="B1173" s="2410"/>
      <c r="C1173" s="2410"/>
      <c r="D1173" s="2414"/>
    </row>
    <row r="1174" spans="1:4" ht="12.75" customHeight="1">
      <c r="A1174" s="2410">
        <f t="shared" si="19"/>
        <v>0</v>
      </c>
      <c r="B1174" s="2410"/>
      <c r="C1174" s="2418"/>
      <c r="D1174" s="2414"/>
    </row>
    <row r="1175" spans="1:4" ht="12.75" customHeight="1">
      <c r="A1175" s="2410" t="str">
        <f t="shared" si="19"/>
        <v>Total Grundfutterverzehr</v>
      </c>
      <c r="B1175" s="2410" t="s">
        <v>3334</v>
      </c>
      <c r="C1175" s="2410" t="s">
        <v>5747</v>
      </c>
      <c r="D1175" s="2414" t="s">
        <v>8889</v>
      </c>
    </row>
    <row r="1176" spans="1:4" ht="12.75" customHeight="1">
      <c r="A1176" s="2410" t="str">
        <f t="shared" si="19"/>
        <v>+ Krippenverluste, ca. 5 %</v>
      </c>
      <c r="B1176" s="2785" t="s">
        <v>11887</v>
      </c>
      <c r="C1176" s="2785" t="s">
        <v>11888</v>
      </c>
      <c r="D1176" s="2786" t="s">
        <v>11889</v>
      </c>
    </row>
    <row r="1177" spans="1:4" ht="12.75" customHeight="1">
      <c r="A1177" s="2410" t="str">
        <f t="shared" si="19"/>
        <v>Total Grundfutterverbrauch</v>
      </c>
      <c r="B1177" s="2410" t="s">
        <v>936</v>
      </c>
      <c r="C1177" s="2410" t="s">
        <v>4159</v>
      </c>
      <c r="D1177" s="2414" t="s">
        <v>8890</v>
      </c>
    </row>
    <row r="1178" spans="1:4" ht="12.75" customHeight="1">
      <c r="A1178" s="2410" t="str">
        <f t="shared" si="19"/>
        <v>1) Einsatz auf die Winterration beschränkt</v>
      </c>
      <c r="B1178" s="2410" t="s">
        <v>5708</v>
      </c>
      <c r="C1178" s="2410" t="s">
        <v>6661</v>
      </c>
      <c r="D1178" s="2414" t="s">
        <v>8891</v>
      </c>
    </row>
    <row r="1179" spans="1:4" ht="12.75" customHeight="1">
      <c r="A1179" s="2410" t="str">
        <f t="shared" si="19"/>
        <v>Zuteilung der Tagesrationen</v>
      </c>
      <c r="B1179" s="2410" t="s">
        <v>1559</v>
      </c>
      <c r="C1179" s="2410" t="s">
        <v>6662</v>
      </c>
      <c r="D1179" s="2414" t="s">
        <v>8892</v>
      </c>
    </row>
    <row r="1180" spans="1:4" ht="12.75" customHeight="1">
      <c r="A1180" s="2410" t="str">
        <f t="shared" si="19"/>
        <v>Nutzungsarten in Angebot übertragen</v>
      </c>
      <c r="B1180" s="2410" t="s">
        <v>6663</v>
      </c>
      <c r="C1180" s="2410" t="s">
        <v>6664</v>
      </c>
      <c r="D1180" s="2414" t="s">
        <v>8893</v>
      </c>
    </row>
    <row r="1181" spans="1:4" ht="12.75" customHeight="1">
      <c r="A1181" s="2410" t="str">
        <f t="shared" si="19"/>
        <v>Zurück zu TS-Bilanz</v>
      </c>
      <c r="B1181" s="2410" t="s">
        <v>4913</v>
      </c>
      <c r="C1181" s="2410" t="s">
        <v>6286</v>
      </c>
      <c r="D1181" s="2414" t="s">
        <v>8894</v>
      </c>
    </row>
    <row r="1182" spans="1:4" ht="12.75" customHeight="1">
      <c r="A1182" s="2410" t="str">
        <f t="shared" si="19"/>
        <v>Winterration</v>
      </c>
      <c r="B1182" s="2410" t="s">
        <v>2404</v>
      </c>
      <c r="C1182" s="2410" t="s">
        <v>3097</v>
      </c>
      <c r="D1182" s="2414" t="s">
        <v>2934</v>
      </c>
    </row>
    <row r="1183" spans="1:4" ht="12.75" customHeight="1">
      <c r="A1183" s="2410" t="str">
        <f t="shared" si="19"/>
        <v>Zu Sommerration</v>
      </c>
      <c r="B1183" s="2410" t="s">
        <v>3098</v>
      </c>
      <c r="C1183" s="2410" t="s">
        <v>6606</v>
      </c>
      <c r="D1183" s="2414" t="s">
        <v>8895</v>
      </c>
    </row>
    <row r="1184" spans="1:4" ht="12.75" customHeight="1">
      <c r="A1184" s="2410" t="str">
        <f t="shared" si="19"/>
        <v>Tages-</v>
      </c>
      <c r="B1184" s="2410" t="s">
        <v>5241</v>
      </c>
      <c r="C1184" s="2410" t="s">
        <v>6607</v>
      </c>
      <c r="D1184" s="2414" t="s">
        <v>2777</v>
      </c>
    </row>
    <row r="1185" spans="1:4" ht="12.75" customHeight="1">
      <c r="A1185" s="2410" t="str">
        <f t="shared" si="19"/>
        <v>verbrauch</v>
      </c>
      <c r="B1185" s="2410" t="s">
        <v>2405</v>
      </c>
      <c r="C1185" s="2410" t="s">
        <v>6608</v>
      </c>
      <c r="D1185" s="2414" t="s">
        <v>4396</v>
      </c>
    </row>
    <row r="1186" spans="1:4" ht="12.75" customHeight="1">
      <c r="A1186" s="2410" t="str">
        <f t="shared" si="19"/>
        <v>Winter</v>
      </c>
      <c r="B1186" s="2410" t="s">
        <v>7192</v>
      </c>
      <c r="C1186" s="2410" t="s">
        <v>3123</v>
      </c>
      <c r="D1186" s="2414" t="s">
        <v>8896</v>
      </c>
    </row>
    <row r="1187" spans="1:4" ht="12.75" customHeight="1">
      <c r="A1187" s="2410" t="str">
        <f t="shared" si="19"/>
        <v>kg TS / Platz</v>
      </c>
      <c r="B1187" s="2410" t="s">
        <v>11694</v>
      </c>
      <c r="C1187" s="2410" t="s">
        <v>11695</v>
      </c>
      <c r="D1187" s="2414" t="s">
        <v>11696</v>
      </c>
    </row>
    <row r="1188" spans="1:4" ht="12.75" customHeight="1">
      <c r="A1188" s="2410" t="str">
        <f t="shared" si="19"/>
        <v>Heu</v>
      </c>
      <c r="B1188" s="2410" t="s">
        <v>5242</v>
      </c>
      <c r="C1188" s="2410" t="s">
        <v>3125</v>
      </c>
      <c r="D1188" s="2414" t="s">
        <v>8897</v>
      </c>
    </row>
    <row r="1189" spans="1:4" ht="12.75" customHeight="1">
      <c r="A1189" s="2410" t="str">
        <f t="shared" si="19"/>
        <v>belüftet</v>
      </c>
      <c r="B1189" s="2410" t="s">
        <v>2406</v>
      </c>
      <c r="C1189" s="2410" t="s">
        <v>3645</v>
      </c>
      <c r="D1189" s="2414" t="s">
        <v>4397</v>
      </c>
    </row>
    <row r="1190" spans="1:4" ht="12.75" customHeight="1">
      <c r="A1190" s="2410" t="str">
        <f t="shared" si="19"/>
        <v>Heu</v>
      </c>
      <c r="B1190" s="2410" t="s">
        <v>5242</v>
      </c>
      <c r="C1190" s="2410" t="s">
        <v>3125</v>
      </c>
      <c r="D1190" s="2414" t="s">
        <v>8897</v>
      </c>
    </row>
    <row r="1191" spans="1:4" ht="12.75" customHeight="1">
      <c r="A1191" s="2410" t="str">
        <f t="shared" si="19"/>
        <v>unbelüftet</v>
      </c>
      <c r="B1191" s="2410" t="s">
        <v>2407</v>
      </c>
      <c r="C1191" s="2410" t="s">
        <v>3646</v>
      </c>
      <c r="D1191" s="2414" t="s">
        <v>8898</v>
      </c>
    </row>
    <row r="1192" spans="1:4" ht="12.75" customHeight="1">
      <c r="A1192" s="2410">
        <f t="shared" si="19"/>
        <v>0</v>
      </c>
      <c r="B1192" s="2410"/>
      <c r="C1192" s="2410" t="s">
        <v>3645</v>
      </c>
      <c r="D1192" s="2414" t="s">
        <v>8899</v>
      </c>
    </row>
    <row r="1193" spans="1:4" ht="12.75" customHeight="1">
      <c r="A1193" s="2410" t="str">
        <f t="shared" si="19"/>
        <v>Heu</v>
      </c>
      <c r="B1193" s="2410" t="s">
        <v>5242</v>
      </c>
      <c r="C1193" s="2410" t="s">
        <v>3125</v>
      </c>
      <c r="D1193" s="2414" t="s">
        <v>8897</v>
      </c>
    </row>
    <row r="1194" spans="1:4" ht="12.75" customHeight="1">
      <c r="A1194" s="2410" t="str">
        <f t="shared" si="19"/>
        <v>extensiv</v>
      </c>
      <c r="B1194" s="2410" t="s">
        <v>4266</v>
      </c>
      <c r="C1194" s="2410" t="s">
        <v>2682</v>
      </c>
      <c r="D1194" s="2414" t="s">
        <v>6353</v>
      </c>
    </row>
    <row r="1195" spans="1:4" ht="12.75" customHeight="1">
      <c r="A1195" s="2410" t="str">
        <f t="shared" ref="A1195:A1260" si="20">IF($A$2=1,B1195,IF($A$2=2,C1195,IF($A$2=3,IF(D1195="",C1195,D1195),"")))</f>
        <v>Gras-</v>
      </c>
      <c r="B1195" s="2410" t="s">
        <v>4125</v>
      </c>
      <c r="C1195" s="2410" t="s">
        <v>3647</v>
      </c>
      <c r="D1195" s="2414" t="s">
        <v>4398</v>
      </c>
    </row>
    <row r="1196" spans="1:4" ht="12.75" customHeight="1">
      <c r="A1196" s="2410" t="str">
        <f t="shared" si="20"/>
        <v>silage</v>
      </c>
      <c r="B1196" s="2410" t="s">
        <v>2408</v>
      </c>
      <c r="C1196" s="2410" t="s">
        <v>3648</v>
      </c>
      <c r="D1196" s="2414" t="s">
        <v>4403</v>
      </c>
    </row>
    <row r="1197" spans="1:4" ht="12.75" customHeight="1">
      <c r="A1197" s="2410" t="str">
        <f t="shared" si="20"/>
        <v>Mais-</v>
      </c>
      <c r="B1197" s="2410" t="s">
        <v>1153</v>
      </c>
      <c r="C1197" s="2410" t="s">
        <v>3647</v>
      </c>
      <c r="D1197" s="2414" t="s">
        <v>11163</v>
      </c>
    </row>
    <row r="1198" spans="1:4" ht="12.75" customHeight="1">
      <c r="A1198" s="2410" t="str">
        <f t="shared" si="20"/>
        <v>silage</v>
      </c>
      <c r="B1198" s="2410" t="s">
        <v>2408</v>
      </c>
      <c r="C1198" s="2410" t="s">
        <v>3649</v>
      </c>
      <c r="D1198" s="2414" t="s">
        <v>11164</v>
      </c>
    </row>
    <row r="1199" spans="1:4" ht="12.75" customHeight="1">
      <c r="A1199" s="2410" t="str">
        <f t="shared" si="20"/>
        <v>Ganzpfl.</v>
      </c>
      <c r="B1199" s="2410" t="s">
        <v>8332</v>
      </c>
      <c r="C1199" s="2410" t="s">
        <v>8334</v>
      </c>
      <c r="D1199" s="2414" t="s">
        <v>11165</v>
      </c>
    </row>
    <row r="1200" spans="1:4" ht="12.75" customHeight="1">
      <c r="A1200" s="2410" t="str">
        <f t="shared" si="20"/>
        <v>Sorghum</v>
      </c>
      <c r="B1200" s="2410" t="s">
        <v>8333</v>
      </c>
      <c r="C1200" s="2410" t="s">
        <v>8335</v>
      </c>
      <c r="D1200" s="2414" t="s">
        <v>11164</v>
      </c>
    </row>
    <row r="1201" spans="1:4" ht="12.75" customHeight="1">
      <c r="A1201" s="2410" t="str">
        <f t="shared" si="20"/>
        <v>Mais-</v>
      </c>
      <c r="B1201" s="2410" t="s">
        <v>1153</v>
      </c>
      <c r="C1201" s="2410" t="s">
        <v>3650</v>
      </c>
      <c r="D1201" s="2414" t="s">
        <v>8765</v>
      </c>
    </row>
    <row r="1202" spans="1:4" ht="12.75" customHeight="1">
      <c r="A1202" s="2410" t="str">
        <f t="shared" si="20"/>
        <v>würfel</v>
      </c>
      <c r="B1202" s="2410" t="s">
        <v>2409</v>
      </c>
      <c r="C1202" s="2410" t="s">
        <v>3651</v>
      </c>
      <c r="D1202" s="2414" t="s">
        <v>11166</v>
      </c>
    </row>
    <row r="1203" spans="1:4" ht="12.75" customHeight="1">
      <c r="A1203" s="2410" t="str">
        <f t="shared" si="20"/>
        <v>Trocken-</v>
      </c>
      <c r="B1203" s="2410" t="s">
        <v>2552</v>
      </c>
      <c r="C1203" s="2410" t="s">
        <v>3652</v>
      </c>
      <c r="D1203" s="2414" t="s">
        <v>4398</v>
      </c>
    </row>
    <row r="1204" spans="1:4" ht="12.75" customHeight="1">
      <c r="A1204" s="2410" t="str">
        <f t="shared" si="20"/>
        <v>gras</v>
      </c>
      <c r="B1204" s="2410" t="s">
        <v>2410</v>
      </c>
      <c r="C1204" s="2410" t="s">
        <v>3038</v>
      </c>
      <c r="D1204" s="2414" t="s">
        <v>8901</v>
      </c>
    </row>
    <row r="1205" spans="1:4" ht="12.75" customHeight="1">
      <c r="A1205" s="2410" t="str">
        <f t="shared" si="20"/>
        <v>Rüben-</v>
      </c>
      <c r="B1205" s="2410" t="s">
        <v>2553</v>
      </c>
      <c r="C1205" s="2410" t="s">
        <v>3039</v>
      </c>
      <c r="D1205" s="2414" t="s">
        <v>8902</v>
      </c>
    </row>
    <row r="1206" spans="1:4" ht="12.75" customHeight="1">
      <c r="A1206" s="2410" t="str">
        <f t="shared" si="20"/>
        <v>schnitzel</v>
      </c>
      <c r="B1206" s="2410" t="s">
        <v>2411</v>
      </c>
      <c r="C1206" s="2410" t="s">
        <v>3040</v>
      </c>
      <c r="D1206" s="2414" t="s">
        <v>4404</v>
      </c>
    </row>
    <row r="1207" spans="1:4" ht="12.75" customHeight="1">
      <c r="A1207" s="2410" t="str">
        <f t="shared" si="20"/>
        <v>Kartoffeln</v>
      </c>
      <c r="B1207" s="2410" t="s">
        <v>5700</v>
      </c>
      <c r="C1207" s="2410" t="s">
        <v>3042</v>
      </c>
      <c r="D1207" s="2414" t="s">
        <v>8667</v>
      </c>
    </row>
    <row r="1208" spans="1:4" ht="12.75" customHeight="1">
      <c r="A1208" s="2410" t="str">
        <f t="shared" si="20"/>
        <v>F'rüben</v>
      </c>
      <c r="B1208" s="2410" t="s">
        <v>7186</v>
      </c>
      <c r="C1208" s="2410" t="s">
        <v>3043</v>
      </c>
      <c r="D1208" s="2414" t="s">
        <v>8903</v>
      </c>
    </row>
    <row r="1209" spans="1:4" ht="12.75" customHeight="1">
      <c r="A1209" s="2410" t="str">
        <f t="shared" si="20"/>
        <v>Differenz</v>
      </c>
      <c r="B1209" s="2410" t="s">
        <v>7187</v>
      </c>
      <c r="C1209" s="2410" t="s">
        <v>3044</v>
      </c>
      <c r="D1209" s="2414" t="s">
        <v>4399</v>
      </c>
    </row>
    <row r="1210" spans="1:4" ht="12.75" customHeight="1">
      <c r="A1210" s="2410" t="str">
        <f t="shared" si="20"/>
        <v>Sommerration</v>
      </c>
      <c r="B1210" s="2410" t="s">
        <v>7188</v>
      </c>
      <c r="C1210" s="2410" t="s">
        <v>4784</v>
      </c>
      <c r="D1210" s="2414" t="s">
        <v>4400</v>
      </c>
    </row>
    <row r="1211" spans="1:4" ht="12.75" customHeight="1">
      <c r="A1211" s="2410" t="str">
        <f t="shared" si="20"/>
        <v>Zu Winterration</v>
      </c>
      <c r="B1211" s="2410" t="s">
        <v>3124</v>
      </c>
      <c r="C1211" s="2410" t="s">
        <v>1343</v>
      </c>
      <c r="D1211" s="2414" t="s">
        <v>8904</v>
      </c>
    </row>
    <row r="1212" spans="1:4" ht="12.75" customHeight="1">
      <c r="A1212" s="2410" t="str">
        <f t="shared" si="20"/>
        <v>Tages-</v>
      </c>
      <c r="B1212" s="2410" t="s">
        <v>5241</v>
      </c>
      <c r="C1212" s="2410" t="s">
        <v>6607</v>
      </c>
      <c r="D1212" s="2414" t="s">
        <v>2777</v>
      </c>
    </row>
    <row r="1213" spans="1:4" ht="12.75" customHeight="1">
      <c r="A1213" s="2410" t="str">
        <f t="shared" si="20"/>
        <v>verbrauch</v>
      </c>
      <c r="B1213" s="2410" t="s">
        <v>2405</v>
      </c>
      <c r="C1213" s="2410" t="s">
        <v>6608</v>
      </c>
      <c r="D1213" s="2414" t="s">
        <v>4396</v>
      </c>
    </row>
    <row r="1214" spans="1:4" ht="12.75" customHeight="1">
      <c r="A1214" s="2410" t="str">
        <f t="shared" si="20"/>
        <v>Sommer</v>
      </c>
      <c r="B1214" s="2410" t="s">
        <v>7193</v>
      </c>
      <c r="C1214" s="2410" t="s">
        <v>3283</v>
      </c>
      <c r="D1214" s="2414" t="s">
        <v>8905</v>
      </c>
    </row>
    <row r="1215" spans="1:4" ht="12.75" customHeight="1">
      <c r="A1215" s="2410" t="str">
        <f t="shared" si="20"/>
        <v>kg TS / Platz</v>
      </c>
      <c r="B1215" s="2410" t="s">
        <v>11694</v>
      </c>
      <c r="C1215" s="2410" t="s">
        <v>11695</v>
      </c>
      <c r="D1215" s="2414" t="s">
        <v>11696</v>
      </c>
    </row>
    <row r="1216" spans="1:4" ht="12.75" customHeight="1">
      <c r="A1216" s="2410" t="str">
        <f t="shared" si="20"/>
        <v>Gras,</v>
      </c>
      <c r="B1216" s="2410" t="s">
        <v>2554</v>
      </c>
      <c r="C1216" s="2410" t="s">
        <v>3284</v>
      </c>
      <c r="D1216" s="2414" t="s">
        <v>4398</v>
      </c>
    </row>
    <row r="1217" spans="1:4" ht="12.75" customHeight="1">
      <c r="A1217" s="2410" t="str">
        <f t="shared" si="20"/>
        <v>eingrasen</v>
      </c>
      <c r="B1217" s="2410" t="s">
        <v>7189</v>
      </c>
      <c r="C1217" s="2410" t="s">
        <v>3285</v>
      </c>
      <c r="D1217" s="2414" t="s">
        <v>8906</v>
      </c>
    </row>
    <row r="1218" spans="1:4" ht="12.75" customHeight="1">
      <c r="A1218" s="2410">
        <f t="shared" si="20"/>
        <v>0</v>
      </c>
      <c r="B1218" s="2410"/>
      <c r="C1218" s="2410" t="s">
        <v>3286</v>
      </c>
      <c r="D1218" s="2414" t="s">
        <v>8907</v>
      </c>
    </row>
    <row r="1219" spans="1:4" ht="12.75" customHeight="1">
      <c r="A1219" s="2410" t="str">
        <f t="shared" si="20"/>
        <v>Gras,</v>
      </c>
      <c r="B1219" s="2410" t="s">
        <v>2554</v>
      </c>
      <c r="C1219" s="2410" t="s">
        <v>3287</v>
      </c>
      <c r="D1219" s="2414" t="s">
        <v>4398</v>
      </c>
    </row>
    <row r="1220" spans="1:4" ht="12.75" customHeight="1">
      <c r="A1220" s="2410" t="str">
        <f t="shared" si="20"/>
        <v>weiden</v>
      </c>
      <c r="B1220" s="2410" t="s">
        <v>7190</v>
      </c>
      <c r="C1220" s="2410" t="s">
        <v>3288</v>
      </c>
      <c r="D1220" s="2414" t="s">
        <v>11167</v>
      </c>
    </row>
    <row r="1221" spans="1:4" ht="12.75" customHeight="1">
      <c r="A1221" s="2410" t="str">
        <f t="shared" si="20"/>
        <v xml:space="preserve">Gras, </v>
      </c>
      <c r="B1221" s="2410" t="s">
        <v>2555</v>
      </c>
      <c r="C1221" s="2410" t="s">
        <v>3287</v>
      </c>
      <c r="D1221" s="2414" t="s">
        <v>4398</v>
      </c>
    </row>
    <row r="1222" spans="1:4" ht="12.75" customHeight="1">
      <c r="A1222" s="2410" t="str">
        <f t="shared" si="20"/>
        <v>extensiv</v>
      </c>
      <c r="B1222" s="2410" t="s">
        <v>4266</v>
      </c>
      <c r="C1222" s="2410" t="s">
        <v>2682</v>
      </c>
      <c r="D1222" s="2414" t="s">
        <v>4402</v>
      </c>
    </row>
    <row r="1223" spans="1:4" ht="12.75" customHeight="1">
      <c r="A1223" s="2410" t="str">
        <f t="shared" si="20"/>
        <v>Gras-</v>
      </c>
      <c r="B1223" s="2410" t="s">
        <v>4125</v>
      </c>
      <c r="C1223" s="2410" t="s">
        <v>3287</v>
      </c>
      <c r="D1223" s="2414" t="s">
        <v>4398</v>
      </c>
    </row>
    <row r="1224" spans="1:4" ht="12.75" customHeight="1">
      <c r="A1224" s="2410" t="str">
        <f t="shared" si="20"/>
        <v>silage</v>
      </c>
      <c r="B1224" s="2410" t="s">
        <v>2408</v>
      </c>
      <c r="C1224" s="2410" t="s">
        <v>3647</v>
      </c>
      <c r="D1224" s="2414" t="s">
        <v>4403</v>
      </c>
    </row>
    <row r="1225" spans="1:4" ht="12.75" customHeight="1">
      <c r="A1225" s="2410" t="str">
        <f t="shared" si="20"/>
        <v>Mais-</v>
      </c>
      <c r="B1225" s="2410" t="s">
        <v>1153</v>
      </c>
      <c r="C1225" s="2410" t="s">
        <v>3289</v>
      </c>
      <c r="D1225" s="2414" t="s">
        <v>8765</v>
      </c>
    </row>
    <row r="1226" spans="1:4" ht="12.75" customHeight="1">
      <c r="A1226" s="2410" t="str">
        <f t="shared" si="20"/>
        <v>silage</v>
      </c>
      <c r="B1226" s="2410" t="s">
        <v>2408</v>
      </c>
      <c r="C1226" s="2410" t="s">
        <v>3647</v>
      </c>
      <c r="D1226" s="2414" t="s">
        <v>8900</v>
      </c>
    </row>
    <row r="1227" spans="1:4" ht="12.75" customHeight="1">
      <c r="A1227" s="2410" t="str">
        <f t="shared" si="20"/>
        <v>Grün-</v>
      </c>
      <c r="B1227" s="2410" t="s">
        <v>2556</v>
      </c>
      <c r="C1227" s="2410" t="s">
        <v>3290</v>
      </c>
      <c r="D1227" s="2414" t="s">
        <v>8765</v>
      </c>
    </row>
    <row r="1228" spans="1:4" ht="12.75" customHeight="1">
      <c r="A1228" s="2410" t="str">
        <f t="shared" si="20"/>
        <v>mais</v>
      </c>
      <c r="B1228" s="2410" t="s">
        <v>7191</v>
      </c>
      <c r="C1228" s="2410" t="s">
        <v>3291</v>
      </c>
      <c r="D1228" s="2414" t="s">
        <v>11168</v>
      </c>
    </row>
    <row r="1229" spans="1:4" ht="12.75" customHeight="1">
      <c r="A1229" s="2410">
        <f t="shared" si="20"/>
        <v>0</v>
      </c>
      <c r="B1229" s="2410"/>
      <c r="C1229" s="2410" t="s">
        <v>3286</v>
      </c>
      <c r="D1229" s="2414" t="s">
        <v>11169</v>
      </c>
    </row>
    <row r="1230" spans="1:4" ht="12.75" customHeight="1">
      <c r="A1230" s="2410" t="str">
        <f t="shared" si="20"/>
        <v>Mais-</v>
      </c>
      <c r="B1230" s="2410" t="s">
        <v>1153</v>
      </c>
      <c r="C1230" s="2410" t="s">
        <v>3289</v>
      </c>
      <c r="D1230" s="2414" t="s">
        <v>8765</v>
      </c>
    </row>
    <row r="1231" spans="1:4" ht="12.75" customHeight="1">
      <c r="A1231" s="2410" t="str">
        <f t="shared" si="20"/>
        <v>würfel</v>
      </c>
      <c r="B1231" s="2410" t="s">
        <v>2409</v>
      </c>
      <c r="C1231" s="2410" t="s">
        <v>3292</v>
      </c>
      <c r="D1231" s="2414" t="s">
        <v>11166</v>
      </c>
    </row>
    <row r="1232" spans="1:4" ht="12.75" customHeight="1">
      <c r="A1232" s="2410" t="str">
        <f t="shared" si="20"/>
        <v>Rüben-</v>
      </c>
      <c r="B1232" s="2410" t="s">
        <v>2553</v>
      </c>
      <c r="C1232" s="2410" t="s">
        <v>3039</v>
      </c>
      <c r="D1232" s="2414" t="s">
        <v>8902</v>
      </c>
    </row>
    <row r="1233" spans="1:4" ht="12.75" customHeight="1">
      <c r="A1233" s="2410" t="str">
        <f t="shared" si="20"/>
        <v>schnitzel</v>
      </c>
      <c r="B1233" s="2410" t="s">
        <v>2411</v>
      </c>
      <c r="C1233" s="2410" t="s">
        <v>3040</v>
      </c>
      <c r="D1233" s="2414" t="s">
        <v>4404</v>
      </c>
    </row>
    <row r="1234" spans="1:4" ht="12.75" customHeight="1">
      <c r="A1234" s="2410" t="str">
        <f t="shared" si="20"/>
        <v>Heu</v>
      </c>
      <c r="B1234" s="2410" t="s">
        <v>5242</v>
      </c>
      <c r="C1234" s="2410" t="s">
        <v>3125</v>
      </c>
      <c r="D1234" s="2414" t="s">
        <v>8897</v>
      </c>
    </row>
    <row r="1235" spans="1:4" ht="12.75" customHeight="1">
      <c r="A1235" s="2410" t="str">
        <f t="shared" si="20"/>
        <v>belüftet</v>
      </c>
      <c r="B1235" s="2410" t="s">
        <v>2406</v>
      </c>
      <c r="C1235" s="2410" t="s">
        <v>3645</v>
      </c>
      <c r="D1235" s="2414" t="s">
        <v>4397</v>
      </c>
    </row>
    <row r="1236" spans="1:4" ht="12.75" customHeight="1">
      <c r="A1236" s="2410" t="str">
        <f t="shared" si="20"/>
        <v>Heu</v>
      </c>
      <c r="B1236" s="2410" t="s">
        <v>5242</v>
      </c>
      <c r="C1236" s="2410" t="s">
        <v>3125</v>
      </c>
      <c r="D1236" s="2414" t="s">
        <v>8897</v>
      </c>
    </row>
    <row r="1237" spans="1:4" ht="12.75" customHeight="1">
      <c r="A1237" s="2410" t="str">
        <f t="shared" si="20"/>
        <v>unbelüftet</v>
      </c>
      <c r="B1237" s="2410" t="s">
        <v>2407</v>
      </c>
      <c r="C1237" s="2410" t="s">
        <v>3646</v>
      </c>
      <c r="D1237" s="2414" t="s">
        <v>8898</v>
      </c>
    </row>
    <row r="1238" spans="1:4" ht="12.75" customHeight="1">
      <c r="A1238" s="2410">
        <f t="shared" si="20"/>
        <v>0</v>
      </c>
      <c r="B1238" s="2410"/>
      <c r="C1238" s="2410" t="s">
        <v>3645</v>
      </c>
      <c r="D1238" s="2414" t="s">
        <v>8899</v>
      </c>
    </row>
    <row r="1239" spans="1:4" ht="12.75" customHeight="1">
      <c r="A1239" s="2410" t="str">
        <f t="shared" si="20"/>
        <v>Heu</v>
      </c>
      <c r="B1239" s="2410" t="s">
        <v>5242</v>
      </c>
      <c r="C1239" s="2410" t="s">
        <v>3125</v>
      </c>
      <c r="D1239" s="2414" t="s">
        <v>8897</v>
      </c>
    </row>
    <row r="1240" spans="1:4" ht="12.75" customHeight="1">
      <c r="A1240" s="2410" t="str">
        <f t="shared" si="20"/>
        <v>extensiv</v>
      </c>
      <c r="B1240" s="2410" t="s">
        <v>4266</v>
      </c>
      <c r="C1240" s="2410" t="s">
        <v>2682</v>
      </c>
      <c r="D1240" s="2414" t="s">
        <v>6353</v>
      </c>
    </row>
    <row r="1241" spans="1:4" ht="12.75" customHeight="1">
      <c r="A1241" s="2410" t="str">
        <f t="shared" si="20"/>
        <v>Differenz</v>
      </c>
      <c r="B1241" s="2410" t="s">
        <v>7187</v>
      </c>
      <c r="C1241" s="2410" t="s">
        <v>3044</v>
      </c>
      <c r="D1241" s="2414" t="s">
        <v>4399</v>
      </c>
    </row>
    <row r="1242" spans="1:4" ht="12.75" customHeight="1">
      <c r="A1242" s="2410" t="str">
        <f t="shared" si="20"/>
        <v>Total Verbrauch</v>
      </c>
      <c r="B1242" s="2410" t="s">
        <v>6829</v>
      </c>
      <c r="C1242" s="2410" t="s">
        <v>3415</v>
      </c>
      <c r="D1242" s="2414" t="s">
        <v>8908</v>
      </c>
    </row>
    <row r="1243" spans="1:4" ht="12.75" customHeight="1">
      <c r="A1243" s="2410" t="str">
        <f t="shared" si="20"/>
        <v xml:space="preserve">Tabelle aktualisieren </v>
      </c>
      <c r="B1243" s="2410" t="s">
        <v>643</v>
      </c>
      <c r="C1243" s="2410" t="s">
        <v>6290</v>
      </c>
      <c r="D1243" s="2414" t="s">
        <v>8875</v>
      </c>
    </row>
    <row r="1244" spans="1:4" ht="12.75" customHeight="1">
      <c r="A1244" s="2410" t="str">
        <f t="shared" si="20"/>
        <v>2. Angebot, inkl. Zukauf und Verkauf</v>
      </c>
      <c r="B1244" s="2410" t="s">
        <v>8414</v>
      </c>
      <c r="C1244" s="2410" t="s">
        <v>8410</v>
      </c>
      <c r="D1244" s="2414" t="s">
        <v>8909</v>
      </c>
    </row>
    <row r="1245" spans="1:4" ht="12.75" customHeight="1">
      <c r="A1245" s="2410" t="str">
        <f t="shared" si="20"/>
        <v>3. Zuordnung des Angebotes auf Nutzungsarten</v>
      </c>
      <c r="B1245" s="2410" t="s">
        <v>7113</v>
      </c>
      <c r="C1245" s="2410" t="s">
        <v>5947</v>
      </c>
      <c r="D1245" s="2414" t="s">
        <v>8910</v>
      </c>
    </row>
    <row r="1246" spans="1:4" ht="12.75" customHeight="1">
      <c r="A1246" s="2410" t="str">
        <f t="shared" si="20"/>
        <v>Feldertrag</v>
      </c>
      <c r="B1246" s="2410" t="s">
        <v>5929</v>
      </c>
      <c r="C1246" s="2410" t="s">
        <v>5948</v>
      </c>
      <c r="D1246" s="2414" t="s">
        <v>4405</v>
      </c>
    </row>
    <row r="1247" spans="1:4" ht="12.75" customHeight="1">
      <c r="A1247" s="2410" t="str">
        <f t="shared" si="20"/>
        <v>abzügl.</v>
      </c>
      <c r="B1247" s="2410" t="s">
        <v>2041</v>
      </c>
      <c r="C1247" s="2410" t="s">
        <v>3455</v>
      </c>
      <c r="D1247" s="2414" t="s">
        <v>4406</v>
      </c>
    </row>
    <row r="1248" spans="1:4" ht="12.75" customHeight="1">
      <c r="A1248" s="2410" t="str">
        <f t="shared" si="20"/>
        <v>Nettoangebot in dt TS</v>
      </c>
      <c r="B1248" s="2410" t="s">
        <v>4347</v>
      </c>
      <c r="C1248" s="2410" t="s">
        <v>5949</v>
      </c>
      <c r="D1248" s="2414" t="s">
        <v>8911</v>
      </c>
    </row>
    <row r="1249" spans="1:4" ht="12.75" customHeight="1">
      <c r="A1249" s="2410" t="str">
        <f t="shared" si="20"/>
        <v>Kultur</v>
      </c>
      <c r="B1249" s="2410" t="s">
        <v>3603</v>
      </c>
      <c r="C1249" s="2410" t="s">
        <v>312</v>
      </c>
      <c r="D1249" s="2414" t="s">
        <v>581</v>
      </c>
    </row>
    <row r="1250" spans="1:4" ht="12.75" customHeight="1">
      <c r="A1250" s="2410" t="str">
        <f t="shared" si="20"/>
        <v>Nutzungsart</v>
      </c>
      <c r="B1250" s="2410" t="s">
        <v>4348</v>
      </c>
      <c r="C1250" s="2410" t="s">
        <v>5950</v>
      </c>
      <c r="D1250" s="2414" t="s">
        <v>8912</v>
      </c>
    </row>
    <row r="1251" spans="1:4" ht="12.75" customHeight="1">
      <c r="A1251" s="2410" t="str">
        <f t="shared" si="20"/>
        <v>intensiv</v>
      </c>
      <c r="B1251" s="2410" t="s">
        <v>4660</v>
      </c>
      <c r="C1251" s="2410" t="s">
        <v>5951</v>
      </c>
      <c r="D1251" s="2414" t="s">
        <v>6356</v>
      </c>
    </row>
    <row r="1252" spans="1:4" ht="12.75" customHeight="1">
      <c r="A1252" s="2410" t="str">
        <f t="shared" si="20"/>
        <v>extensiv</v>
      </c>
      <c r="B1252" s="2410" t="s">
        <v>4266</v>
      </c>
      <c r="C1252" s="2410" t="s">
        <v>2682</v>
      </c>
      <c r="D1252" s="2414" t="s">
        <v>6353</v>
      </c>
    </row>
    <row r="1253" spans="1:4" ht="12.75" customHeight="1">
      <c r="A1253" s="2410" t="str">
        <f t="shared" si="20"/>
        <v>Lager-</v>
      </c>
      <c r="B1253" s="2410" t="s">
        <v>4349</v>
      </c>
      <c r="C1253" s="2410" t="s">
        <v>5952</v>
      </c>
      <c r="D1253" s="2414" t="s">
        <v>4408</v>
      </c>
    </row>
    <row r="1254" spans="1:4" ht="12.75" customHeight="1">
      <c r="A1254" s="2410" t="str">
        <f t="shared" si="20"/>
        <v>verluste</v>
      </c>
      <c r="B1254" s="2410" t="s">
        <v>700</v>
      </c>
      <c r="C1254" s="2410" t="s">
        <v>7422</v>
      </c>
      <c r="D1254" s="2414" t="s">
        <v>8913</v>
      </c>
    </row>
    <row r="1255" spans="1:4" ht="12.75" customHeight="1">
      <c r="A1255" s="2410" t="str">
        <f t="shared" si="20"/>
        <v>Total</v>
      </c>
      <c r="B1255" s="2410" t="s">
        <v>4802</v>
      </c>
      <c r="C1255" s="2410" t="s">
        <v>4802</v>
      </c>
      <c r="D1255" s="2414" t="s">
        <v>6340</v>
      </c>
    </row>
    <row r="1256" spans="1:4" ht="12.75" customHeight="1">
      <c r="A1256" s="2410" t="str">
        <f t="shared" si="20"/>
        <v>dt TS</v>
      </c>
      <c r="B1256" s="2410" t="s">
        <v>2639</v>
      </c>
      <c r="C1256" s="2410" t="s">
        <v>6533</v>
      </c>
      <c r="D1256" s="2414" t="s">
        <v>5879</v>
      </c>
    </row>
    <row r="1257" spans="1:4" ht="12.75" customHeight="1">
      <c r="A1257" s="2410" t="str">
        <f t="shared" si="20"/>
        <v>Prozent</v>
      </c>
      <c r="B1257" s="2410" t="s">
        <v>6173</v>
      </c>
      <c r="C1257" s="2410" t="s">
        <v>1512</v>
      </c>
      <c r="D1257" s="2414" t="s">
        <v>1512</v>
      </c>
    </row>
    <row r="1258" spans="1:4" ht="12.75" customHeight="1">
      <c r="A1258" s="2410" t="str">
        <f t="shared" si="20"/>
        <v>Winter</v>
      </c>
      <c r="B1258" s="2410" t="s">
        <v>7192</v>
      </c>
      <c r="C1258" s="2410" t="s">
        <v>671</v>
      </c>
      <c r="D1258" s="2414" t="s">
        <v>2778</v>
      </c>
    </row>
    <row r="1259" spans="1:4" ht="12.75" customHeight="1">
      <c r="A1259" s="2410" t="str">
        <f t="shared" si="20"/>
        <v>Sommer</v>
      </c>
      <c r="B1259" s="2410" t="s">
        <v>7193</v>
      </c>
      <c r="C1259" s="2410" t="s">
        <v>672</v>
      </c>
      <c r="D1259" s="2414" t="s">
        <v>2779</v>
      </c>
    </row>
    <row r="1260" spans="1:4" ht="12.75" customHeight="1">
      <c r="A1260" s="2410" t="str">
        <f t="shared" si="20"/>
        <v>Zu verteilen</v>
      </c>
      <c r="B1260" s="2410" t="s">
        <v>6174</v>
      </c>
      <c r="C1260" s="2410" t="s">
        <v>7423</v>
      </c>
      <c r="D1260" s="2414" t="s">
        <v>4409</v>
      </c>
    </row>
    <row r="1261" spans="1:4" ht="12.75" customHeight="1">
      <c r="A1261" s="2410" t="str">
        <f t="shared" ref="A1261:A1327" si="21">IF($A$2=1,B1261,IF($A$2=2,C1261,IF($A$2=3,IF(D1261="",C1261,D1261),"")))</f>
        <v>Gras, eingrasen</v>
      </c>
      <c r="B1261" s="2410" t="s">
        <v>7400</v>
      </c>
      <c r="C1261" s="2410" t="s">
        <v>5245</v>
      </c>
      <c r="D1261" s="2414" t="s">
        <v>8914</v>
      </c>
    </row>
    <row r="1262" spans="1:4" ht="12.75" customHeight="1">
      <c r="A1262" s="2410" t="str">
        <f t="shared" si="21"/>
        <v>Gras, weiden</v>
      </c>
      <c r="B1262" s="2410" t="s">
        <v>7401</v>
      </c>
      <c r="C1262" s="2410" t="s">
        <v>5246</v>
      </c>
      <c r="D1262" s="2414" t="s">
        <v>11170</v>
      </c>
    </row>
    <row r="1263" spans="1:4" ht="12.75" customHeight="1">
      <c r="A1263" s="2410" t="str">
        <f t="shared" si="21"/>
        <v>Trockengras</v>
      </c>
      <c r="B1263" s="2410" t="s">
        <v>2497</v>
      </c>
      <c r="C1263" s="2410" t="s">
        <v>2186</v>
      </c>
      <c r="D1263" s="2414" t="s">
        <v>8915</v>
      </c>
    </row>
    <row r="1264" spans="1:4" ht="12.75" customHeight="1">
      <c r="A1264" s="2410" t="str">
        <f t="shared" si="21"/>
        <v>Maiswürfel</v>
      </c>
      <c r="B1264" s="2410" t="s">
        <v>2498</v>
      </c>
      <c r="C1264" s="2410" t="s">
        <v>4979</v>
      </c>
      <c r="D1264" s="2414" t="s">
        <v>11171</v>
      </c>
    </row>
    <row r="1265" spans="1:4" ht="12.75" customHeight="1">
      <c r="A1265" s="2410" t="str">
        <f t="shared" si="21"/>
        <v>Grassilage</v>
      </c>
      <c r="B1265" s="2410" t="s">
        <v>2499</v>
      </c>
      <c r="C1265" s="2410" t="s">
        <v>5144</v>
      </c>
      <c r="D1265" s="2414" t="s">
        <v>8916</v>
      </c>
    </row>
    <row r="1266" spans="1:4" ht="12.75" customHeight="1">
      <c r="A1266" s="2410" t="str">
        <f t="shared" si="21"/>
        <v>Maissilage</v>
      </c>
      <c r="B1266" s="2410" t="s">
        <v>2500</v>
      </c>
      <c r="C1266" s="2410" t="s">
        <v>7335</v>
      </c>
      <c r="D1266" s="2414" t="s">
        <v>11172</v>
      </c>
    </row>
    <row r="1267" spans="1:4" ht="12.75" customHeight="1">
      <c r="A1267" s="2410" t="str">
        <f t="shared" si="21"/>
        <v>Maissilage, grün verfüttert</v>
      </c>
      <c r="B1267" s="2410" t="s">
        <v>2501</v>
      </c>
      <c r="C1267" s="2410" t="s">
        <v>2332</v>
      </c>
      <c r="D1267" s="2414" t="s">
        <v>11173</v>
      </c>
    </row>
    <row r="1268" spans="1:4" ht="12.75" customHeight="1">
      <c r="A1268" s="2410" t="str">
        <f t="shared" si="21"/>
        <v>Ganzpflanzen-Sorghum</v>
      </c>
      <c r="B1268" s="2410" t="s">
        <v>7778</v>
      </c>
      <c r="C1268" s="2410" t="s">
        <v>7779</v>
      </c>
      <c r="D1268" s="2414" t="s">
        <v>8540</v>
      </c>
    </row>
    <row r="1269" spans="1:4" ht="12.75" customHeight="1">
      <c r="A1269" s="2410" t="str">
        <f t="shared" si="21"/>
        <v>Dürrfutter, belüftet</v>
      </c>
      <c r="B1269" s="2410" t="s">
        <v>6833</v>
      </c>
      <c r="C1269" s="2410" t="s">
        <v>4267</v>
      </c>
      <c r="D1269" s="2414" t="s">
        <v>8917</v>
      </c>
    </row>
    <row r="1270" spans="1:4" ht="12.75" customHeight="1">
      <c r="A1270" s="2410" t="str">
        <f t="shared" si="21"/>
        <v>Dürrfutter, unbelüftet</v>
      </c>
      <c r="B1270" s="2410" t="s">
        <v>6658</v>
      </c>
      <c r="C1270" s="2410" t="s">
        <v>6766</v>
      </c>
      <c r="D1270" s="2414" t="s">
        <v>8918</v>
      </c>
    </row>
    <row r="1271" spans="1:4" ht="12.75" customHeight="1">
      <c r="A1271" s="2410" t="str">
        <f t="shared" si="21"/>
        <v>Futterrüben, Kartoffeln</v>
      </c>
      <c r="B1271" s="2410" t="s">
        <v>6659</v>
      </c>
      <c r="C1271" s="2410" t="s">
        <v>57</v>
      </c>
      <c r="D1271" s="2414" t="s">
        <v>8919</v>
      </c>
    </row>
    <row r="1272" spans="1:4" ht="12.75" customHeight="1">
      <c r="A1272" s="2410" t="str">
        <f t="shared" si="21"/>
        <v>Zuckerrübenschnitzel</v>
      </c>
      <c r="B1272" s="2410" t="s">
        <v>3505</v>
      </c>
      <c r="C1272" s="2410" t="s">
        <v>4567</v>
      </c>
      <c r="D1272" s="2414" t="s">
        <v>1997</v>
      </c>
    </row>
    <row r="1273" spans="1:4" ht="12.75" customHeight="1">
      <c r="A1273" s="2410" t="str">
        <f t="shared" si="21"/>
        <v>Total Angebot</v>
      </c>
      <c r="B1273" s="2410" t="s">
        <v>4922</v>
      </c>
      <c r="C1273" s="2410" t="s">
        <v>58</v>
      </c>
      <c r="D1273" s="2414" t="s">
        <v>8920</v>
      </c>
    </row>
    <row r="1274" spans="1:4" ht="12.75" customHeight="1">
      <c r="A1274" s="2410" t="str">
        <f t="shared" si="21"/>
        <v xml:space="preserve">abzüglich Ø Lagerungsverluste </v>
      </c>
      <c r="B1274" s="2410" t="s">
        <v>4770</v>
      </c>
      <c r="C1274" s="2410" t="s">
        <v>515</v>
      </c>
      <c r="D1274" s="2414" t="s">
        <v>8921</v>
      </c>
    </row>
    <row r="1275" spans="1:4" ht="12.75" customHeight="1">
      <c r="A1275" s="2410" t="str">
        <f t="shared" si="21"/>
        <v>Netto-Angebot</v>
      </c>
      <c r="B1275" s="2410" t="s">
        <v>4771</v>
      </c>
      <c r="C1275" s="2410" t="s">
        <v>486</v>
      </c>
      <c r="D1275" s="2414" t="s">
        <v>8922</v>
      </c>
    </row>
    <row r="1276" spans="1:4" ht="12.75" customHeight="1">
      <c r="A1276" s="2410" t="str">
        <f t="shared" si="21"/>
        <v>TS-Verbrauch Tiere</v>
      </c>
      <c r="B1276" s="2410" t="s">
        <v>4772</v>
      </c>
      <c r="C1276" s="2410" t="s">
        <v>487</v>
      </c>
      <c r="D1276" s="2414" t="s">
        <v>8923</v>
      </c>
    </row>
    <row r="1277" spans="1:4" ht="12.75" customHeight="1">
      <c r="A1277" s="2410" t="str">
        <f t="shared" si="21"/>
        <v>Möglicher Zu- (+) oder Verkauf (-)</v>
      </c>
      <c r="B1277" s="2410" t="s">
        <v>8411</v>
      </c>
      <c r="C1277" s="2410" t="s">
        <v>11542</v>
      </c>
      <c r="D1277" s="2414" t="s">
        <v>11697</v>
      </c>
    </row>
    <row r="1278" spans="1:4" ht="12.75" customHeight="1">
      <c r="A1278" s="2410" t="str">
        <f t="shared" si="21"/>
        <v>Kennziffern</v>
      </c>
      <c r="B1278" s="2410" t="s">
        <v>3375</v>
      </c>
      <c r="C1278" s="2410" t="s">
        <v>263</v>
      </c>
      <c r="D1278" s="2414" t="s">
        <v>580</v>
      </c>
    </row>
    <row r="1279" spans="1:4" ht="12.75" customHeight="1">
      <c r="A1279" s="2410" t="str">
        <f t="shared" si="21"/>
        <v>dt TS Feldertrag</v>
      </c>
      <c r="B1279" s="2410" t="s">
        <v>11700</v>
      </c>
      <c r="C1279" s="2410" t="s">
        <v>4449</v>
      </c>
      <c r="D1279" s="2414" t="s">
        <v>11568</v>
      </c>
    </row>
    <row r="1280" spans="1:4" ht="12.75" customHeight="1">
      <c r="A1280" s="2410" t="str">
        <f t="shared" si="21"/>
        <v>GVE, Raufutterverzehrer</v>
      </c>
      <c r="B1280" s="2410" t="s">
        <v>8412</v>
      </c>
      <c r="C1280" s="2410" t="s">
        <v>8413</v>
      </c>
      <c r="D1280" s="2414" t="s">
        <v>3783</v>
      </c>
    </row>
    <row r="1281" spans="1:4" ht="12.75" customHeight="1">
      <c r="A1281" s="2410" t="str">
        <f t="shared" si="21"/>
        <v>dt TS pro GVE</v>
      </c>
      <c r="B1281" s="2410" t="s">
        <v>2216</v>
      </c>
      <c r="C1281" s="2410" t="s">
        <v>4450</v>
      </c>
      <c r="D1281" s="2414" t="s">
        <v>11698</v>
      </c>
    </row>
    <row r="1282" spans="1:4" ht="12.75" customHeight="1">
      <c r="A1282" s="2410" t="str">
        <f t="shared" si="21"/>
        <v>a Hauptfutterfläche pro</v>
      </c>
      <c r="B1282" s="2410" t="s">
        <v>11699</v>
      </c>
      <c r="C1282" s="2410" t="s">
        <v>11701</v>
      </c>
      <c r="D1282" s="2414" t="s">
        <v>11702</v>
      </c>
    </row>
    <row r="1283" spans="1:4" ht="12.75" customHeight="1">
      <c r="A1283" s="2410" t="str">
        <f t="shared" si="21"/>
        <v>GVE, Raufutterverzehrer</v>
      </c>
      <c r="B1283" s="2410" t="s">
        <v>8412</v>
      </c>
      <c r="C1283" s="2410" t="s">
        <v>8413</v>
      </c>
      <c r="D1283" s="2414" t="s">
        <v>3783</v>
      </c>
    </row>
    <row r="1284" spans="1:4" ht="12.75" customHeight="1">
      <c r="A1284" s="2410" t="str">
        <f t="shared" si="21"/>
        <v>a pro GVE</v>
      </c>
      <c r="B1284" s="2410" t="s">
        <v>1151</v>
      </c>
      <c r="C1284" s="2410" t="s">
        <v>6254</v>
      </c>
      <c r="D1284" s="2414" t="s">
        <v>11703</v>
      </c>
    </row>
    <row r="1285" spans="1:4" ht="12.75" customHeight="1">
      <c r="A1285" s="2410">
        <f t="shared" si="21"/>
        <v>0</v>
      </c>
      <c r="B1285" s="2410"/>
      <c r="C1285" s="2410"/>
      <c r="D1285" s="2414"/>
    </row>
    <row r="1286" spans="1:4" ht="12.75" customHeight="1">
      <c r="A1286" s="2410" t="str">
        <f t="shared" si="21"/>
        <v>Blätter für detaillierte Hofdüngerberechnung (Volumen u. Gehalt) einblenden</v>
      </c>
      <c r="B1286" s="2410" t="s">
        <v>2458</v>
      </c>
      <c r="C1286" s="2410" t="s">
        <v>6036</v>
      </c>
      <c r="D1286" s="2414" t="s">
        <v>8924</v>
      </c>
    </row>
    <row r="1287" spans="1:4" ht="24" customHeight="1">
      <c r="A1287" s="2410" t="str">
        <f t="shared" si="21"/>
        <v>Dauer der Winterfütterungsperiode bzw. notwendige Güllenlagerungsdauer in Monaten:</v>
      </c>
      <c r="B1287" s="2410" t="s">
        <v>1300</v>
      </c>
      <c r="C1287" s="2410" t="s">
        <v>6255</v>
      </c>
      <c r="D1287" s="2414" t="s">
        <v>11704</v>
      </c>
    </row>
    <row r="1288" spans="1:4" ht="12.75" customHeight="1">
      <c r="A1288" s="2410" t="str">
        <f t="shared" si="21"/>
        <v>Hofdünger-Anfallsmengen im Winter und jährlicher Strohbedarf</v>
      </c>
      <c r="B1288" s="2410" t="s">
        <v>3871</v>
      </c>
      <c r="C1288" s="2410" t="s">
        <v>7385</v>
      </c>
      <c r="D1288" s="2414" t="s">
        <v>8925</v>
      </c>
    </row>
    <row r="1289" spans="1:4" ht="12.75" customHeight="1">
      <c r="A1289" s="2410" t="str">
        <f t="shared" si="21"/>
        <v xml:space="preserve">Tabelle aktualisieren </v>
      </c>
      <c r="B1289" s="2410" t="s">
        <v>643</v>
      </c>
      <c r="C1289" s="2410" t="s">
        <v>7329</v>
      </c>
      <c r="D1289" s="2414" t="s">
        <v>8875</v>
      </c>
    </row>
    <row r="1290" spans="1:4" ht="12.75" customHeight="1">
      <c r="A1290" s="2410" t="str">
        <f t="shared" si="21"/>
        <v>Tierart /</v>
      </c>
      <c r="B1290" s="2410" t="s">
        <v>506</v>
      </c>
      <c r="C1290" s="2410" t="s">
        <v>3978</v>
      </c>
      <c r="D1290" s="2414" t="s">
        <v>6510</v>
      </c>
    </row>
    <row r="1291" spans="1:4" ht="12.75" customHeight="1">
      <c r="A1291" s="2410" t="str">
        <f t="shared" si="21"/>
        <v>Tierkategorie</v>
      </c>
      <c r="B1291" s="2410" t="s">
        <v>853</v>
      </c>
      <c r="C1291" s="2410" t="s">
        <v>4196</v>
      </c>
      <c r="D1291" s="2414" t="s">
        <v>8557</v>
      </c>
    </row>
    <row r="1292" spans="1:4" ht="12.75" customHeight="1">
      <c r="A1292" s="2410" t="str">
        <f t="shared" si="21"/>
        <v>Aufstallungssystem</v>
      </c>
      <c r="B1292" s="2410" t="s">
        <v>734</v>
      </c>
      <c r="C1292" s="2410" t="s">
        <v>3979</v>
      </c>
      <c r="D1292" s="2414" t="s">
        <v>8926</v>
      </c>
    </row>
    <row r="1293" spans="1:4" ht="12.75" customHeight="1">
      <c r="A1293" s="2410" t="str">
        <f t="shared" si="21"/>
        <v>Einheit</v>
      </c>
      <c r="B1293" s="2410" t="s">
        <v>6392</v>
      </c>
      <c r="C1293" s="2410" t="s">
        <v>6215</v>
      </c>
      <c r="D1293" s="2414" t="s">
        <v>1418</v>
      </c>
    </row>
    <row r="1294" spans="1:4" ht="12.75" customHeight="1">
      <c r="A1294" s="2410" t="str">
        <f t="shared" si="21"/>
        <v>Anzahl</v>
      </c>
      <c r="B1294" s="2410" t="s">
        <v>7044</v>
      </c>
      <c r="C1294" s="2410" t="s">
        <v>1348</v>
      </c>
      <c r="D1294" s="2414" t="s">
        <v>3773</v>
      </c>
    </row>
    <row r="1295" spans="1:4" ht="12.75" customHeight="1">
      <c r="A1295" s="2410" t="str">
        <f t="shared" si="21"/>
        <v>Einh.</v>
      </c>
      <c r="B1295" s="2410" t="s">
        <v>507</v>
      </c>
      <c r="C1295" s="2410" t="s">
        <v>3980</v>
      </c>
      <c r="D1295" s="2414" t="s">
        <v>1610</v>
      </c>
    </row>
    <row r="1296" spans="1:4" ht="12.75" customHeight="1">
      <c r="A1296" s="2410" t="str">
        <f t="shared" si="21"/>
        <v>im</v>
      </c>
      <c r="B1296" s="2410" t="s">
        <v>735</v>
      </c>
      <c r="C1296" s="2410" t="s">
        <v>5174</v>
      </c>
      <c r="D1296" s="2414" t="s">
        <v>7539</v>
      </c>
    </row>
    <row r="1297" spans="1:4" ht="12.75" customHeight="1">
      <c r="A1297" s="2410" t="str">
        <f t="shared" si="21"/>
        <v>Winter</v>
      </c>
      <c r="B1297" s="2410" t="s">
        <v>7192</v>
      </c>
      <c r="C1297" s="2410" t="s">
        <v>3123</v>
      </c>
      <c r="D1297" s="2414" t="s">
        <v>2778</v>
      </c>
    </row>
    <row r="1298" spans="1:4" ht="12.75" customHeight="1">
      <c r="A1298" s="2410" t="str">
        <f t="shared" si="21"/>
        <v>DGVE</v>
      </c>
      <c r="B1298" s="2410" t="s">
        <v>6444</v>
      </c>
      <c r="C1298" s="2410" t="s">
        <v>6445</v>
      </c>
      <c r="D1298" s="2414" t="s">
        <v>8927</v>
      </c>
    </row>
    <row r="1299" spans="1:4" ht="12.75" customHeight="1">
      <c r="A1299" s="2410" t="str">
        <f t="shared" si="21"/>
        <v>Faktor</v>
      </c>
      <c r="B1299" s="2410" t="s">
        <v>1339</v>
      </c>
      <c r="C1299" s="2410" t="s">
        <v>3981</v>
      </c>
      <c r="D1299" s="2414" t="s">
        <v>8928</v>
      </c>
    </row>
    <row r="1300" spans="1:4" ht="12.75" customHeight="1">
      <c r="A1300" s="2410" t="str">
        <f t="shared" si="21"/>
        <v>DGVE1) /</v>
      </c>
      <c r="B1300" s="2410" t="s">
        <v>508</v>
      </c>
      <c r="C1300" s="2410" t="s">
        <v>3983</v>
      </c>
      <c r="D1300" s="2414" t="s">
        <v>11705</v>
      </c>
    </row>
    <row r="1301" spans="1:4" ht="12.75" customHeight="1">
      <c r="A1301" s="2410" t="str">
        <f t="shared" si="21"/>
        <v>MSP /</v>
      </c>
      <c r="B1301" s="2410" t="s">
        <v>736</v>
      </c>
      <c r="C1301" s="2410" t="s">
        <v>3982</v>
      </c>
      <c r="D1301" s="2414" t="s">
        <v>3776</v>
      </c>
    </row>
    <row r="1302" spans="1:4" ht="12.75" customHeight="1">
      <c r="A1302" s="2410" t="str">
        <f t="shared" si="21"/>
        <v>100 LHP /</v>
      </c>
      <c r="B1302" s="2410" t="s">
        <v>11709</v>
      </c>
      <c r="C1302" s="2410" t="s">
        <v>11710</v>
      </c>
      <c r="D1302" s="2414" t="s">
        <v>11706</v>
      </c>
    </row>
    <row r="1303" spans="1:4" ht="12.75" customHeight="1">
      <c r="A1303" s="2410" t="str">
        <f t="shared" si="21"/>
        <v>100 MPP</v>
      </c>
      <c r="B1303" s="2410" t="s">
        <v>4156</v>
      </c>
      <c r="C1303" s="2410" t="s">
        <v>6918</v>
      </c>
      <c r="D1303" s="2414" t="s">
        <v>6870</v>
      </c>
    </row>
    <row r="1304" spans="1:4" ht="12.75" customHeight="1">
      <c r="A1304" s="2410" t="str">
        <f t="shared" si="21"/>
        <v>Anzahl</v>
      </c>
      <c r="B1304" s="2410" t="s">
        <v>7044</v>
      </c>
      <c r="C1304" s="2410" t="s">
        <v>5260</v>
      </c>
      <c r="D1304" s="2414" t="s">
        <v>3773</v>
      </c>
    </row>
    <row r="1305" spans="1:4" ht="12.75" customHeight="1">
      <c r="A1305" s="2410" t="str">
        <f t="shared" si="21"/>
        <v>DGVE1) /</v>
      </c>
      <c r="B1305" s="2410" t="s">
        <v>508</v>
      </c>
      <c r="C1305" s="2410" t="s">
        <v>3983</v>
      </c>
      <c r="D1305" s="2414" t="s">
        <v>11707</v>
      </c>
    </row>
    <row r="1306" spans="1:4" ht="12.75" customHeight="1">
      <c r="A1306" s="2410" t="str">
        <f t="shared" si="21"/>
        <v>MSP /</v>
      </c>
      <c r="B1306" s="2410" t="s">
        <v>736</v>
      </c>
      <c r="C1306" s="2410" t="s">
        <v>3982</v>
      </c>
      <c r="D1306" s="2414" t="s">
        <v>3776</v>
      </c>
    </row>
    <row r="1307" spans="1:4" ht="12.75" customHeight="1">
      <c r="A1307" s="2410" t="str">
        <f t="shared" si="21"/>
        <v>100 LHP /</v>
      </c>
      <c r="B1307" s="2410" t="s">
        <v>11709</v>
      </c>
      <c r="C1307" s="2410" t="s">
        <v>11711</v>
      </c>
      <c r="D1307" s="2414" t="s">
        <v>11706</v>
      </c>
    </row>
    <row r="1308" spans="1:4" ht="12.75" customHeight="1">
      <c r="A1308" s="2410" t="str">
        <f t="shared" si="21"/>
        <v>100 MPP</v>
      </c>
      <c r="B1308" s="2410" t="s">
        <v>4156</v>
      </c>
      <c r="C1308" s="2410" t="s">
        <v>6918</v>
      </c>
      <c r="D1308" s="2414" t="s">
        <v>6870</v>
      </c>
    </row>
    <row r="1309" spans="1:4" ht="12.75" customHeight="1">
      <c r="A1309" s="2410" t="str">
        <f t="shared" si="21"/>
        <v>Bedarf bzw. Anfall</v>
      </c>
      <c r="B1309" s="2410" t="s">
        <v>3872</v>
      </c>
      <c r="C1309" s="2410" t="s">
        <v>1048</v>
      </c>
      <c r="D1309" s="2414" t="s">
        <v>11708</v>
      </c>
    </row>
    <row r="1310" spans="1:4" ht="12.75" customHeight="1">
      <c r="A1310" s="2410" t="str">
        <f t="shared" si="21"/>
        <v>pro Tierart</v>
      </c>
      <c r="B1310" s="2410" t="s">
        <v>731</v>
      </c>
      <c r="C1310" s="2410" t="s">
        <v>1049</v>
      </c>
      <c r="D1310" s="2414" t="s">
        <v>3358</v>
      </c>
    </row>
    <row r="1311" spans="1:4" ht="12.75" customHeight="1">
      <c r="A1311" s="2410" t="str">
        <f t="shared" si="21"/>
        <v>und Jahr</v>
      </c>
      <c r="B1311" s="2410" t="s">
        <v>4152</v>
      </c>
      <c r="C1311" s="2410" t="s">
        <v>1050</v>
      </c>
      <c r="D1311" s="2414" t="s">
        <v>3359</v>
      </c>
    </row>
    <row r="1312" spans="1:4" ht="12.75" customHeight="1">
      <c r="A1312" s="2410" t="str">
        <f t="shared" si="21"/>
        <v>Bedarf</v>
      </c>
      <c r="B1312" s="2410" t="s">
        <v>4153</v>
      </c>
      <c r="C1312" s="2410" t="s">
        <v>4844</v>
      </c>
      <c r="D1312" s="2414" t="s">
        <v>8929</v>
      </c>
    </row>
    <row r="1313" spans="1:4" ht="12.75" customHeight="1">
      <c r="A1313" s="2410" t="str">
        <f t="shared" si="21"/>
        <v>dt Stroh</v>
      </c>
      <c r="B1313" s="2410" t="s">
        <v>6381</v>
      </c>
      <c r="C1313" s="2410" t="s">
        <v>1051</v>
      </c>
      <c r="D1313" s="2414" t="s">
        <v>8930</v>
      </c>
    </row>
    <row r="1314" spans="1:4" ht="12.75" customHeight="1">
      <c r="A1314" s="2410" t="str">
        <f t="shared" si="21"/>
        <v>Anfall</v>
      </c>
      <c r="B1314" s="2410" t="s">
        <v>6628</v>
      </c>
      <c r="C1314" s="2410" t="s">
        <v>1537</v>
      </c>
      <c r="D1314" s="2414" t="s">
        <v>1538</v>
      </c>
    </row>
    <row r="1315" spans="1:4" ht="12.75" customHeight="1">
      <c r="A1315" s="2410" t="str">
        <f t="shared" si="21"/>
        <v>t Mist</v>
      </c>
      <c r="B1315" s="2410" t="s">
        <v>6382</v>
      </c>
      <c r="C1315" s="2410" t="s">
        <v>1052</v>
      </c>
      <c r="D1315" s="2414" t="s">
        <v>8931</v>
      </c>
    </row>
    <row r="1316" spans="1:4" ht="12.75" customHeight="1">
      <c r="A1316" s="2410" t="str">
        <f t="shared" si="21"/>
        <v>Anfall</v>
      </c>
      <c r="B1316" s="2410" t="s">
        <v>6628</v>
      </c>
      <c r="C1316" s="2410" t="s">
        <v>1537</v>
      </c>
      <c r="D1316" s="2414" t="s">
        <v>1538</v>
      </c>
    </row>
    <row r="1317" spans="1:4" ht="12.75" customHeight="1">
      <c r="A1317" s="2410" t="str">
        <f t="shared" si="21"/>
        <v>m³ Gülle</v>
      </c>
      <c r="B1317" s="2410" t="s">
        <v>11338</v>
      </c>
      <c r="C1317" s="2410" t="s">
        <v>5143</v>
      </c>
      <c r="D1317" s="2414" t="s">
        <v>8932</v>
      </c>
    </row>
    <row r="1318" spans="1:4" ht="12.75" customHeight="1">
      <c r="A1318" s="2410" t="str">
        <f t="shared" si="21"/>
        <v>Stroh-</v>
      </c>
      <c r="B1318" s="2410" t="s">
        <v>3873</v>
      </c>
      <c r="C1318" s="2410" t="s">
        <v>4844</v>
      </c>
      <c r="D1318" s="2414" t="s">
        <v>8929</v>
      </c>
    </row>
    <row r="1319" spans="1:4" ht="12.75" customHeight="1">
      <c r="A1319" s="2410" t="str">
        <f t="shared" si="21"/>
        <v>bedarf</v>
      </c>
      <c r="B1319" s="2410" t="s">
        <v>732</v>
      </c>
      <c r="C1319" s="2410" t="s">
        <v>5174</v>
      </c>
      <c r="D1319" s="2414" t="s">
        <v>3360</v>
      </c>
    </row>
    <row r="1320" spans="1:4" ht="12.75" customHeight="1">
      <c r="A1320" s="2410" t="str">
        <f t="shared" si="21"/>
        <v>dt</v>
      </c>
      <c r="B1320" s="2641" t="s">
        <v>345</v>
      </c>
      <c r="C1320" s="2410" t="s">
        <v>1053</v>
      </c>
      <c r="D1320" s="2414" t="s">
        <v>3361</v>
      </c>
    </row>
    <row r="1321" spans="1:4" ht="12.75" customHeight="1">
      <c r="A1321" s="2410" t="str">
        <f t="shared" si="21"/>
        <v>pro</v>
      </c>
      <c r="B1321" s="2641" t="s">
        <v>5303</v>
      </c>
      <c r="C1321" s="2641" t="s">
        <v>345</v>
      </c>
      <c r="D1321" s="2642" t="s">
        <v>11800</v>
      </c>
    </row>
    <row r="1322" spans="1:4" ht="12.75" customHeight="1">
      <c r="A1322" s="2410" t="str">
        <f t="shared" si="21"/>
        <v>Jahr</v>
      </c>
      <c r="B1322" s="2641" t="s">
        <v>6093</v>
      </c>
      <c r="C1322" s="2641" t="s">
        <v>4958</v>
      </c>
      <c r="D1322" s="2642" t="s">
        <v>11038</v>
      </c>
    </row>
    <row r="1323" spans="1:4" ht="12.75" customHeight="1">
      <c r="A1323" s="2410" t="str">
        <f t="shared" si="21"/>
        <v>Anfallsmenge</v>
      </c>
      <c r="B1323" s="2410" t="s">
        <v>505</v>
      </c>
      <c r="C1323" s="2410" t="s">
        <v>1055</v>
      </c>
      <c r="D1323" s="2414" t="s">
        <v>606</v>
      </c>
    </row>
    <row r="1324" spans="1:4" ht="12.75" customHeight="1">
      <c r="A1324" s="2410" t="str">
        <f t="shared" si="21"/>
        <v>im Winter</v>
      </c>
      <c r="B1324" s="2410" t="s">
        <v>733</v>
      </c>
      <c r="C1324" s="2410" t="s">
        <v>1056</v>
      </c>
      <c r="D1324" s="2414" t="s">
        <v>8896</v>
      </c>
    </row>
    <row r="1325" spans="1:4" ht="12.75" customHeight="1">
      <c r="A1325" s="2410" t="str">
        <f t="shared" si="21"/>
        <v>Mist</v>
      </c>
      <c r="B1325" s="2410" t="s">
        <v>4154</v>
      </c>
      <c r="C1325" s="2410" t="s">
        <v>193</v>
      </c>
      <c r="D1325" s="2414" t="s">
        <v>2273</v>
      </c>
    </row>
    <row r="1326" spans="1:4" ht="12.75" customHeight="1">
      <c r="A1326" s="2410" t="str">
        <f t="shared" si="21"/>
        <v>Gülle</v>
      </c>
      <c r="B1326" s="2410" t="s">
        <v>4155</v>
      </c>
      <c r="C1326" s="2410" t="s">
        <v>194</v>
      </c>
      <c r="D1326" s="2414" t="s">
        <v>8933</v>
      </c>
    </row>
    <row r="1327" spans="1:4" ht="12.75" customHeight="1">
      <c r="A1327" s="2410" t="str">
        <f t="shared" si="21"/>
        <v>Strohbilanz (dt / Jahr)</v>
      </c>
      <c r="B1327" s="2410" t="s">
        <v>11712</v>
      </c>
      <c r="C1327" s="2410" t="s">
        <v>11713</v>
      </c>
      <c r="D1327" s="2414" t="s">
        <v>11714</v>
      </c>
    </row>
    <row r="1328" spans="1:4" ht="12.75" customHeight="1">
      <c r="A1328" s="2410" t="str">
        <f t="shared" ref="A1328:A1391" si="22">IF($A$2=1,B1328,IF($A$2=2,C1328,IF($A$2=3,IF(D1328="",C1328,D1328),"")))</f>
        <v>Strohbedarf des Betriebes</v>
      </c>
      <c r="B1328" s="2410" t="s">
        <v>6384</v>
      </c>
      <c r="C1328" s="2410" t="s">
        <v>4535</v>
      </c>
      <c r="D1328" s="2414" t="s">
        <v>8934</v>
      </c>
    </row>
    <row r="1329" spans="1:4" ht="12.75" customHeight="1">
      <c r="A1329" s="2410" t="str">
        <f t="shared" si="22"/>
        <v>Strohangebot aus Getreidebau (vgl. Blatt "Fläche")</v>
      </c>
      <c r="B1329" s="2410" t="s">
        <v>6385</v>
      </c>
      <c r="C1329" s="2410" t="s">
        <v>1196</v>
      </c>
      <c r="D1329" s="2414" t="s">
        <v>11174</v>
      </c>
    </row>
    <row r="1330" spans="1:4" ht="12.75" customHeight="1">
      <c r="A1330" s="2410" t="str">
        <f t="shared" si="22"/>
        <v>Möglicher Strohverkauf</v>
      </c>
      <c r="B1330" s="2410" t="s">
        <v>1327</v>
      </c>
      <c r="C1330" s="2410" t="s">
        <v>6711</v>
      </c>
      <c r="D1330" s="2414" t="s">
        <v>8935</v>
      </c>
    </row>
    <row r="1331" spans="1:4" ht="12.75" customHeight="1">
      <c r="A1331" s="2410" t="str">
        <f t="shared" si="22"/>
        <v>Notwendiger Strohzukauf</v>
      </c>
      <c r="B1331" s="2410" t="s">
        <v>4123</v>
      </c>
      <c r="C1331" s="2410" t="s">
        <v>2931</v>
      </c>
      <c r="D1331" s="2414" t="s">
        <v>8936</v>
      </c>
    </row>
    <row r="1332" spans="1:4" ht="12.75" customHeight="1">
      <c r="A1332" s="2410" t="str">
        <f t="shared" si="22"/>
        <v>Mistanfall (t)</v>
      </c>
      <c r="B1332" s="2410" t="s">
        <v>2932</v>
      </c>
      <c r="C1332" s="2410" t="s">
        <v>2933</v>
      </c>
      <c r="D1332" s="2414" t="s">
        <v>4232</v>
      </c>
    </row>
    <row r="1333" spans="1:4" ht="12.75" customHeight="1">
      <c r="A1333" s="2410" t="str">
        <f t="shared" si="22"/>
        <v>plus Krippenreste (geschätzt)</v>
      </c>
      <c r="B1333" s="2410" t="s">
        <v>6732</v>
      </c>
      <c r="C1333" s="2410" t="s">
        <v>5221</v>
      </c>
      <c r="D1333" s="2414" t="s">
        <v>8937</v>
      </c>
    </row>
    <row r="1334" spans="1:4" ht="12.75" customHeight="1">
      <c r="A1334" s="2410" t="str">
        <f t="shared" si="22"/>
        <v>Gesamtanfall im Winter (Mist verrottet)</v>
      </c>
      <c r="B1334" s="2410" t="s">
        <v>6327</v>
      </c>
      <c r="C1334" s="2410" t="s">
        <v>2931</v>
      </c>
      <c r="D1334" s="2414" t="s">
        <v>8938</v>
      </c>
    </row>
    <row r="1335" spans="1:4" ht="12.75" customHeight="1">
      <c r="A1335" s="2410" t="str">
        <f t="shared" si="22"/>
        <v>Güllenanfall (m³)</v>
      </c>
      <c r="B1335" s="2410" t="s">
        <v>4161</v>
      </c>
      <c r="C1335" s="2410" t="s">
        <v>4162</v>
      </c>
      <c r="D1335" s="2414" t="s">
        <v>8939</v>
      </c>
    </row>
    <row r="1336" spans="1:4" ht="12.75" customHeight="1">
      <c r="A1336" s="2410" t="str">
        <f t="shared" si="22"/>
        <v>Gesamtanfall im Winter unverdünnt</v>
      </c>
      <c r="B1336" s="2410" t="s">
        <v>2793</v>
      </c>
      <c r="C1336" s="2410" t="s">
        <v>5222</v>
      </c>
      <c r="D1336" s="2414" t="s">
        <v>8940</v>
      </c>
    </row>
    <row r="1337" spans="1:4" ht="12.75" customHeight="1">
      <c r="A1337" s="2410" t="str">
        <f t="shared" si="22"/>
        <v>Art des Abwassers</v>
      </c>
      <c r="B1337" s="2410" t="s">
        <v>2795</v>
      </c>
      <c r="C1337" s="2410" t="s">
        <v>5223</v>
      </c>
      <c r="D1337" s="2414" t="s">
        <v>8941</v>
      </c>
    </row>
    <row r="1338" spans="1:4" ht="12.75" customHeight="1">
      <c r="A1338" s="2410" t="str">
        <f t="shared" si="22"/>
        <v>Einheiten</v>
      </c>
      <c r="B1338" s="2410" t="s">
        <v>1925</v>
      </c>
      <c r="C1338" s="2410" t="s">
        <v>6215</v>
      </c>
      <c r="D1338" s="2414" t="s">
        <v>1610</v>
      </c>
    </row>
    <row r="1339" spans="1:4" ht="12.75" customHeight="1">
      <c r="A1339" s="2410" t="str">
        <f t="shared" si="22"/>
        <v>Anzahl</v>
      </c>
      <c r="B1339" s="2410" t="s">
        <v>7044</v>
      </c>
      <c r="C1339" s="2410" t="s">
        <v>5260</v>
      </c>
      <c r="D1339" s="2414" t="s">
        <v>3773</v>
      </c>
    </row>
    <row r="1340" spans="1:4" ht="12.75" customHeight="1">
      <c r="A1340" s="2410" t="str">
        <f t="shared" si="22"/>
        <v>Einh.</v>
      </c>
      <c r="B1340" s="2410" t="s">
        <v>507</v>
      </c>
      <c r="C1340" s="2410" t="s">
        <v>3980</v>
      </c>
      <c r="D1340" s="2414" t="s">
        <v>1610</v>
      </c>
    </row>
    <row r="1341" spans="1:4" ht="12.75" customHeight="1">
      <c r="A1341" s="2410" t="str">
        <f t="shared" si="22"/>
        <v>Anfall pro Einheit</v>
      </c>
      <c r="B1341" s="2410" t="s">
        <v>2794</v>
      </c>
      <c r="C1341" s="2410" t="s">
        <v>5224</v>
      </c>
      <c r="D1341" s="2414" t="s">
        <v>4233</v>
      </c>
    </row>
    <row r="1342" spans="1:4" ht="12.75" customHeight="1">
      <c r="A1342" s="2410" t="str">
        <f t="shared" si="22"/>
        <v>m³ / Monat</v>
      </c>
      <c r="B1342" s="2641" t="s">
        <v>11797</v>
      </c>
      <c r="C1342" s="2641" t="s">
        <v>11798</v>
      </c>
      <c r="D1342" s="2642" t="s">
        <v>11799</v>
      </c>
    </row>
    <row r="1343" spans="1:4" ht="12.75" customHeight="1">
      <c r="A1343" s="2410" t="str">
        <f t="shared" si="22"/>
        <v>Stallreinigung und Tierpflege Rindvieh</v>
      </c>
      <c r="B1343" s="2410" t="s">
        <v>1380</v>
      </c>
      <c r="C1343" s="2410" t="s">
        <v>442</v>
      </c>
      <c r="D1343" s="2414" t="s">
        <v>8942</v>
      </c>
    </row>
    <row r="1344" spans="1:4" ht="12.75" customHeight="1">
      <c r="A1344" s="2410" t="str">
        <f t="shared" si="22"/>
        <v>Betreiben Schwemmentmistung Rindvieh</v>
      </c>
      <c r="B1344" s="2410" t="s">
        <v>1381</v>
      </c>
      <c r="C1344" s="2410" t="s">
        <v>362</v>
      </c>
      <c r="D1344" s="2414" t="s">
        <v>8943</v>
      </c>
    </row>
    <row r="1345" spans="1:4" ht="12.75" customHeight="1">
      <c r="A1345" s="2410" t="str">
        <f t="shared" si="22"/>
        <v>Stallreinigung und Tierpflege Schweine</v>
      </c>
      <c r="B1345" s="2410" t="s">
        <v>3946</v>
      </c>
      <c r="C1345" s="2410" t="s">
        <v>4917</v>
      </c>
      <c r="D1345" s="2414" t="s">
        <v>8944</v>
      </c>
    </row>
    <row r="1346" spans="1:4" ht="12.75" customHeight="1">
      <c r="A1346" s="2410" t="str">
        <f t="shared" si="22"/>
        <v>Stallreinigung Legehennen</v>
      </c>
      <c r="B1346" s="2410" t="s">
        <v>3947</v>
      </c>
      <c r="C1346" s="2410" t="s">
        <v>4918</v>
      </c>
      <c r="D1346" s="2414" t="s">
        <v>8945</v>
      </c>
    </row>
    <row r="1347" spans="1:4" ht="12.75" customHeight="1">
      <c r="A1347" s="2410" t="str">
        <f t="shared" si="22"/>
        <v>Stallreinigung Mastgeflügel</v>
      </c>
      <c r="B1347" s="2410" t="s">
        <v>5943</v>
      </c>
      <c r="C1347" s="2410" t="s">
        <v>6283</v>
      </c>
      <c r="D1347" s="2414" t="s">
        <v>8946</v>
      </c>
    </row>
    <row r="1348" spans="1:4" ht="24" customHeight="1">
      <c r="A1348" s="2410" t="str">
        <f t="shared" si="22"/>
        <v>Mistplatz; befestigte, nicht überdachte Laufplätze</v>
      </c>
      <c r="B1348" s="2410" t="s">
        <v>531</v>
      </c>
      <c r="C1348" s="2410" t="s">
        <v>6284</v>
      </c>
      <c r="D1348" s="2414" t="s">
        <v>8947</v>
      </c>
    </row>
    <row r="1349" spans="1:4" ht="12.75" customHeight="1">
      <c r="A1349" s="2410" t="str">
        <f t="shared" si="22"/>
        <v>Flachsiloplatte:</v>
      </c>
      <c r="B1349" s="2410" t="s">
        <v>4877</v>
      </c>
      <c r="C1349" s="2410"/>
      <c r="D1349" s="2414" t="s">
        <v>4027</v>
      </c>
    </row>
    <row r="1350" spans="1:4" ht="12.75" customHeight="1">
      <c r="A1350" s="2410" t="str">
        <f t="shared" si="22"/>
        <v>Nicht überdacht, mit vollständiger Entwässerung in die Güllengrube</v>
      </c>
      <c r="B1350" s="2410" t="s">
        <v>4878</v>
      </c>
      <c r="C1350" s="2410"/>
      <c r="D1350" s="2414" t="s">
        <v>8948</v>
      </c>
    </row>
    <row r="1351" spans="1:4" ht="24" customHeight="1">
      <c r="A1351" s="2410" t="str">
        <f t="shared" si="22"/>
        <v>Nicht überdacht, mit Entwässerung über Silosaftrinne in die Güllengrube</v>
      </c>
      <c r="B1351" s="2410" t="s">
        <v>2101</v>
      </c>
      <c r="C1351" s="2410"/>
      <c r="D1351" s="2414" t="s">
        <v>8949</v>
      </c>
    </row>
    <row r="1352" spans="1:4" ht="12.75" customHeight="1">
      <c r="A1352" s="2410" t="str">
        <f t="shared" si="22"/>
        <v>Vorplatz, Waschplatz (betriebsspezifisch zu erheben)</v>
      </c>
      <c r="B1352" s="2410" t="s">
        <v>532</v>
      </c>
      <c r="C1352" s="2410" t="s">
        <v>3726</v>
      </c>
      <c r="D1352" s="2414" t="s">
        <v>4028</v>
      </c>
    </row>
    <row r="1353" spans="1:4" ht="12.75" customHeight="1">
      <c r="A1353" s="2410" t="str">
        <f t="shared" si="22"/>
        <v>Reinigung:</v>
      </c>
      <c r="B1353" s="2410" t="s">
        <v>1709</v>
      </c>
      <c r="C1353" s="2410" t="s">
        <v>3727</v>
      </c>
      <c r="D1353" s="2414" t="s">
        <v>4029</v>
      </c>
    </row>
    <row r="1354" spans="1:4" ht="12.75" customHeight="1">
      <c r="A1354" s="2410" t="str">
        <f t="shared" si="22"/>
        <v>Milchkammer</v>
      </c>
      <c r="B1354" s="2410" t="s">
        <v>4636</v>
      </c>
      <c r="C1354" s="2410" t="s">
        <v>3728</v>
      </c>
      <c r="D1354" s="2414" t="s">
        <v>8950</v>
      </c>
    </row>
    <row r="1355" spans="1:4" ht="12.75" customHeight="1">
      <c r="A1355" s="2410" t="str">
        <f t="shared" si="22"/>
        <v>Kühltank</v>
      </c>
      <c r="B1355" s="2410" t="s">
        <v>4638</v>
      </c>
      <c r="C1355" s="2410" t="s">
        <v>2520</v>
      </c>
      <c r="D1355" s="2414" t="s">
        <v>8951</v>
      </c>
    </row>
    <row r="1356" spans="1:4" ht="12.75" customHeight="1">
      <c r="A1356" s="2410" t="str">
        <f t="shared" si="22"/>
        <v>Eimermelkanlage</v>
      </c>
      <c r="B1356" s="2410" t="s">
        <v>3660</v>
      </c>
      <c r="C1356" s="2410" t="s">
        <v>3866</v>
      </c>
      <c r="D1356" s="2414" t="s">
        <v>8952</v>
      </c>
    </row>
    <row r="1357" spans="1:4" ht="12.75" customHeight="1">
      <c r="A1357" s="2410" t="str">
        <f t="shared" si="22"/>
        <v>Rohrmelkanlage (Anbindestall oder Melkstand)</v>
      </c>
      <c r="B1357" s="2410" t="s">
        <v>3661</v>
      </c>
      <c r="C1357" s="2410" t="s">
        <v>3867</v>
      </c>
      <c r="D1357" s="2414" t="s">
        <v>8953</v>
      </c>
    </row>
    <row r="1358" spans="1:4" ht="12.75" customHeight="1">
      <c r="A1358" s="2410" t="str">
        <f t="shared" si="22"/>
        <v>Standplätze im Melkstand</v>
      </c>
      <c r="B1358" s="2410" t="s">
        <v>1283</v>
      </c>
      <c r="C1358" s="2410" t="s">
        <v>4471</v>
      </c>
      <c r="D1358" s="2414" t="s">
        <v>8954</v>
      </c>
    </row>
    <row r="1359" spans="1:4" ht="12.75" customHeight="1">
      <c r="A1359" s="2410" t="str">
        <f t="shared" si="22"/>
        <v>Automatisches Melksystem (AMS)</v>
      </c>
      <c r="B1359" s="2410" t="s">
        <v>167</v>
      </c>
      <c r="C1359" s="2410" t="s">
        <v>4472</v>
      </c>
      <c r="D1359" s="2414" t="s">
        <v>8955</v>
      </c>
    </row>
    <row r="1360" spans="1:4" ht="12.75" customHeight="1">
      <c r="A1360" s="2410" t="str">
        <f t="shared" si="22"/>
        <v xml:space="preserve">Haushalt:  </v>
      </c>
      <c r="B1360" s="2410" t="s">
        <v>4766</v>
      </c>
      <c r="C1360" s="2410" t="s">
        <v>2521</v>
      </c>
      <c r="D1360" s="2414" t="s">
        <v>8956</v>
      </c>
    </row>
    <row r="1361" spans="1:4" ht="12.75" customHeight="1">
      <c r="A1361" s="2410" t="str">
        <f t="shared" si="22"/>
        <v>normale Verhältnisse: Waschmasch., Dusche&amp;Bad, WC</v>
      </c>
      <c r="B1361" s="2410" t="s">
        <v>11716</v>
      </c>
      <c r="C1361" s="2410" t="s">
        <v>11717</v>
      </c>
      <c r="D1361" s="2414" t="s">
        <v>8264</v>
      </c>
    </row>
    <row r="1362" spans="1:4" ht="12.75" customHeight="1">
      <c r="A1362" s="2410" t="str">
        <f t="shared" si="22"/>
        <v>einfache sanitäre Einrichtungen</v>
      </c>
      <c r="B1362" s="2410" t="s">
        <v>7184</v>
      </c>
      <c r="C1362" s="2410" t="s">
        <v>2447</v>
      </c>
      <c r="D1362" s="2414" t="s">
        <v>6465</v>
      </c>
    </row>
    <row r="1363" spans="1:4" ht="12.75" customHeight="1">
      <c r="A1363" s="2410" t="str">
        <f t="shared" si="22"/>
        <v>Sonderfälle: dauernd deutlich geringerer Anfall</v>
      </c>
      <c r="B1363" s="2410" t="s">
        <v>4975</v>
      </c>
      <c r="C1363" s="2410" t="s">
        <v>339</v>
      </c>
      <c r="D1363" s="2414" t="s">
        <v>8265</v>
      </c>
    </row>
    <row r="1364" spans="1:4" ht="12.75" customHeight="1">
      <c r="A1364" s="2410" t="str">
        <f t="shared" si="22"/>
        <v>Restauration:</v>
      </c>
      <c r="B1364" s="2410" t="s">
        <v>168</v>
      </c>
      <c r="C1364" s="2410" t="s">
        <v>340</v>
      </c>
      <c r="D1364" s="2414" t="s">
        <v>6466</v>
      </c>
    </row>
    <row r="1365" spans="1:4" ht="12.75" customHeight="1">
      <c r="A1365" s="2410" t="str">
        <f t="shared" si="22"/>
        <v xml:space="preserve"> - nur wenn Aktivitäten auch im Winter erfolgen</v>
      </c>
      <c r="B1365" s="2410" t="s">
        <v>11715</v>
      </c>
      <c r="C1365" s="2410" t="s">
        <v>3692</v>
      </c>
      <c r="D1365" s="2414" t="s">
        <v>8957</v>
      </c>
    </row>
    <row r="1366" spans="1:4" ht="12.75" customHeight="1">
      <c r="A1366" s="2410" t="str">
        <f t="shared" si="22"/>
        <v>Auslastung</v>
      </c>
      <c r="B1366" s="2410" t="s">
        <v>3941</v>
      </c>
      <c r="C1366" s="2410" t="s">
        <v>3942</v>
      </c>
      <c r="D1366" s="2414" t="s">
        <v>6467</v>
      </c>
    </row>
    <row r="1367" spans="1:4" ht="12.75" customHeight="1">
      <c r="A1367" s="2410" t="str">
        <f t="shared" si="22"/>
        <v>Gastronomie, Partyraum 3)</v>
      </c>
      <c r="B1367" s="2410" t="s">
        <v>1884</v>
      </c>
      <c r="C1367" s="2410" t="s">
        <v>1799</v>
      </c>
      <c r="D1367" s="2414" t="s">
        <v>8958</v>
      </c>
    </row>
    <row r="1368" spans="1:4" ht="12.75" customHeight="1">
      <c r="A1368" s="2410" t="str">
        <f t="shared" si="22"/>
        <v>Ferien auf dem Bauernhof 4)</v>
      </c>
      <c r="B1368" s="2410" t="s">
        <v>1798</v>
      </c>
      <c r="C1368" s="2410" t="s">
        <v>1800</v>
      </c>
      <c r="D1368" s="2414" t="s">
        <v>6468</v>
      </c>
    </row>
    <row r="1369" spans="1:4" ht="12.75" customHeight="1">
      <c r="A1369" s="2410" t="str">
        <f t="shared" si="22"/>
        <v>Weiteres:</v>
      </c>
      <c r="B1369" s="2410" t="s">
        <v>3943</v>
      </c>
      <c r="C1369" s="2410" t="s">
        <v>3350</v>
      </c>
      <c r="D1369" s="2414" t="s">
        <v>393</v>
      </c>
    </row>
    <row r="1370" spans="1:4" ht="12.75" customHeight="1">
      <c r="A1370" s="2410" t="str">
        <f t="shared" si="22"/>
        <v>GVE</v>
      </c>
      <c r="B1370" s="2410" t="s">
        <v>6685</v>
      </c>
      <c r="C1370" s="2410" t="s">
        <v>3184</v>
      </c>
      <c r="D1370" s="2414" t="s">
        <v>199</v>
      </c>
    </row>
    <row r="1371" spans="1:4" ht="12.75" customHeight="1">
      <c r="A1371" s="2410" t="str">
        <f t="shared" si="22"/>
        <v>MSP</v>
      </c>
      <c r="B1371" s="2410" t="s">
        <v>6330</v>
      </c>
      <c r="C1371" s="2410" t="s">
        <v>3417</v>
      </c>
      <c r="D1371" s="2414" t="s">
        <v>1787</v>
      </c>
    </row>
    <row r="1372" spans="1:4" ht="12.75" customHeight="1">
      <c r="A1372" s="2410" t="str">
        <f t="shared" si="22"/>
        <v>100 LHP</v>
      </c>
      <c r="B1372" s="2410" t="s">
        <v>5942</v>
      </c>
      <c r="C1372" s="2410" t="s">
        <v>6918</v>
      </c>
      <c r="D1372" s="2414" t="s">
        <v>2863</v>
      </c>
    </row>
    <row r="1373" spans="1:4" ht="12.75" customHeight="1">
      <c r="A1373" s="2410" t="str">
        <f t="shared" si="22"/>
        <v>100 MPP</v>
      </c>
      <c r="B1373" s="2410" t="s">
        <v>4156</v>
      </c>
      <c r="C1373" s="2410" t="s">
        <v>6917</v>
      </c>
      <c r="D1373" s="2414" t="s">
        <v>6870</v>
      </c>
    </row>
    <row r="1374" spans="1:4" ht="12.75" customHeight="1">
      <c r="A1374" s="2410" t="str">
        <f t="shared" si="22"/>
        <v>Anzahl ME</v>
      </c>
      <c r="B1374" s="2410" t="s">
        <v>1748</v>
      </c>
      <c r="C1374" s="2410" t="s">
        <v>1749</v>
      </c>
      <c r="D1374" s="2414" t="s">
        <v>8959</v>
      </c>
    </row>
    <row r="1375" spans="1:4" ht="12.75" customHeight="1">
      <c r="A1375" s="2410" t="str">
        <f t="shared" si="22"/>
        <v>Volumen in lt.</v>
      </c>
      <c r="B1375" s="2410" t="s">
        <v>7004</v>
      </c>
      <c r="C1375" s="2410" t="s">
        <v>7005</v>
      </c>
      <c r="D1375" s="2414" t="s">
        <v>2864</v>
      </c>
    </row>
    <row r="1376" spans="1:4" ht="12.75" customHeight="1">
      <c r="A1376" s="2410" t="str">
        <f t="shared" si="22"/>
        <v>Anzahl Plätze</v>
      </c>
      <c r="B1376" s="2410" t="s">
        <v>1284</v>
      </c>
      <c r="C1376" s="2410" t="s">
        <v>2102</v>
      </c>
      <c r="D1376" s="2414" t="s">
        <v>8960</v>
      </c>
    </row>
    <row r="1377" spans="1:4" ht="12.75" customHeight="1">
      <c r="A1377" s="2410" t="str">
        <f t="shared" si="22"/>
        <v>Anzahl Einheiten</v>
      </c>
      <c r="B1377" s="2410" t="s">
        <v>3065</v>
      </c>
      <c r="C1377" s="2410" t="s">
        <v>1550</v>
      </c>
      <c r="D1377" s="2414" t="s">
        <v>8438</v>
      </c>
    </row>
    <row r="1378" spans="1:4" ht="12.75" customHeight="1">
      <c r="A1378" s="2410" t="str">
        <f t="shared" si="22"/>
        <v>Einwohner</v>
      </c>
      <c r="B1378" s="2410" t="s">
        <v>7182</v>
      </c>
      <c r="C1378" s="2410" t="s">
        <v>2448</v>
      </c>
      <c r="D1378" s="2414" t="s">
        <v>2865</v>
      </c>
    </row>
    <row r="1379" spans="1:4" ht="12.75" customHeight="1">
      <c r="A1379" s="2410" t="str">
        <f t="shared" si="22"/>
        <v>Sitzplatz</v>
      </c>
      <c r="B1379" s="2410" t="s">
        <v>4141</v>
      </c>
      <c r="C1379" s="2410" t="s">
        <v>6202</v>
      </c>
      <c r="D1379" s="2414" t="s">
        <v>2866</v>
      </c>
    </row>
    <row r="1380" spans="1:4" ht="12.75" customHeight="1">
      <c r="A1380" s="2410" t="str">
        <f t="shared" si="22"/>
        <v>Bett</v>
      </c>
      <c r="B1380" s="2410" t="s">
        <v>3790</v>
      </c>
      <c r="C1380" s="2410" t="s">
        <v>6203</v>
      </c>
      <c r="D1380" s="2414" t="s">
        <v>2867</v>
      </c>
    </row>
    <row r="1381" spans="1:4" ht="12.75" customHeight="1">
      <c r="A1381" s="2410" t="str">
        <f t="shared" si="22"/>
        <v>Abwasser, Verdünnungswasser in der Wintergülle</v>
      </c>
      <c r="B1381" s="2410" t="s">
        <v>11543</v>
      </c>
      <c r="C1381" s="2410" t="s">
        <v>11544</v>
      </c>
      <c r="D1381" s="2414" t="s">
        <v>11718</v>
      </c>
    </row>
    <row r="1382" spans="1:4" ht="12.75" customHeight="1">
      <c r="A1382" s="2410" t="str">
        <f t="shared" si="22"/>
        <v>total</v>
      </c>
      <c r="B1382" s="2410" t="s">
        <v>4333</v>
      </c>
      <c r="C1382" s="2410" t="s">
        <v>4802</v>
      </c>
      <c r="D1382" s="2414" t="s">
        <v>8612</v>
      </c>
    </row>
    <row r="1383" spans="1:4" ht="12.75" customHeight="1">
      <c r="A1383" s="2410" t="str">
        <f t="shared" si="22"/>
        <v>Güllenanfall verdünnt</v>
      </c>
      <c r="B1383" s="2410" t="s">
        <v>4976</v>
      </c>
      <c r="C1383" s="2410" t="s">
        <v>3777</v>
      </c>
      <c r="D1383" s="2414" t="s">
        <v>8961</v>
      </c>
    </row>
    <row r="1384" spans="1:4" ht="12.75" customHeight="1">
      <c r="A1384" s="2410" t="str">
        <f t="shared" si="22"/>
        <v>Gesamtanfall im Winter verdünnt</v>
      </c>
      <c r="B1384" s="2410" t="s">
        <v>4977</v>
      </c>
      <c r="C1384" s="2410" t="s">
        <v>3778</v>
      </c>
      <c r="D1384" s="2414" t="s">
        <v>8962</v>
      </c>
    </row>
    <row r="1385" spans="1:4" ht="12.75" customHeight="1">
      <c r="A1385" s="2410" t="str">
        <f t="shared" si="22"/>
        <v xml:space="preserve">Güllelagerraum bestehend </v>
      </c>
      <c r="B1385" s="2410" t="s">
        <v>4978</v>
      </c>
      <c r="C1385" s="2410" t="s">
        <v>3779</v>
      </c>
      <c r="D1385" s="2414" t="s">
        <v>8963</v>
      </c>
    </row>
    <row r="1386" spans="1:4" ht="24" customHeight="1">
      <c r="A1386" s="2410" t="str">
        <f t="shared" si="22"/>
        <v>1) Bezieht sich auf eine mittlere Jahresmilchleistung von 7500 kg.</v>
      </c>
      <c r="B1386" s="2410" t="s">
        <v>346</v>
      </c>
      <c r="C1386" s="2410" t="s">
        <v>301</v>
      </c>
      <c r="D1386" s="2780" t="s">
        <v>11890</v>
      </c>
    </row>
    <row r="1387" spans="1:4" ht="12.75" customHeight="1">
      <c r="A1387" s="2410" t="str">
        <f t="shared" si="22"/>
        <v xml:space="preserve">    Je 1000 kg Mehr- oder Minderleistung wird mit 5 % höheren oder tieferen Werten gerechnet.</v>
      </c>
      <c r="B1387" s="2410" t="s">
        <v>347</v>
      </c>
      <c r="C1387" s="2641" t="s">
        <v>11805</v>
      </c>
      <c r="D1387" s="2642" t="s">
        <v>11804</v>
      </c>
    </row>
    <row r="1388" spans="1:4" ht="12.75" customHeight="1">
      <c r="A1388" s="2410" t="str">
        <f t="shared" si="22"/>
        <v>2) Melkeinheiten</v>
      </c>
      <c r="B1388" s="2410" t="s">
        <v>1750</v>
      </c>
      <c r="C1388" s="2410" t="s">
        <v>1751</v>
      </c>
      <c r="D1388" s="2414" t="s">
        <v>8964</v>
      </c>
    </row>
    <row r="1389" spans="1:4" ht="24" customHeight="1">
      <c r="A1389" s="2410" t="str">
        <f t="shared" si="22"/>
        <v>3) Die hinterlegte Norm gilt für ganzjährigen Betrieb. Saisonalem Betrieb kann durch Wahl der Auslastung Rechnung getragen werden.</v>
      </c>
      <c r="B1389" s="2410" t="s">
        <v>1801</v>
      </c>
      <c r="C1389" s="2410" t="s">
        <v>502</v>
      </c>
      <c r="D1389" s="2414" t="s">
        <v>8965</v>
      </c>
    </row>
    <row r="1390" spans="1:4" ht="24" customHeight="1">
      <c r="A1390" s="2410" t="str">
        <f t="shared" si="22"/>
        <v>4) Die hinterlegte Norm gilt bei 100 % Belegung. Geringeren Belegungen kann durch Wahl der Auslastung Rechnung getragen werden.</v>
      </c>
      <c r="B1390" s="2641" t="s">
        <v>11801</v>
      </c>
      <c r="C1390" s="2641" t="s">
        <v>11802</v>
      </c>
      <c r="D1390" s="2642" t="s">
        <v>11803</v>
      </c>
    </row>
    <row r="1391" spans="1:4" ht="12.75" customHeight="1">
      <c r="A1391" s="2410">
        <f t="shared" si="22"/>
        <v>0</v>
      </c>
      <c r="B1391" s="2410"/>
      <c r="C1391" s="2410"/>
      <c r="D1391" s="2414"/>
    </row>
    <row r="1392" spans="1:4" ht="12.75" customHeight="1">
      <c r="A1392" s="2410" t="str">
        <f t="shared" ref="A1392:A1456" si="23">IF($A$2=1,B1392,IF($A$2=2,C1392,IF($A$2=3,IF(D1392="",C1392,D1392),"")))</f>
        <v xml:space="preserve">Blatt "Hofdüngeranfall" einblenden, - nur Lagervolumenberechnung </v>
      </c>
      <c r="B1392" s="2410" t="s">
        <v>11719</v>
      </c>
      <c r="C1392" s="2410" t="s">
        <v>6037</v>
      </c>
      <c r="D1392" s="2414" t="s">
        <v>8966</v>
      </c>
    </row>
    <row r="1393" spans="1:4" ht="12.75" customHeight="1">
      <c r="A1393" s="2410" t="str">
        <f t="shared" si="23"/>
        <v>Sommermonate:</v>
      </c>
      <c r="B1393" s="2410" t="s">
        <v>5562</v>
      </c>
      <c r="C1393" s="2410" t="s">
        <v>3944</v>
      </c>
      <c r="D1393" s="2414" t="s">
        <v>8967</v>
      </c>
    </row>
    <row r="1394" spans="1:4" ht="12.75" customHeight="1">
      <c r="A1394" s="2410" t="str">
        <f t="shared" si="23"/>
        <v>Wintermonate:</v>
      </c>
      <c r="B1394" s="2410" t="s">
        <v>5563</v>
      </c>
      <c r="C1394" s="2410" t="s">
        <v>5357</v>
      </c>
      <c r="D1394" s="2414" t="s">
        <v>8968</v>
      </c>
    </row>
    <row r="1395" spans="1:4" ht="12.75" customHeight="1">
      <c r="A1395" s="2410" t="str">
        <f t="shared" si="23"/>
        <v>Berechnungsperiode:</v>
      </c>
      <c r="B1395" s="2410" t="s">
        <v>4516</v>
      </c>
      <c r="C1395" s="2410" t="s">
        <v>3108</v>
      </c>
      <c r="D1395" s="2414" t="s">
        <v>5824</v>
      </c>
    </row>
    <row r="1396" spans="1:4" ht="12.75" customHeight="1">
      <c r="A1396" s="2410" t="str">
        <f t="shared" si="23"/>
        <v>Tierart, Tierplatzkategorie</v>
      </c>
      <c r="B1396" s="2410" t="s">
        <v>5892</v>
      </c>
      <c r="C1396" s="2410" t="s">
        <v>11545</v>
      </c>
      <c r="D1396" s="2414" t="s">
        <v>11720</v>
      </c>
    </row>
    <row r="1397" spans="1:4" ht="12.75" customHeight="1">
      <c r="A1397" s="2410" t="str">
        <f t="shared" si="23"/>
        <v>Ø Milch-</v>
      </c>
      <c r="B1397" s="2410" t="s">
        <v>1291</v>
      </c>
      <c r="C1397" s="2410" t="s">
        <v>4319</v>
      </c>
      <c r="D1397" s="2424" t="s">
        <v>606</v>
      </c>
    </row>
    <row r="1398" spans="1:4" ht="12.75" customHeight="1">
      <c r="A1398" s="2410" t="str">
        <f t="shared" si="23"/>
        <v>leistung</v>
      </c>
      <c r="B1398" s="2410" t="s">
        <v>1294</v>
      </c>
      <c r="C1398" s="2410" t="s">
        <v>4320</v>
      </c>
      <c r="D1398" s="2424" t="s">
        <v>8969</v>
      </c>
    </row>
    <row r="1399" spans="1:4" ht="12.75" customHeight="1">
      <c r="A1399" s="2410" t="str">
        <f t="shared" si="23"/>
        <v>Ein-</v>
      </c>
      <c r="B1399" s="2410" t="s">
        <v>6983</v>
      </c>
      <c r="C1399" s="2410" t="s">
        <v>6215</v>
      </c>
      <c r="D1399" s="2424" t="s">
        <v>1418</v>
      </c>
    </row>
    <row r="1400" spans="1:4" ht="12.75" customHeight="1">
      <c r="A1400" s="2410" t="str">
        <f t="shared" si="23"/>
        <v>heit</v>
      </c>
      <c r="B1400" s="2410" t="s">
        <v>5086</v>
      </c>
      <c r="C1400" s="2410"/>
      <c r="D1400" s="2424"/>
    </row>
    <row r="1401" spans="1:4" ht="12.75" customHeight="1">
      <c r="A1401" s="2410" t="str">
        <f t="shared" si="23"/>
        <v>GVE-</v>
      </c>
      <c r="B1401" s="2410" t="s">
        <v>6985</v>
      </c>
      <c r="C1401" s="2410" t="s">
        <v>3184</v>
      </c>
      <c r="D1401" s="2414" t="s">
        <v>3775</v>
      </c>
    </row>
    <row r="1402" spans="1:4" ht="12.75" customHeight="1">
      <c r="A1402" s="2410" t="str">
        <f t="shared" si="23"/>
        <v>Faktor</v>
      </c>
      <c r="B1402" s="2410" t="s">
        <v>1339</v>
      </c>
      <c r="C1402" s="2410" t="s">
        <v>3981</v>
      </c>
      <c r="D1402" s="2424" t="s">
        <v>199</v>
      </c>
    </row>
    <row r="1403" spans="1:4" ht="12.75" customHeight="1">
      <c r="A1403" s="2410" t="str">
        <f t="shared" si="23"/>
        <v>Öko-</v>
      </c>
      <c r="B1403" s="2410" t="s">
        <v>1533</v>
      </c>
      <c r="C1403" s="2410" t="s">
        <v>3109</v>
      </c>
      <c r="D1403" s="2424" t="s">
        <v>8970</v>
      </c>
    </row>
    <row r="1404" spans="1:4" ht="12.75" customHeight="1">
      <c r="A1404" s="2410" t="str">
        <f t="shared" si="23"/>
        <v>futter</v>
      </c>
      <c r="B1404" s="2410" t="s">
        <v>5009</v>
      </c>
      <c r="C1404" s="2410" t="s">
        <v>3110</v>
      </c>
      <c r="D1404" s="2424" t="s">
        <v>8971</v>
      </c>
    </row>
    <row r="1405" spans="1:4" ht="12.75" customHeight="1">
      <c r="A1405" s="2410" t="str">
        <f t="shared" si="23"/>
        <v>Korr.</v>
      </c>
      <c r="B1405" s="2410" t="s">
        <v>1292</v>
      </c>
      <c r="C1405" s="2410" t="s">
        <v>6912</v>
      </c>
      <c r="D1405" s="2424" t="s">
        <v>6912</v>
      </c>
    </row>
    <row r="1406" spans="1:4" ht="12.75" customHeight="1">
      <c r="A1406" s="2410" t="str">
        <f t="shared" si="23"/>
        <v>Index</v>
      </c>
      <c r="B1406" s="2410" t="s">
        <v>862</v>
      </c>
      <c r="C1406" s="2410" t="s">
        <v>862</v>
      </c>
      <c r="D1406" s="2424" t="s">
        <v>635</v>
      </c>
    </row>
    <row r="1407" spans="1:4" ht="12.75" customHeight="1">
      <c r="A1407" s="2410" t="str">
        <f t="shared" si="23"/>
        <v>Tier-</v>
      </c>
      <c r="B1407" s="2410" t="s">
        <v>1534</v>
      </c>
      <c r="C1407" s="2410" t="s">
        <v>7380</v>
      </c>
      <c r="D1407" s="2424" t="s">
        <v>8972</v>
      </c>
    </row>
    <row r="1408" spans="1:4" ht="12.75" customHeight="1">
      <c r="A1408" s="2410" t="str">
        <f t="shared" si="23"/>
        <v>art-</v>
      </c>
      <c r="B1408" s="2410" t="s">
        <v>6809</v>
      </c>
      <c r="C1408" s="2410" t="s">
        <v>3111</v>
      </c>
      <c r="D1408" s="2424" t="s">
        <v>8973</v>
      </c>
    </row>
    <row r="1409" spans="1:4" ht="12.75" customHeight="1">
      <c r="A1409" s="2410" t="str">
        <f t="shared" si="23"/>
        <v>Index</v>
      </c>
      <c r="B1409" s="2410" t="s">
        <v>862</v>
      </c>
      <c r="C1409" s="2410" t="s">
        <v>862</v>
      </c>
      <c r="D1409" s="2424" t="s">
        <v>635</v>
      </c>
    </row>
    <row r="1410" spans="1:4" ht="12.75" customHeight="1">
      <c r="A1410" s="2410" t="str">
        <f t="shared" si="23"/>
        <v>Anzahl</v>
      </c>
      <c r="B1410" s="2410" t="s">
        <v>7044</v>
      </c>
      <c r="C1410" s="2410" t="s">
        <v>3163</v>
      </c>
      <c r="D1410" s="2424" t="s">
        <v>3773</v>
      </c>
    </row>
    <row r="1411" spans="1:4" ht="12.75" customHeight="1">
      <c r="A1411" s="2410" t="str">
        <f t="shared" si="23"/>
        <v>Ein-</v>
      </c>
      <c r="B1411" s="2410" t="s">
        <v>6983</v>
      </c>
      <c r="C1411" s="2410" t="s">
        <v>4068</v>
      </c>
      <c r="D1411" s="2424" t="s">
        <v>1418</v>
      </c>
    </row>
    <row r="1412" spans="1:4" ht="12.75" customHeight="1">
      <c r="A1412" s="2410" t="str">
        <f t="shared" si="23"/>
        <v>heiten</v>
      </c>
      <c r="B1412" s="2410" t="s">
        <v>4334</v>
      </c>
      <c r="C1412" s="2410" t="s">
        <v>4069</v>
      </c>
      <c r="D1412" s="2424" t="s">
        <v>1610</v>
      </c>
    </row>
    <row r="1413" spans="1:4" ht="12.75" customHeight="1">
      <c r="A1413" s="2410" t="str">
        <f t="shared" si="23"/>
        <v>total</v>
      </c>
      <c r="B1413" s="2410" t="s">
        <v>4333</v>
      </c>
      <c r="C1413" s="2410" t="s">
        <v>4333</v>
      </c>
      <c r="D1413" s="2424" t="s">
        <v>6340</v>
      </c>
    </row>
    <row r="1414" spans="1:4" ht="12.75" customHeight="1">
      <c r="A1414" s="2410" t="str">
        <f t="shared" si="23"/>
        <v>Anzahl</v>
      </c>
      <c r="B1414" s="2410" t="s">
        <v>7044</v>
      </c>
      <c r="C1414" s="2410" t="s">
        <v>5260</v>
      </c>
      <c r="D1414" s="2424" t="s">
        <v>3773</v>
      </c>
    </row>
    <row r="1415" spans="1:4" ht="12.75" customHeight="1">
      <c r="A1415" s="2410" t="str">
        <f t="shared" si="23"/>
        <v>Ein-</v>
      </c>
      <c r="B1415" s="2410" t="s">
        <v>6983</v>
      </c>
      <c r="C1415" s="2410" t="s">
        <v>6215</v>
      </c>
      <c r="D1415" s="2424" t="s">
        <v>1418</v>
      </c>
    </row>
    <row r="1416" spans="1:4" ht="12.75" customHeight="1">
      <c r="A1416" s="2410" t="str">
        <f t="shared" si="23"/>
        <v>heiten</v>
      </c>
      <c r="B1416" s="2410" t="s">
        <v>4334</v>
      </c>
      <c r="C1416" s="2410"/>
      <c r="D1416" s="2424"/>
    </row>
    <row r="1417" spans="1:4" ht="12.75" customHeight="1">
      <c r="A1417" s="2410" t="str">
        <f t="shared" si="23"/>
        <v>Schwemmentmistung</v>
      </c>
      <c r="B1417" s="2410" t="s">
        <v>6810</v>
      </c>
      <c r="C1417" s="2410" t="s">
        <v>3134</v>
      </c>
      <c r="D1417" s="2424" t="s">
        <v>8974</v>
      </c>
    </row>
    <row r="1418" spans="1:4" ht="12.75" customHeight="1">
      <c r="A1418" s="2410" t="str">
        <f t="shared" si="23"/>
        <v>Anfall / Mt.</v>
      </c>
      <c r="B1418" s="2410" t="s">
        <v>385</v>
      </c>
      <c r="C1418" s="2410" t="s">
        <v>11721</v>
      </c>
      <c r="D1418" s="2424" t="s">
        <v>11722</v>
      </c>
    </row>
    <row r="1419" spans="1:4" ht="12.75" customHeight="1">
      <c r="A1419" s="2410" t="str">
        <f t="shared" si="23"/>
        <v>Typ No</v>
      </c>
      <c r="B1419" s="2410" t="s">
        <v>386</v>
      </c>
      <c r="C1419" s="2410" t="s">
        <v>386</v>
      </c>
      <c r="D1419" s="2424" t="s">
        <v>8975</v>
      </c>
    </row>
    <row r="1420" spans="1:4" ht="12.75" customHeight="1">
      <c r="A1420" s="2410" t="str">
        <f t="shared" si="23"/>
        <v>Stroh</v>
      </c>
      <c r="B1420" s="2410" t="s">
        <v>2835</v>
      </c>
      <c r="C1420" s="2410" t="s">
        <v>4318</v>
      </c>
      <c r="D1420" s="2424" t="s">
        <v>3361</v>
      </c>
    </row>
    <row r="1421" spans="1:4" ht="12.75" customHeight="1">
      <c r="A1421" s="2410" t="str">
        <f t="shared" si="23"/>
        <v>Mist</v>
      </c>
      <c r="B1421" s="2410" t="s">
        <v>4154</v>
      </c>
      <c r="C1421" s="2410" t="s">
        <v>193</v>
      </c>
      <c r="D1421" s="2424" t="s">
        <v>8976</v>
      </c>
    </row>
    <row r="1422" spans="1:4" ht="12.75" customHeight="1">
      <c r="A1422" s="2410" t="str">
        <f t="shared" si="23"/>
        <v>Gülle</v>
      </c>
      <c r="B1422" s="2410" t="s">
        <v>4155</v>
      </c>
      <c r="C1422" s="2410" t="s">
        <v>194</v>
      </c>
      <c r="D1422" s="2424" t="s">
        <v>8977</v>
      </c>
    </row>
    <row r="1423" spans="1:4" ht="12.75" customHeight="1">
      <c r="A1423" s="2410" t="str">
        <f t="shared" si="23"/>
        <v>Art der Aufstallung</v>
      </c>
      <c r="B1423" s="2410" t="s">
        <v>6089</v>
      </c>
      <c r="C1423" s="2410" t="s">
        <v>4063</v>
      </c>
      <c r="D1423" s="2424" t="s">
        <v>8926</v>
      </c>
    </row>
    <row r="1424" spans="1:4" ht="12.75" customHeight="1">
      <c r="A1424" s="2410" t="str">
        <f t="shared" si="23"/>
        <v>Aufstallungssystem 1</v>
      </c>
      <c r="B1424" s="2410" t="s">
        <v>2399</v>
      </c>
      <c r="C1424" s="2410" t="s">
        <v>49</v>
      </c>
      <c r="D1424" s="2424" t="s">
        <v>8978</v>
      </c>
    </row>
    <row r="1425" spans="1:4" ht="12.75" customHeight="1">
      <c r="A1425" s="2410" t="str">
        <f t="shared" si="23"/>
        <v>Anzahl Tage während</v>
      </c>
      <c r="B1425" s="2410" t="s">
        <v>1535</v>
      </c>
      <c r="C1425" s="2410" t="s">
        <v>50</v>
      </c>
      <c r="D1425" s="2424" t="s">
        <v>8979</v>
      </c>
    </row>
    <row r="1426" spans="1:4" ht="12.75" customHeight="1">
      <c r="A1426" s="2410" t="str">
        <f t="shared" si="23"/>
        <v>Berechnungsperiode</v>
      </c>
      <c r="B1426" s="2410" t="s">
        <v>6811</v>
      </c>
      <c r="C1426" s="2410" t="s">
        <v>51</v>
      </c>
      <c r="D1426" s="2424" t="s">
        <v>5824</v>
      </c>
    </row>
    <row r="1427" spans="1:4" ht="12.75" customHeight="1">
      <c r="A1427" s="2410" t="str">
        <f t="shared" si="23"/>
        <v>Zuschlag, Abzug</v>
      </c>
      <c r="B1427" s="2410" t="s">
        <v>11723</v>
      </c>
      <c r="C1427" s="2410" t="s">
        <v>11724</v>
      </c>
      <c r="D1427" s="2424" t="s">
        <v>11725</v>
      </c>
    </row>
    <row r="1428" spans="1:4" ht="12.75" customHeight="1">
      <c r="A1428" s="2410" t="str">
        <f t="shared" si="23"/>
        <v>± Einh.</v>
      </c>
      <c r="B1428" s="2410" t="s">
        <v>1296</v>
      </c>
      <c r="C1428" s="2410" t="s">
        <v>222</v>
      </c>
      <c r="D1428" s="2424" t="s">
        <v>8563</v>
      </c>
    </row>
    <row r="1429" spans="1:4" ht="12.75" customHeight="1">
      <c r="A1429" s="2410" t="str">
        <f t="shared" si="23"/>
        <v>Tage</v>
      </c>
      <c r="B1429" s="2410" t="s">
        <v>6497</v>
      </c>
      <c r="C1429" s="2410" t="s">
        <v>223</v>
      </c>
      <c r="D1429" s="2424" t="s">
        <v>8564</v>
      </c>
    </row>
    <row r="1430" spans="1:4" ht="12.75" customHeight="1">
      <c r="A1430" s="2410" t="str">
        <f t="shared" si="23"/>
        <v>Tiere/Periode</v>
      </c>
      <c r="B1430" s="2410" t="s">
        <v>141</v>
      </c>
      <c r="C1430" s="2410" t="s">
        <v>52</v>
      </c>
      <c r="D1430" s="2424" t="s">
        <v>8980</v>
      </c>
    </row>
    <row r="1431" spans="1:4" ht="12.75" customHeight="1">
      <c r="A1431" s="2410" t="str">
        <f t="shared" si="23"/>
        <v>Laufhofabzug</v>
      </c>
      <c r="B1431" s="2410" t="s">
        <v>1242</v>
      </c>
      <c r="C1431" s="2410" t="s">
        <v>1243</v>
      </c>
      <c r="D1431" s="2424" t="s">
        <v>11175</v>
      </c>
    </row>
    <row r="1432" spans="1:4" ht="12.75" customHeight="1">
      <c r="A1432" s="2410" t="str">
        <f t="shared" si="23"/>
        <v>Einh.</v>
      </c>
      <c r="B1432" s="2410" t="s">
        <v>507</v>
      </c>
      <c r="C1432" s="2410" t="s">
        <v>6215</v>
      </c>
      <c r="D1432" s="2424" t="s">
        <v>1610</v>
      </c>
    </row>
    <row r="1433" spans="1:4" ht="12.75" customHeight="1">
      <c r="A1433" s="2410" t="str">
        <f t="shared" si="23"/>
        <v>Tage</v>
      </c>
      <c r="B1433" s="2410" t="s">
        <v>6497</v>
      </c>
      <c r="C1433" s="2410" t="s">
        <v>223</v>
      </c>
      <c r="D1433" s="2424" t="s">
        <v>8564</v>
      </c>
    </row>
    <row r="1434" spans="1:4" ht="12.75" customHeight="1">
      <c r="A1434" s="2410" t="str">
        <f t="shared" si="23"/>
        <v>Tiere/Periode</v>
      </c>
      <c r="B1434" s="2410" t="s">
        <v>141</v>
      </c>
      <c r="C1434" s="2410" t="s">
        <v>52</v>
      </c>
      <c r="D1434" s="2424" t="s">
        <v>8980</v>
      </c>
    </row>
    <row r="1435" spans="1:4" ht="12.75" customHeight="1">
      <c r="A1435" s="2410" t="str">
        <f t="shared" si="23"/>
        <v>Weideabzug</v>
      </c>
      <c r="B1435" s="2410" t="s">
        <v>1293</v>
      </c>
      <c r="C1435" s="2410" t="s">
        <v>53</v>
      </c>
      <c r="D1435" s="2424" t="s">
        <v>8981</v>
      </c>
    </row>
    <row r="1436" spans="1:4" ht="12.75" customHeight="1">
      <c r="A1436" s="2410" t="str">
        <f t="shared" si="23"/>
        <v>Einh.</v>
      </c>
      <c r="B1436" s="2410" t="s">
        <v>507</v>
      </c>
      <c r="C1436" s="2410" t="s">
        <v>6215</v>
      </c>
      <c r="D1436" s="2424" t="s">
        <v>1610</v>
      </c>
    </row>
    <row r="1437" spans="1:4" ht="12.75" customHeight="1">
      <c r="A1437" s="2410" t="str">
        <f t="shared" si="23"/>
        <v>Tage</v>
      </c>
      <c r="B1437" s="2410" t="s">
        <v>6497</v>
      </c>
      <c r="C1437" s="2410" t="s">
        <v>223</v>
      </c>
      <c r="D1437" s="2424" t="s">
        <v>8564</v>
      </c>
    </row>
    <row r="1438" spans="1:4" ht="12.75" customHeight="1">
      <c r="A1438" s="2410" t="str">
        <f t="shared" si="23"/>
        <v>Std</v>
      </c>
      <c r="B1438" s="2410" t="s">
        <v>142</v>
      </c>
      <c r="C1438" s="2410" t="s">
        <v>3135</v>
      </c>
      <c r="D1438" s="2424" t="s">
        <v>8982</v>
      </c>
    </row>
    <row r="1439" spans="1:4" ht="12.75" customHeight="1">
      <c r="A1439" s="2410" t="str">
        <f t="shared" si="23"/>
        <v>Tiere/Periode</v>
      </c>
      <c r="B1439" s="2410" t="s">
        <v>141</v>
      </c>
      <c r="C1439" s="2410" t="s">
        <v>52</v>
      </c>
      <c r="D1439" s="2424" t="s">
        <v>8980</v>
      </c>
    </row>
    <row r="1440" spans="1:4" ht="12.75" customHeight="1">
      <c r="A1440" s="2410" t="str">
        <f t="shared" si="23"/>
        <v>Sch-</v>
      </c>
      <c r="B1440" s="2410" t="s">
        <v>2897</v>
      </c>
      <c r="C1440" s="2410" t="s">
        <v>5785</v>
      </c>
      <c r="D1440" s="2424" t="s">
        <v>8983</v>
      </c>
    </row>
    <row r="1441" spans="1:4" ht="12.75" customHeight="1">
      <c r="A1441" s="2410" t="str">
        <f t="shared" si="23"/>
        <v>weine</v>
      </c>
      <c r="B1441" s="2410" t="s">
        <v>6812</v>
      </c>
      <c r="C1441" s="2410" t="s">
        <v>5786</v>
      </c>
      <c r="D1441" s="2424" t="s">
        <v>8984</v>
      </c>
    </row>
    <row r="1442" spans="1:4" ht="12.75" customHeight="1">
      <c r="A1442" s="2410" t="str">
        <f t="shared" si="23"/>
        <v>Gülle</v>
      </c>
      <c r="B1442" s="2410" t="s">
        <v>4155</v>
      </c>
      <c r="C1442" s="2410" t="s">
        <v>5787</v>
      </c>
      <c r="D1442" s="2424" t="s">
        <v>8985</v>
      </c>
    </row>
    <row r="1443" spans="1:4" ht="12.75" customHeight="1">
      <c r="A1443" s="2410" t="str">
        <f t="shared" si="23"/>
        <v>Gülle-</v>
      </c>
      <c r="B1443" s="2410" t="s">
        <v>2898</v>
      </c>
      <c r="C1443" s="2410" t="s">
        <v>7282</v>
      </c>
      <c r="D1443" s="2424" t="s">
        <v>8986</v>
      </c>
    </row>
    <row r="1444" spans="1:4" ht="12.75" customHeight="1">
      <c r="A1444" s="2410" t="str">
        <f t="shared" si="23"/>
        <v>grube</v>
      </c>
      <c r="B1444" s="2410" t="s">
        <v>6813</v>
      </c>
      <c r="C1444" s="2410" t="s">
        <v>3136</v>
      </c>
      <c r="D1444" s="2424" t="s">
        <v>8987</v>
      </c>
    </row>
    <row r="1445" spans="1:4" ht="12.75" customHeight="1">
      <c r="A1445" s="2410" t="str">
        <f t="shared" si="23"/>
        <v>Nr.</v>
      </c>
      <c r="B1445" s="2410" t="s">
        <v>4259</v>
      </c>
      <c r="C1445" s="2410" t="s">
        <v>54</v>
      </c>
      <c r="D1445" s="2424" t="s">
        <v>3773</v>
      </c>
    </row>
    <row r="1446" spans="1:4" ht="12.75" customHeight="1">
      <c r="A1446" s="2410" t="str">
        <f t="shared" si="23"/>
        <v>Mist-</v>
      </c>
      <c r="B1446" s="2410" t="s">
        <v>2899</v>
      </c>
      <c r="C1446" s="2410" t="s">
        <v>5788</v>
      </c>
      <c r="D1446" s="2424" t="s">
        <v>8988</v>
      </c>
    </row>
    <row r="1447" spans="1:4" ht="12.75" customHeight="1">
      <c r="A1447" s="2410" t="str">
        <f t="shared" si="23"/>
        <v>platz</v>
      </c>
      <c r="B1447" s="2410" t="s">
        <v>6578</v>
      </c>
      <c r="C1447" s="2410" t="s">
        <v>5037</v>
      </c>
      <c r="D1447" s="2424" t="s">
        <v>8989</v>
      </c>
    </row>
    <row r="1448" spans="1:4" ht="12.75" customHeight="1">
      <c r="A1448" s="2410" t="str">
        <f t="shared" si="23"/>
        <v>Nr.</v>
      </c>
      <c r="B1448" s="2410" t="s">
        <v>4259</v>
      </c>
      <c r="C1448" s="2410" t="s">
        <v>54</v>
      </c>
      <c r="D1448" s="2424" t="s">
        <v>3773</v>
      </c>
    </row>
    <row r="1449" spans="1:4" ht="12.75" customHeight="1">
      <c r="A1449" s="2410" t="str">
        <f t="shared" si="23"/>
        <v>Aufstallungssystem 2</v>
      </c>
      <c r="B1449" s="2410" t="s">
        <v>5891</v>
      </c>
      <c r="C1449" s="2410" t="s">
        <v>3887</v>
      </c>
      <c r="D1449" s="2424" t="s">
        <v>8990</v>
      </c>
    </row>
    <row r="1450" spans="1:4" ht="12.75" customHeight="1">
      <c r="A1450" s="2410" t="str">
        <f t="shared" si="23"/>
        <v>Stück</v>
      </c>
      <c r="B1450" s="2410" t="s">
        <v>4322</v>
      </c>
      <c r="C1450" s="2410" t="s">
        <v>5258</v>
      </c>
      <c r="D1450" s="2424" t="s">
        <v>8569</v>
      </c>
    </row>
    <row r="1451" spans="1:4" ht="12.75" customHeight="1">
      <c r="A1451" s="2410" t="str">
        <f t="shared" si="23"/>
        <v>Platz</v>
      </c>
      <c r="B1451" s="2410" t="s">
        <v>5735</v>
      </c>
      <c r="C1451" s="2410" t="s">
        <v>5259</v>
      </c>
      <c r="D1451" s="2424" t="s">
        <v>8570</v>
      </c>
    </row>
    <row r="1452" spans="1:4" ht="12.75" customHeight="1">
      <c r="A1452" s="2410" t="str">
        <f t="shared" si="23"/>
        <v>Anzahl</v>
      </c>
      <c r="B1452" s="2410" t="s">
        <v>7044</v>
      </c>
      <c r="C1452" s="2410" t="s">
        <v>5260</v>
      </c>
      <c r="D1452" s="2424" t="s">
        <v>3773</v>
      </c>
    </row>
    <row r="1453" spans="1:4" ht="12.75" customHeight="1">
      <c r="A1453" s="2410" t="str">
        <f t="shared" si="23"/>
        <v>Einheit</v>
      </c>
      <c r="B1453" s="2410" t="s">
        <v>6392</v>
      </c>
      <c r="C1453" s="2410" t="s">
        <v>6215</v>
      </c>
      <c r="D1453" s="2424" t="s">
        <v>1418</v>
      </c>
    </row>
    <row r="1454" spans="1:4" ht="12.75" customHeight="1">
      <c r="A1454" s="2410" t="str">
        <f t="shared" si="23"/>
        <v>100 Pl</v>
      </c>
      <c r="B1454" s="2410" t="s">
        <v>4914</v>
      </c>
      <c r="C1454" s="2410" t="s">
        <v>5537</v>
      </c>
      <c r="D1454" s="2424" t="s">
        <v>8571</v>
      </c>
    </row>
    <row r="1455" spans="1:4" ht="12.75" customHeight="1">
      <c r="A1455" s="2410" t="str">
        <f t="shared" si="23"/>
        <v>MSP</v>
      </c>
      <c r="B1455" s="2410" t="s">
        <v>6330</v>
      </c>
      <c r="C1455" s="2410" t="s">
        <v>3416</v>
      </c>
      <c r="D1455" s="2414" t="s">
        <v>1787</v>
      </c>
    </row>
    <row r="1456" spans="1:4" ht="12.75" customHeight="1">
      <c r="A1456" s="2410" t="str">
        <f t="shared" si="23"/>
        <v>LHP/MPP</v>
      </c>
      <c r="B1456" s="2410" t="s">
        <v>2198</v>
      </c>
      <c r="C1456" s="2410" t="s">
        <v>6919</v>
      </c>
      <c r="D1456" s="2414" t="s">
        <v>8257</v>
      </c>
    </row>
    <row r="1457" spans="1:4" ht="12.75" customHeight="1">
      <c r="A1457" s="2410" t="str">
        <f t="shared" ref="A1457:A1468" si="24">IF($A$2=1,B1457,IF($A$2=2,C1457,IF($A$2=3,IF(D1457="",C1457,D1457),"")))</f>
        <v>Rindvieh</v>
      </c>
      <c r="B1457" s="2410" t="s">
        <v>2588</v>
      </c>
      <c r="C1457" s="2410" t="s">
        <v>712</v>
      </c>
      <c r="D1457" s="2414" t="s">
        <v>2218</v>
      </c>
    </row>
    <row r="1458" spans="1:4" ht="12.75" customHeight="1">
      <c r="A1458" s="2410" t="str">
        <f t="shared" si="24"/>
        <v>Milchkühe</v>
      </c>
      <c r="B1458" s="2410" t="s">
        <v>2350</v>
      </c>
      <c r="C1458" s="2410" t="s">
        <v>709</v>
      </c>
      <c r="D1458" s="2414" t="s">
        <v>8572</v>
      </c>
    </row>
    <row r="1459" spans="1:4" ht="12.75" customHeight="1">
      <c r="A1459" s="2410" t="str">
        <f t="shared" si="24"/>
        <v>Jungvieh, 0 bis 1-jährig</v>
      </c>
      <c r="B1459" s="2410" t="s">
        <v>2119</v>
      </c>
      <c r="C1459" s="2410" t="s">
        <v>4790</v>
      </c>
      <c r="D1459" s="2414" t="s">
        <v>8991</v>
      </c>
    </row>
    <row r="1460" spans="1:4" ht="12.75" customHeight="1">
      <c r="A1460" s="2410" t="str">
        <f t="shared" si="24"/>
        <v>Jungvieh, 1 bis 2-jährig</v>
      </c>
      <c r="B1460" s="2410" t="s">
        <v>198</v>
      </c>
      <c r="C1460" s="2410" t="s">
        <v>4791</v>
      </c>
      <c r="D1460" s="2414" t="s">
        <v>8992</v>
      </c>
    </row>
    <row r="1461" spans="1:4" ht="12.75" customHeight="1">
      <c r="A1461" s="2410" t="str">
        <f t="shared" si="24"/>
        <v>Jungvieh, über 2-jährig</v>
      </c>
      <c r="B1461" s="2410" t="s">
        <v>7744</v>
      </c>
      <c r="C1461" s="2410" t="s">
        <v>7745</v>
      </c>
      <c r="D1461" s="2414" t="s">
        <v>8993</v>
      </c>
    </row>
    <row r="1462" spans="1:4" ht="12.75" customHeight="1">
      <c r="A1462" s="2410" t="str">
        <f t="shared" si="24"/>
        <v>Stiere, 1 bis 2-jährig</v>
      </c>
      <c r="B1462" s="2410" t="s">
        <v>2770</v>
      </c>
      <c r="C1462" s="2410" t="s">
        <v>6217</v>
      </c>
      <c r="D1462" s="2414" t="s">
        <v>8994</v>
      </c>
    </row>
    <row r="1463" spans="1:4" ht="12.75" customHeight="1">
      <c r="A1463" s="2410" t="str">
        <f t="shared" si="24"/>
        <v>Stiere, über 2-jährig</v>
      </c>
      <c r="B1463" s="2410" t="s">
        <v>2771</v>
      </c>
      <c r="C1463" s="2410" t="s">
        <v>8169</v>
      </c>
      <c r="D1463" s="2414" t="s">
        <v>8995</v>
      </c>
    </row>
    <row r="1464" spans="1:4" ht="12.75" customHeight="1">
      <c r="A1464" s="2410" t="str">
        <f t="shared" si="24"/>
        <v xml:space="preserve">Mutterkühe </v>
      </c>
      <c r="B1464" s="2410" t="s">
        <v>5903</v>
      </c>
      <c r="C1464" s="2410" t="s">
        <v>5904</v>
      </c>
      <c r="D1464" s="2414" t="s">
        <v>8996</v>
      </c>
    </row>
    <row r="1465" spans="1:4" ht="12.75" customHeight="1">
      <c r="A1465" s="2410" t="str">
        <f t="shared" si="24"/>
        <v>Mutterkühe schwer</v>
      </c>
      <c r="B1465" s="2410" t="s">
        <v>6170</v>
      </c>
      <c r="C1465" s="2410" t="s">
        <v>4613</v>
      </c>
      <c r="D1465" s="2414" t="s">
        <v>8997</v>
      </c>
    </row>
    <row r="1466" spans="1:4" ht="12.75" customHeight="1">
      <c r="A1466" s="2410" t="str">
        <f t="shared" si="24"/>
        <v>Mutterkühe mittel</v>
      </c>
      <c r="B1466" s="2410" t="s">
        <v>6086</v>
      </c>
      <c r="C1466" s="2410" t="s">
        <v>6087</v>
      </c>
      <c r="D1466" s="2414" t="s">
        <v>8998</v>
      </c>
    </row>
    <row r="1467" spans="1:4" ht="12.75" customHeight="1">
      <c r="A1467" s="2410" t="str">
        <f t="shared" si="24"/>
        <v>Mutterkühe leicht</v>
      </c>
      <c r="B1467" s="2410" t="s">
        <v>6171</v>
      </c>
      <c r="C1467" s="2410" t="s">
        <v>6088</v>
      </c>
      <c r="D1467" s="2414" t="s">
        <v>8999</v>
      </c>
    </row>
    <row r="1468" spans="1:4" ht="12.75" customHeight="1">
      <c r="A1468" s="2410" t="str">
        <f t="shared" si="24"/>
        <v>Mutterkuhkälber, bis 160-tägig</v>
      </c>
      <c r="B1468" s="2410" t="s">
        <v>7739</v>
      </c>
      <c r="C1468" s="2410" t="s">
        <v>8101</v>
      </c>
      <c r="D1468" s="2414" t="s">
        <v>11176</v>
      </c>
    </row>
    <row r="1469" spans="1:4" ht="12.75" customHeight="1">
      <c r="A1469" s="2410" t="str">
        <f t="shared" ref="A1469:A1482" si="25">IF($A$2=1,B1469,IF($A$2=2,C1469,IF($A$2=3,IF(D1469="",C1469,D1469),"")))</f>
        <v>Mutterkuhkälber, über 160 tägig, leicht</v>
      </c>
      <c r="B1469" s="2410" t="s">
        <v>7736</v>
      </c>
      <c r="C1469" s="2410" t="s">
        <v>7715</v>
      </c>
      <c r="D1469" s="2414" t="s">
        <v>11177</v>
      </c>
    </row>
    <row r="1470" spans="1:4" ht="12.75" customHeight="1">
      <c r="A1470" s="2410" t="str">
        <f t="shared" si="25"/>
        <v>Mutterkuhkälber, über 160-tägig, mittel</v>
      </c>
      <c r="B1470" s="2410" t="s">
        <v>7737</v>
      </c>
      <c r="C1470" s="2410" t="s">
        <v>7716</v>
      </c>
      <c r="D1470" s="2414" t="s">
        <v>11178</v>
      </c>
    </row>
    <row r="1471" spans="1:4" ht="12.75" customHeight="1">
      <c r="A1471" s="2410" t="str">
        <f t="shared" si="25"/>
        <v>Mutterkuhkälber, über 160-tägig, schwer</v>
      </c>
      <c r="B1471" s="2410" t="s">
        <v>7738</v>
      </c>
      <c r="C1471" s="2410" t="s">
        <v>7717</v>
      </c>
      <c r="D1471" s="2414" t="s">
        <v>11179</v>
      </c>
    </row>
    <row r="1472" spans="1:4" ht="12.75" customHeight="1">
      <c r="A1472" s="2410" t="str">
        <f t="shared" si="25"/>
        <v>Mutterkühe, Jungvieh, 1 bis 2-jährig</v>
      </c>
      <c r="B1472" s="2410" t="s">
        <v>8140</v>
      </c>
      <c r="C1472" s="2410" t="s">
        <v>11726</v>
      </c>
      <c r="D1472" s="2414" t="s">
        <v>9000</v>
      </c>
    </row>
    <row r="1473" spans="1:4" ht="12.75" customHeight="1">
      <c r="A1473" s="2410" t="str">
        <f t="shared" si="25"/>
        <v>Mutterkühe, Jungvieh, über  2-jährig</v>
      </c>
      <c r="B1473" s="2410" t="s">
        <v>8141</v>
      </c>
      <c r="C1473" s="2410" t="s">
        <v>11727</v>
      </c>
      <c r="D1473" s="2414" t="s">
        <v>9001</v>
      </c>
    </row>
    <row r="1474" spans="1:4" ht="12.75" customHeight="1">
      <c r="A1474" s="2410" t="str">
        <f t="shared" si="25"/>
        <v>Mutterkühe, Stiere, über 2-jährig</v>
      </c>
      <c r="B1474" s="2410" t="s">
        <v>1770</v>
      </c>
      <c r="C1474" s="2410" t="s">
        <v>11728</v>
      </c>
      <c r="D1474" s="2414" t="s">
        <v>9002</v>
      </c>
    </row>
    <row r="1475" spans="1:4" ht="12.75" customHeight="1">
      <c r="A1475" s="2410" t="str">
        <f t="shared" si="25"/>
        <v>Mastkälber, 50-200 kg</v>
      </c>
      <c r="B1475" s="2410" t="s">
        <v>7740</v>
      </c>
      <c r="C1475" s="2410" t="s">
        <v>7742</v>
      </c>
      <c r="D1475" s="2414" t="s">
        <v>9003</v>
      </c>
    </row>
    <row r="1476" spans="1:4" ht="12.75" customHeight="1">
      <c r="A1476" s="2410" t="str">
        <f t="shared" si="25"/>
        <v>Mastkälber, 50-200 kg, pro Jahr</v>
      </c>
      <c r="B1476" s="2410" t="s">
        <v>7741</v>
      </c>
      <c r="C1476" s="2410" t="s">
        <v>7743</v>
      </c>
      <c r="D1476" s="2414" t="s">
        <v>9004</v>
      </c>
    </row>
    <row r="1477" spans="1:4" ht="12.75" customHeight="1">
      <c r="A1477" s="2410" t="str">
        <f t="shared" si="25"/>
        <v>Rindviehmast intensiv &gt; 65 kg, &lt;= 520 kg</v>
      </c>
      <c r="B1477" s="2410" t="s">
        <v>6970</v>
      </c>
      <c r="C1477" s="2410" t="s">
        <v>4378</v>
      </c>
      <c r="D1477" s="2414" t="s">
        <v>11180</v>
      </c>
    </row>
    <row r="1478" spans="1:4" ht="12.75" customHeight="1">
      <c r="A1478" s="2410" t="str">
        <f t="shared" si="25"/>
        <v>Rindviehmast, Tränker &lt;= 4 Monate</v>
      </c>
      <c r="B1478" s="2410" t="s">
        <v>6971</v>
      </c>
      <c r="C1478" s="2410" t="s">
        <v>8171</v>
      </c>
      <c r="D1478" s="2414" t="s">
        <v>9005</v>
      </c>
    </row>
    <row r="1479" spans="1:4" ht="12.75" customHeight="1">
      <c r="A1479" s="2410" t="str">
        <f t="shared" si="25"/>
        <v>Rindviehmast intensiv &gt; 4 Monate</v>
      </c>
      <c r="B1479" s="2410" t="s">
        <v>6972</v>
      </c>
      <c r="C1479" s="2410" t="s">
        <v>6975</v>
      </c>
      <c r="D1479" s="2414" t="s">
        <v>9006</v>
      </c>
    </row>
    <row r="1480" spans="1:4" ht="12.75" customHeight="1">
      <c r="A1480" s="2410" t="str">
        <f t="shared" si="25"/>
        <v>Rindviehmast Weidemast &gt; 4 Monate</v>
      </c>
      <c r="B1480" s="2410" t="s">
        <v>6973</v>
      </c>
      <c r="C1480" s="2410" t="s">
        <v>6974</v>
      </c>
      <c r="D1480" s="2414" t="s">
        <v>9007</v>
      </c>
    </row>
    <row r="1481" spans="1:4" ht="12.75" customHeight="1">
      <c r="A1481" s="2410" t="str">
        <f t="shared" si="25"/>
        <v>Rindviehmast, intensive Ausmast</v>
      </c>
      <c r="B1481" s="2410" t="s">
        <v>2978</v>
      </c>
      <c r="C1481" s="2410" t="s">
        <v>1771</v>
      </c>
      <c r="D1481" s="2414" t="s">
        <v>9008</v>
      </c>
    </row>
    <row r="1482" spans="1:4" ht="12.75" customHeight="1">
      <c r="A1482" s="2410" t="str">
        <f t="shared" si="25"/>
        <v>Tiere der Pferdegattung (Equiden)</v>
      </c>
      <c r="B1482" s="2410" t="s">
        <v>7178</v>
      </c>
      <c r="C1482" s="2410" t="s">
        <v>59</v>
      </c>
      <c r="D1482" s="2414" t="s">
        <v>2219</v>
      </c>
    </row>
    <row r="1483" spans="1:4" ht="12.75" customHeight="1">
      <c r="A1483" s="2410" t="str">
        <f t="shared" ref="A1483:A1488" si="26">IF($A$2=1,B1483,IF($A$2=2,C1483,IF($A$2=3,IF(E3758="",C1483,E3758),"")))</f>
        <v>Pferde &gt; 148 cm, über 180-tägig</v>
      </c>
      <c r="B1483" s="2410" t="s">
        <v>1259</v>
      </c>
      <c r="C1483" s="2410" t="s">
        <v>1254</v>
      </c>
      <c r="D1483" s="2414" t="s">
        <v>9009</v>
      </c>
    </row>
    <row r="1484" spans="1:4" ht="12.75" customHeight="1">
      <c r="A1484" s="2410" t="str">
        <f t="shared" si="26"/>
        <v>Pferde &gt; 148 cm, bis 180-tägig</v>
      </c>
      <c r="B1484" s="2410" t="s">
        <v>1260</v>
      </c>
      <c r="C1484" s="2410" t="s">
        <v>1255</v>
      </c>
      <c r="D1484" s="2414" t="s">
        <v>9010</v>
      </c>
    </row>
    <row r="1485" spans="1:4" ht="12.75" customHeight="1">
      <c r="A1485" s="2410" t="str">
        <f t="shared" si="26"/>
        <v>Maultiere, Maulesel, über 180-tägig</v>
      </c>
      <c r="B1485" s="2410" t="s">
        <v>589</v>
      </c>
      <c r="C1485" s="2410" t="s">
        <v>8183</v>
      </c>
      <c r="D1485" s="2414" t="s">
        <v>9011</v>
      </c>
    </row>
    <row r="1486" spans="1:4" ht="12.75" customHeight="1">
      <c r="A1486" s="2410" t="str">
        <f t="shared" si="26"/>
        <v>Maultiere, Maulesel, bis 180-tägig</v>
      </c>
      <c r="B1486" s="2410" t="s">
        <v>590</v>
      </c>
      <c r="C1486" s="2410" t="s">
        <v>8172</v>
      </c>
      <c r="D1486" s="2414" t="s">
        <v>9012</v>
      </c>
    </row>
    <row r="1487" spans="1:4" ht="12.75" customHeight="1">
      <c r="A1487" s="2410" t="str">
        <f t="shared" si="26"/>
        <v>Ponys, Kleinpferde, Esel, bis 148 cm</v>
      </c>
      <c r="B1487" s="2410" t="s">
        <v>1772</v>
      </c>
      <c r="C1487" s="2410" t="s">
        <v>8173</v>
      </c>
      <c r="D1487" s="2414" t="s">
        <v>9013</v>
      </c>
    </row>
    <row r="1488" spans="1:4" ht="12.75" customHeight="1">
      <c r="A1488" s="2410" t="str">
        <f t="shared" si="26"/>
        <v>Kleine Wiederkäuer</v>
      </c>
      <c r="B1488" s="2410" t="s">
        <v>6583</v>
      </c>
      <c r="C1488" s="2410" t="s">
        <v>3848</v>
      </c>
      <c r="D1488" s="2414" t="s">
        <v>2220</v>
      </c>
    </row>
    <row r="1489" spans="1:4" ht="12.75" customHeight="1">
      <c r="A1489" s="2410" t="str">
        <f t="shared" ref="A1489:A1514" si="27">IF($A$2=1,B1489,IF($A$2=2,C1489,IF($A$2=3,IF(D1489="",C1489,D1489),"")))</f>
        <v>Mutterschafe (inkl.Jungtiere)</v>
      </c>
      <c r="B1489" s="2410" t="s">
        <v>139</v>
      </c>
      <c r="C1489" s="2410" t="s">
        <v>3849</v>
      </c>
      <c r="D1489" s="2414" t="s">
        <v>9014</v>
      </c>
    </row>
    <row r="1490" spans="1:4" ht="12.75" customHeight="1">
      <c r="A1490" s="2410" t="str">
        <f t="shared" si="27"/>
        <v>Milchschafe (inkl.Jungtiere)</v>
      </c>
      <c r="B1490" s="2410" t="s">
        <v>140</v>
      </c>
      <c r="C1490" s="2410" t="s">
        <v>4126</v>
      </c>
      <c r="D1490" s="2414" t="s">
        <v>9015</v>
      </c>
    </row>
    <row r="1491" spans="1:4" ht="12.75" customHeight="1">
      <c r="A1491" s="2410" t="str">
        <f t="shared" si="27"/>
        <v>Milchziegen (inkl.Jungtiere)</v>
      </c>
      <c r="B1491" s="2410" t="s">
        <v>1974</v>
      </c>
      <c r="C1491" s="2410" t="s">
        <v>4127</v>
      </c>
      <c r="D1491" s="2414" t="s">
        <v>9016</v>
      </c>
    </row>
    <row r="1492" spans="1:4" ht="12.75" customHeight="1">
      <c r="A1492" s="2410" t="str">
        <f t="shared" si="27"/>
        <v>Andere Ziegen über 1-jährig</v>
      </c>
      <c r="B1492" s="2410" t="s">
        <v>676</v>
      </c>
      <c r="C1492" s="2410" t="s">
        <v>5564</v>
      </c>
      <c r="D1492" s="2414" t="s">
        <v>9017</v>
      </c>
    </row>
    <row r="1493" spans="1:4" ht="12.75" customHeight="1">
      <c r="A1493" s="2410" t="str">
        <f t="shared" si="27"/>
        <v>Weitere rauhfutterverzehrende Nutztiere</v>
      </c>
      <c r="B1493" s="2410" t="s">
        <v>1780</v>
      </c>
      <c r="C1493" s="2410" t="s">
        <v>3747</v>
      </c>
      <c r="D1493" s="2414" t="s">
        <v>9018</v>
      </c>
    </row>
    <row r="1494" spans="1:4" ht="12.75" customHeight="1">
      <c r="A1494" s="2410" t="str">
        <f t="shared" si="27"/>
        <v>Bisons über 900-tägig</v>
      </c>
      <c r="B1494" s="2410" t="s">
        <v>5443</v>
      </c>
      <c r="C1494" s="2410" t="s">
        <v>8184</v>
      </c>
      <c r="D1494" s="2414" t="s">
        <v>9019</v>
      </c>
    </row>
    <row r="1495" spans="1:4" ht="12.75" customHeight="1">
      <c r="A1495" s="2410" t="str">
        <f t="shared" si="27"/>
        <v>Bisons bis 900-tägig (Zucht u. Mast)</v>
      </c>
      <c r="B1495" s="2410" t="s">
        <v>5458</v>
      </c>
      <c r="C1495" s="2410" t="s">
        <v>11729</v>
      </c>
      <c r="D1495" s="2414" t="s">
        <v>11730</v>
      </c>
    </row>
    <row r="1496" spans="1:4" ht="12.75" customHeight="1">
      <c r="A1496" s="2410" t="str">
        <f t="shared" si="27"/>
        <v>Einheit</v>
      </c>
      <c r="B1496" s="2410" t="s">
        <v>6392</v>
      </c>
      <c r="C1496" s="2410" t="s">
        <v>6215</v>
      </c>
      <c r="D1496" s="2414" t="s">
        <v>1418</v>
      </c>
    </row>
    <row r="1497" spans="1:4" ht="12.75" customHeight="1">
      <c r="A1497" s="2410" t="str">
        <f t="shared" si="27"/>
        <v>Damhirsche</v>
      </c>
      <c r="B1497" s="2410" t="s">
        <v>5660</v>
      </c>
      <c r="C1497" s="2410" t="s">
        <v>2514</v>
      </c>
      <c r="D1497" s="2414" t="s">
        <v>9020</v>
      </c>
    </row>
    <row r="1498" spans="1:4" ht="12.75" customHeight="1">
      <c r="A1498" s="2410" t="str">
        <f t="shared" si="27"/>
        <v>Rothirsche</v>
      </c>
      <c r="B1498" s="2410" t="s">
        <v>4694</v>
      </c>
      <c r="C1498" s="2410" t="s">
        <v>1584</v>
      </c>
      <c r="D1498" s="2414" t="s">
        <v>9021</v>
      </c>
    </row>
    <row r="1499" spans="1:4" ht="12.75" customHeight="1">
      <c r="A1499" s="2410" t="str">
        <f t="shared" si="27"/>
        <v>Lamas über 2-jährig</v>
      </c>
      <c r="B1499" s="2410" t="s">
        <v>5454</v>
      </c>
      <c r="C1499" s="2410" t="s">
        <v>8185</v>
      </c>
      <c r="D1499" s="2414" t="s">
        <v>8186</v>
      </c>
    </row>
    <row r="1500" spans="1:4" ht="12.75" customHeight="1">
      <c r="A1500" s="2410" t="str">
        <f t="shared" si="27"/>
        <v>Lamas unter 2-jährig</v>
      </c>
      <c r="B1500" s="2410" t="s">
        <v>5455</v>
      </c>
      <c r="C1500" s="2410" t="s">
        <v>8174</v>
      </c>
      <c r="D1500" s="2414" t="s">
        <v>8175</v>
      </c>
    </row>
    <row r="1501" spans="1:4" ht="12.75" customHeight="1">
      <c r="A1501" s="2410" t="str">
        <f t="shared" si="27"/>
        <v>Alpakas über 2-jährig</v>
      </c>
      <c r="B1501" s="2410" t="s">
        <v>5456</v>
      </c>
      <c r="C1501" s="2410" t="s">
        <v>8187</v>
      </c>
      <c r="D1501" s="2414" t="s">
        <v>8188</v>
      </c>
    </row>
    <row r="1502" spans="1:4" ht="12.75" customHeight="1">
      <c r="A1502" s="2410" t="str">
        <f t="shared" si="27"/>
        <v>Alpakas unter 2-jährig</v>
      </c>
      <c r="B1502" s="2410" t="s">
        <v>6329</v>
      </c>
      <c r="C1502" s="2410" t="s">
        <v>8176</v>
      </c>
      <c r="D1502" s="2414" t="s">
        <v>8177</v>
      </c>
    </row>
    <row r="1503" spans="1:4" ht="12.75" customHeight="1">
      <c r="A1503" s="2410" t="str">
        <f t="shared" si="27"/>
        <v>Kaninchen: Zibben inkl. Jungtiere bis 35-t.</v>
      </c>
      <c r="B1503" s="2410" t="s">
        <v>1814</v>
      </c>
      <c r="C1503" s="2410" t="s">
        <v>3220</v>
      </c>
      <c r="D1503" s="2414" t="s">
        <v>9022</v>
      </c>
    </row>
    <row r="1504" spans="1:4" ht="12.75" customHeight="1">
      <c r="A1504" s="2410" t="str">
        <f t="shared" si="27"/>
        <v>Kaninchen: Jungtiere ab ca 35 Tagen</v>
      </c>
      <c r="B1504" s="2410" t="s">
        <v>7144</v>
      </c>
      <c r="C1504" s="2410" t="s">
        <v>3221</v>
      </c>
      <c r="D1504" s="2414" t="s">
        <v>9023</v>
      </c>
    </row>
    <row r="1505" spans="1:4" ht="12.75" customHeight="1">
      <c r="A1505" s="2410" t="str">
        <f t="shared" si="27"/>
        <v>Schweine</v>
      </c>
      <c r="B1505" s="2410" t="s">
        <v>2279</v>
      </c>
      <c r="C1505" s="2410" t="s">
        <v>1585</v>
      </c>
      <c r="D1505" s="2414" t="s">
        <v>1918</v>
      </c>
    </row>
    <row r="1506" spans="1:4" ht="12.75" customHeight="1">
      <c r="A1506" s="2410" t="str">
        <f t="shared" si="27"/>
        <v>Zuchtschweine als kombinierte Einheit erfassen</v>
      </c>
      <c r="B1506" s="2410" t="s">
        <v>711</v>
      </c>
      <c r="C1506" s="2410" t="s">
        <v>3984</v>
      </c>
      <c r="D1506" s="2414" t="s">
        <v>11731</v>
      </c>
    </row>
    <row r="1507" spans="1:4" ht="12.75" customHeight="1">
      <c r="A1507" s="2410" t="str">
        <f t="shared" si="27"/>
        <v>MSP</v>
      </c>
      <c r="B1507" s="2410" t="s">
        <v>6330</v>
      </c>
      <c r="C1507" s="2410" t="s">
        <v>3416</v>
      </c>
      <c r="D1507" s="2414" t="s">
        <v>1787</v>
      </c>
    </row>
    <row r="1508" spans="1:4" ht="12.75" customHeight="1">
      <c r="A1508" s="2410" t="str">
        <f t="shared" si="27"/>
        <v>Zuchtschweine inkl. Ferkel</v>
      </c>
      <c r="B1508" s="2410" t="s">
        <v>6331</v>
      </c>
      <c r="C1508" s="2410" t="s">
        <v>1586</v>
      </c>
      <c r="D1508" s="2414" t="s">
        <v>11136</v>
      </c>
    </row>
    <row r="1509" spans="1:4" ht="12.75" customHeight="1">
      <c r="A1509" s="2410" t="str">
        <f t="shared" si="27"/>
        <v xml:space="preserve">Mastschweine, Remonten </v>
      </c>
      <c r="B1509" s="2410" t="s">
        <v>7310</v>
      </c>
      <c r="C1509" s="2410" t="s">
        <v>7311</v>
      </c>
      <c r="D1509" s="2414" t="s">
        <v>11591</v>
      </c>
    </row>
    <row r="1510" spans="1:4" ht="12.75" customHeight="1">
      <c r="A1510" s="2410" t="str">
        <f t="shared" si="27"/>
        <v>Zuchteber</v>
      </c>
      <c r="B1510" s="2410" t="s">
        <v>6332</v>
      </c>
      <c r="C1510" s="2410" t="s">
        <v>3954</v>
      </c>
      <c r="D1510" s="2414" t="s">
        <v>9025</v>
      </c>
    </row>
    <row r="1511" spans="1:4" ht="12.75" customHeight="1">
      <c r="A1511" s="2410" t="str">
        <f t="shared" si="27"/>
        <v>Zuchtschweine, säugend</v>
      </c>
      <c r="B1511" s="2410" t="s">
        <v>5570</v>
      </c>
      <c r="C1511" s="2410" t="s">
        <v>3955</v>
      </c>
      <c r="D1511" s="2414" t="s">
        <v>10689</v>
      </c>
    </row>
    <row r="1512" spans="1:4" ht="12.75" customHeight="1">
      <c r="A1512" s="2410" t="str">
        <f t="shared" si="27"/>
        <v>Zuchtsauen über 6 Mte., nicht säugend</v>
      </c>
      <c r="B1512" s="2410" t="s">
        <v>3254</v>
      </c>
      <c r="C1512" s="2410" t="s">
        <v>8189</v>
      </c>
      <c r="D1512" s="2414" t="s">
        <v>11181</v>
      </c>
    </row>
    <row r="1513" spans="1:4" ht="12.75" customHeight="1">
      <c r="A1513" s="2410" t="str">
        <f t="shared" si="27"/>
        <v xml:space="preserve">Ferkel abgesetzt </v>
      </c>
      <c r="B1513" s="2410" t="s">
        <v>6140</v>
      </c>
      <c r="C1513" s="2410" t="s">
        <v>3956</v>
      </c>
      <c r="D1513" s="2414" t="s">
        <v>9024</v>
      </c>
    </row>
    <row r="1514" spans="1:4" ht="12.75" customHeight="1">
      <c r="A1514" s="2410" t="str">
        <f t="shared" si="27"/>
        <v>Anderes:</v>
      </c>
      <c r="B1514" s="2410" t="s">
        <v>5592</v>
      </c>
      <c r="C1514" s="2410" t="s">
        <v>3350</v>
      </c>
      <c r="D1514" s="2414" t="s">
        <v>393</v>
      </c>
    </row>
    <row r="1515" spans="1:4" ht="12.75" customHeight="1">
      <c r="A1515" s="2410" t="str">
        <f t="shared" ref="A1515:A1524" si="28">IF($A$2=1,B1515,IF($A$2=2,C1515,IF($A$2=3,IF(D1515="",C1515,D1515),"")))</f>
        <v>Anderes:</v>
      </c>
      <c r="B1515" s="2410" t="s">
        <v>5592</v>
      </c>
      <c r="C1515" s="2410" t="s">
        <v>3350</v>
      </c>
      <c r="D1515" s="2414" t="s">
        <v>393</v>
      </c>
    </row>
    <row r="1516" spans="1:4" ht="12.75" customHeight="1">
      <c r="A1516" s="2410" t="str">
        <f t="shared" si="28"/>
        <v>Geflügel</v>
      </c>
      <c r="B1516" s="2410" t="s">
        <v>2280</v>
      </c>
      <c r="C1516" s="2410" t="s">
        <v>3957</v>
      </c>
      <c r="D1516" s="2414" t="s">
        <v>8462</v>
      </c>
    </row>
    <row r="1517" spans="1:4" ht="12.75" customHeight="1">
      <c r="A1517" s="2410" t="str">
        <f t="shared" si="28"/>
        <v>LHP/MPP</v>
      </c>
      <c r="B1517" s="2410" t="s">
        <v>2198</v>
      </c>
      <c r="C1517" s="2410" t="s">
        <v>6919</v>
      </c>
      <c r="D1517" s="2414" t="s">
        <v>8257</v>
      </c>
    </row>
    <row r="1518" spans="1:4" ht="12.75" customHeight="1">
      <c r="A1518" s="2410" t="str">
        <f t="shared" si="28"/>
        <v>Lege- und Zuchthennen</v>
      </c>
      <c r="B1518" s="2410" t="s">
        <v>5536</v>
      </c>
      <c r="C1518" s="2410" t="s">
        <v>3958</v>
      </c>
      <c r="D1518" s="2414" t="s">
        <v>9026</v>
      </c>
    </row>
    <row r="1519" spans="1:4" ht="12.75" customHeight="1">
      <c r="A1519" s="2410" t="str">
        <f t="shared" si="28"/>
        <v>Legehennen Kotband</v>
      </c>
      <c r="B1519" s="2410" t="s">
        <v>4324</v>
      </c>
      <c r="C1519" s="2410" t="s">
        <v>6960</v>
      </c>
      <c r="D1519" s="2414" t="s">
        <v>9027</v>
      </c>
    </row>
    <row r="1520" spans="1:4" ht="12.75" customHeight="1">
      <c r="A1520" s="2410" t="str">
        <f t="shared" si="28"/>
        <v>Legehennen Kotgrube</v>
      </c>
      <c r="B1520" s="2410" t="s">
        <v>7366</v>
      </c>
      <c r="C1520" s="2410" t="s">
        <v>6961</v>
      </c>
      <c r="D1520" s="2414" t="s">
        <v>9028</v>
      </c>
    </row>
    <row r="1521" spans="1:4" ht="12.75" customHeight="1">
      <c r="A1521" s="2410" t="str">
        <f t="shared" si="28"/>
        <v>Junghennen</v>
      </c>
      <c r="B1521" s="2410" t="s">
        <v>5538</v>
      </c>
      <c r="C1521" s="2410" t="s">
        <v>3959</v>
      </c>
      <c r="D1521" s="2414" t="s">
        <v>9029</v>
      </c>
    </row>
    <row r="1522" spans="1:4" ht="12.75" customHeight="1">
      <c r="A1522" s="2410" t="str">
        <f t="shared" si="28"/>
        <v>Mastpoulets</v>
      </c>
      <c r="B1522" s="2410" t="s">
        <v>5539</v>
      </c>
      <c r="C1522" s="2410" t="s">
        <v>4864</v>
      </c>
      <c r="D1522" s="2414" t="s">
        <v>9030</v>
      </c>
    </row>
    <row r="1523" spans="1:4" ht="12.75" customHeight="1">
      <c r="A1523" s="2410" t="str">
        <f t="shared" si="28"/>
        <v>Masttruten</v>
      </c>
      <c r="B1523" s="2410" t="s">
        <v>5540</v>
      </c>
      <c r="C1523" s="2410" t="s">
        <v>3453</v>
      </c>
      <c r="D1523" s="2414" t="s">
        <v>9031</v>
      </c>
    </row>
    <row r="1524" spans="1:4" ht="12.75" customHeight="1">
      <c r="A1524" s="2410" t="str">
        <f t="shared" si="28"/>
        <v>Trutenvormast, 6 Umtriebe</v>
      </c>
      <c r="B1524" s="2410" t="s">
        <v>1605</v>
      </c>
      <c r="C1524" s="2410" t="s">
        <v>2540</v>
      </c>
      <c r="D1524" s="2414" t="s">
        <v>9032</v>
      </c>
    </row>
    <row r="1525" spans="1:4" ht="12.75" customHeight="1">
      <c r="A1525" s="2410" t="str">
        <f t="shared" ref="A1525:A1588" si="29">IF($A$2=1,B1525,IF($A$2=2,C1525,IF($A$2=3,IF(D1525="",C1525,D1525),"")))</f>
        <v>Trutenausmast, 2.9 Umtriebe</v>
      </c>
      <c r="B1525" s="2410" t="s">
        <v>1606</v>
      </c>
      <c r="C1525" s="2410" t="s">
        <v>2541</v>
      </c>
      <c r="D1525" s="2414" t="s">
        <v>9033</v>
      </c>
    </row>
    <row r="1526" spans="1:4" ht="12.75" customHeight="1">
      <c r="A1526" s="2410" t="str">
        <f t="shared" si="29"/>
        <v>Herkunft des Verdünnungswassers</v>
      </c>
      <c r="B1526" s="2410" t="s">
        <v>7129</v>
      </c>
      <c r="C1526" s="2410" t="s">
        <v>2295</v>
      </c>
      <c r="D1526" s="2414" t="s">
        <v>9034</v>
      </c>
    </row>
    <row r="1527" spans="1:4" ht="12.75" customHeight="1">
      <c r="A1527" s="2410" t="str">
        <f t="shared" si="29"/>
        <v>Einheit</v>
      </c>
      <c r="B1527" s="2410" t="s">
        <v>6392</v>
      </c>
      <c r="C1527" s="2410" t="s">
        <v>6215</v>
      </c>
      <c r="D1527" s="2414" t="s">
        <v>1418</v>
      </c>
    </row>
    <row r="1528" spans="1:4" ht="12.75" customHeight="1">
      <c r="A1528" s="2410" t="str">
        <f t="shared" si="29"/>
        <v>Anzahl Einheiten</v>
      </c>
      <c r="B1528" s="2410" t="s">
        <v>3065</v>
      </c>
      <c r="C1528" s="2410" t="s">
        <v>4876</v>
      </c>
      <c r="D1528" s="2414" t="s">
        <v>8438</v>
      </c>
    </row>
    <row r="1529" spans="1:4" ht="12.75" customHeight="1">
      <c r="A1529" s="2410" t="str">
        <f t="shared" si="29"/>
        <v>Menge in m³</v>
      </c>
      <c r="B1529" s="2410" t="s">
        <v>4163</v>
      </c>
      <c r="C1529" s="2410" t="s">
        <v>4164</v>
      </c>
      <c r="D1529" s="2414" t="s">
        <v>9035</v>
      </c>
    </row>
    <row r="1530" spans="1:4" ht="12.75" customHeight="1">
      <c r="A1530" s="2410" t="str">
        <f t="shared" si="29"/>
        <v>Gülle-Grube</v>
      </c>
      <c r="B1530" s="2410" t="s">
        <v>7130</v>
      </c>
      <c r="C1530" s="2410" t="s">
        <v>6160</v>
      </c>
      <c r="D1530" s="2414" t="s">
        <v>8263</v>
      </c>
    </row>
    <row r="1531" spans="1:4" ht="12.75" customHeight="1">
      <c r="A1531" s="2410" t="str">
        <f t="shared" si="29"/>
        <v>Auslastung</v>
      </c>
      <c r="B1531" s="2410" t="s">
        <v>3941</v>
      </c>
      <c r="C1531" s="2410" t="s">
        <v>3942</v>
      </c>
      <c r="D1531" s="2414" t="s">
        <v>6467</v>
      </c>
    </row>
    <row r="1532" spans="1:4" ht="12.75" customHeight="1">
      <c r="A1532" s="2410" t="str">
        <f t="shared" si="29"/>
        <v>Sommer</v>
      </c>
      <c r="B1532" s="2410" t="s">
        <v>7193</v>
      </c>
      <c r="C1532" s="2410" t="s">
        <v>672</v>
      </c>
      <c r="D1532" s="2414" t="s">
        <v>4401</v>
      </c>
    </row>
    <row r="1533" spans="1:4" ht="12.75" customHeight="1">
      <c r="A1533" s="2410" t="str">
        <f t="shared" si="29"/>
        <v>Winter</v>
      </c>
      <c r="B1533" s="2410" t="s">
        <v>7192</v>
      </c>
      <c r="C1533" s="2410" t="s">
        <v>671</v>
      </c>
      <c r="D1533" s="2414" t="s">
        <v>3774</v>
      </c>
    </row>
    <row r="1534" spans="1:4" ht="12.75" customHeight="1">
      <c r="A1534" s="2410" t="str">
        <f t="shared" si="29"/>
        <v>Mistplatz</v>
      </c>
      <c r="B1534" s="2410" t="s">
        <v>161</v>
      </c>
      <c r="C1534" s="2410" t="s">
        <v>6161</v>
      </c>
      <c r="D1534" s="2414" t="s">
        <v>8451</v>
      </c>
    </row>
    <row r="1535" spans="1:4" ht="12.75" customHeight="1">
      <c r="A1535" s="2410" t="str">
        <f t="shared" si="29"/>
        <v>Befestigte, nicht überdachte Laufplätze</v>
      </c>
      <c r="B1535" s="2410" t="s">
        <v>874</v>
      </c>
      <c r="C1535" s="2410" t="s">
        <v>4549</v>
      </c>
      <c r="D1535" s="2414" t="s">
        <v>9036</v>
      </c>
    </row>
    <row r="1536" spans="1:4" ht="12.75" customHeight="1">
      <c r="A1536" s="2410" t="str">
        <f t="shared" si="29"/>
        <v>Nicht überdachte Flachsiloplatten mit vollständiger Entwässerung in Güllengrube</v>
      </c>
      <c r="B1536" s="2410" t="s">
        <v>583</v>
      </c>
      <c r="C1536" s="2410" t="s">
        <v>107</v>
      </c>
      <c r="D1536" s="2414" t="s">
        <v>9037</v>
      </c>
    </row>
    <row r="1537" spans="1:4" ht="12.75" customHeight="1">
      <c r="A1537" s="2410" t="str">
        <f t="shared" si="29"/>
        <v>Nicht überdachte Flachsiloplatten mit  Entwässerung über Silosaftrinne</v>
      </c>
      <c r="B1537" s="2410" t="s">
        <v>584</v>
      </c>
      <c r="C1537" s="2410" t="s">
        <v>6531</v>
      </c>
      <c r="D1537" s="2414" t="s">
        <v>9038</v>
      </c>
    </row>
    <row r="1538" spans="1:4" ht="12.75" customHeight="1">
      <c r="A1538" s="2410" t="str">
        <f t="shared" si="29"/>
        <v>Weitere in die Güllegrube entwässerte Flächen</v>
      </c>
      <c r="B1538" s="2410" t="s">
        <v>116</v>
      </c>
      <c r="C1538" s="2410" t="s">
        <v>4875</v>
      </c>
      <c r="D1538" s="2414" t="s">
        <v>9039</v>
      </c>
    </row>
    <row r="1539" spans="1:4" ht="12.75" customHeight="1">
      <c r="A1539" s="2410" t="str">
        <f t="shared" si="29"/>
        <v>Reinigung:</v>
      </c>
      <c r="B1539" s="2410" t="s">
        <v>1709</v>
      </c>
      <c r="C1539" s="2410" t="s">
        <v>46</v>
      </c>
      <c r="D1539" s="2414" t="s">
        <v>4029</v>
      </c>
    </row>
    <row r="1540" spans="1:4" ht="12.75" customHeight="1">
      <c r="A1540" s="2410" t="str">
        <f t="shared" si="29"/>
        <v>Milchkammer</v>
      </c>
      <c r="B1540" s="2410" t="s">
        <v>4636</v>
      </c>
      <c r="C1540" s="2410" t="s">
        <v>47</v>
      </c>
      <c r="D1540" s="2414" t="s">
        <v>8950</v>
      </c>
    </row>
    <row r="1541" spans="1:4" ht="12.75" customHeight="1">
      <c r="A1541" s="2410" t="str">
        <f t="shared" si="29"/>
        <v>Kühltank</v>
      </c>
      <c r="B1541" s="2410" t="s">
        <v>4638</v>
      </c>
      <c r="C1541" s="2410" t="s">
        <v>3659</v>
      </c>
      <c r="D1541" s="2414" t="s">
        <v>8951</v>
      </c>
    </row>
    <row r="1542" spans="1:4" ht="12.75" customHeight="1">
      <c r="A1542" s="2410" t="str">
        <f t="shared" si="29"/>
        <v>Eimermelkanlage</v>
      </c>
      <c r="B1542" s="2410" t="s">
        <v>3660</v>
      </c>
      <c r="C1542" s="2410" t="s">
        <v>3866</v>
      </c>
      <c r="D1542" s="2414" t="s">
        <v>8952</v>
      </c>
    </row>
    <row r="1543" spans="1:4" ht="12.75" customHeight="1">
      <c r="A1543" s="2410" t="str">
        <f t="shared" si="29"/>
        <v>Rohrmelkanlage (Anbindestall oder Melkstand)</v>
      </c>
      <c r="B1543" s="2410" t="s">
        <v>3661</v>
      </c>
      <c r="C1543" s="2410" t="s">
        <v>3867</v>
      </c>
      <c r="D1543" s="2414" t="s">
        <v>8953</v>
      </c>
    </row>
    <row r="1544" spans="1:4" ht="12.75" customHeight="1">
      <c r="A1544" s="2410" t="str">
        <f t="shared" si="29"/>
        <v>Standplätze im Melkstand</v>
      </c>
      <c r="B1544" s="2410" t="s">
        <v>1283</v>
      </c>
      <c r="C1544" s="2410" t="s">
        <v>4471</v>
      </c>
      <c r="D1544" s="2414" t="s">
        <v>8954</v>
      </c>
    </row>
    <row r="1545" spans="1:4" ht="12.75" customHeight="1">
      <c r="A1545" s="2410" t="str">
        <f t="shared" si="29"/>
        <v>Automatisches Melksystem (AMS)</v>
      </c>
      <c r="B1545" s="2410" t="s">
        <v>167</v>
      </c>
      <c r="C1545" s="2410" t="s">
        <v>4472</v>
      </c>
      <c r="D1545" s="2414" t="s">
        <v>8955</v>
      </c>
    </row>
    <row r="1546" spans="1:4" ht="12.75" customHeight="1">
      <c r="A1546" s="2410" t="str">
        <f t="shared" si="29"/>
        <v>Haushalt:</v>
      </c>
      <c r="B1546" s="2410" t="s">
        <v>117</v>
      </c>
      <c r="C1546" s="2410" t="s">
        <v>780</v>
      </c>
      <c r="D1546" s="2414" t="s">
        <v>8956</v>
      </c>
    </row>
    <row r="1547" spans="1:4" ht="12.75" customHeight="1">
      <c r="A1547" s="2410" t="str">
        <f t="shared" si="29"/>
        <v>normale Verhältnisse (Waschmasch., Dusche/Bad, WC)</v>
      </c>
      <c r="B1547" s="2410" t="s">
        <v>7175</v>
      </c>
      <c r="C1547" s="2410" t="s">
        <v>7566</v>
      </c>
      <c r="D1547" s="2414" t="s">
        <v>8264</v>
      </c>
    </row>
    <row r="1548" spans="1:4" ht="12.75" customHeight="1">
      <c r="A1548" s="2410" t="str">
        <f t="shared" si="29"/>
        <v>einfache sanitäre Einrichtungen</v>
      </c>
      <c r="B1548" s="2410" t="s">
        <v>7184</v>
      </c>
      <c r="C1548" s="2410" t="s">
        <v>7567</v>
      </c>
      <c r="D1548" s="2414" t="s">
        <v>6465</v>
      </c>
    </row>
    <row r="1549" spans="1:4" ht="12.75" customHeight="1">
      <c r="A1549" s="2410" t="str">
        <f t="shared" si="29"/>
        <v>Sonderfälle: dauernd deutlich geringerer Abwasseranfall</v>
      </c>
      <c r="B1549" s="2410" t="s">
        <v>7291</v>
      </c>
      <c r="C1549" s="2410" t="s">
        <v>339</v>
      </c>
      <c r="D1549" s="2414" t="s">
        <v>9040</v>
      </c>
    </row>
    <row r="1550" spans="1:4" ht="12.75" customHeight="1">
      <c r="A1550" s="2410" t="str">
        <f t="shared" si="29"/>
        <v>Restauration:</v>
      </c>
      <c r="B1550" s="2410" t="s">
        <v>168</v>
      </c>
      <c r="C1550" s="2410" t="s">
        <v>340</v>
      </c>
      <c r="D1550" s="2414" t="s">
        <v>6466</v>
      </c>
    </row>
    <row r="1551" spans="1:4" ht="12.75" customHeight="1">
      <c r="A1551" s="2410" t="str">
        <f t="shared" si="29"/>
        <v>Gastronomie, Partyraum 1)</v>
      </c>
      <c r="B1551" s="2410" t="s">
        <v>4083</v>
      </c>
      <c r="C1551" s="2410" t="s">
        <v>4084</v>
      </c>
      <c r="D1551" s="2414" t="s">
        <v>9041</v>
      </c>
    </row>
    <row r="1552" spans="1:4" ht="12.75" customHeight="1">
      <c r="A1552" s="2410" t="str">
        <f t="shared" si="29"/>
        <v>Ferien auf dem Bauernhof 2)</v>
      </c>
      <c r="B1552" s="2410" t="s">
        <v>4085</v>
      </c>
      <c r="C1552" s="2410" t="s">
        <v>1034</v>
      </c>
      <c r="D1552" s="2414" t="s">
        <v>9042</v>
      </c>
    </row>
    <row r="1553" spans="1:4" ht="12.75" customHeight="1">
      <c r="A1553" s="2410" t="str">
        <f t="shared" si="29"/>
        <v>Schlaf im Stroh 2)</v>
      </c>
      <c r="B1553" s="2410" t="s">
        <v>4086</v>
      </c>
      <c r="C1553" s="2410" t="s">
        <v>6072</v>
      </c>
      <c r="D1553" s="2414" t="s">
        <v>9043</v>
      </c>
    </row>
    <row r="1554" spans="1:4" ht="12.75" customHeight="1">
      <c r="A1554" s="2410" t="str">
        <f t="shared" si="29"/>
        <v>Anzahl Melkeinheiten</v>
      </c>
      <c r="B1554" s="2410" t="s">
        <v>7253</v>
      </c>
      <c r="C1554" s="2410" t="s">
        <v>1973</v>
      </c>
      <c r="D1554" s="2414" t="s">
        <v>11182</v>
      </c>
    </row>
    <row r="1555" spans="1:4" ht="12.75" customHeight="1">
      <c r="A1555" s="2410" t="str">
        <f t="shared" si="29"/>
        <v>Volumen in Liter</v>
      </c>
      <c r="B1555" s="2410" t="s">
        <v>2995</v>
      </c>
      <c r="C1555" s="2410" t="s">
        <v>4557</v>
      </c>
      <c r="D1555" s="2414" t="s">
        <v>2864</v>
      </c>
    </row>
    <row r="1556" spans="1:4" ht="12.75" customHeight="1">
      <c r="A1556" s="2410" t="str">
        <f t="shared" si="29"/>
        <v>Anzahl Plätze</v>
      </c>
      <c r="B1556" s="2410" t="s">
        <v>1284</v>
      </c>
      <c r="C1556" s="2410" t="s">
        <v>6267</v>
      </c>
      <c r="D1556" s="2414" t="s">
        <v>11182</v>
      </c>
    </row>
    <row r="1557" spans="1:4" ht="12.75" customHeight="1">
      <c r="A1557" s="2410" t="str">
        <f t="shared" si="29"/>
        <v>Einheit</v>
      </c>
      <c r="B1557" s="2410" t="s">
        <v>6392</v>
      </c>
      <c r="C1557" s="2410" t="s">
        <v>6215</v>
      </c>
      <c r="D1557" s="2414" t="s">
        <v>1418</v>
      </c>
    </row>
    <row r="1558" spans="1:4" ht="12.75" customHeight="1">
      <c r="A1558" s="2410" t="str">
        <f t="shared" si="29"/>
        <v>Einwohner</v>
      </c>
      <c r="B1558" s="2410" t="s">
        <v>7182</v>
      </c>
      <c r="C1558" s="2410" t="s">
        <v>6268</v>
      </c>
      <c r="D1558" s="2414" t="s">
        <v>2865</v>
      </c>
    </row>
    <row r="1559" spans="1:4" ht="12.75" customHeight="1">
      <c r="A1559" s="2410" t="str">
        <f t="shared" si="29"/>
        <v>Sitzplatz</v>
      </c>
      <c r="B1559" s="2410" t="s">
        <v>4141</v>
      </c>
      <c r="C1559" s="2410" t="s">
        <v>6202</v>
      </c>
      <c r="D1559" s="2414" t="s">
        <v>2866</v>
      </c>
    </row>
    <row r="1560" spans="1:4" ht="12.75" customHeight="1">
      <c r="A1560" s="2410" t="str">
        <f t="shared" si="29"/>
        <v>Bett</v>
      </c>
      <c r="B1560" s="2410" t="s">
        <v>3790</v>
      </c>
      <c r="C1560" s="2410" t="s">
        <v>6203</v>
      </c>
      <c r="D1560" s="2414" t="s">
        <v>9044</v>
      </c>
    </row>
    <row r="1561" spans="1:4" ht="12.75" customHeight="1">
      <c r="A1561" s="2410" t="str">
        <f t="shared" si="29"/>
        <v>Schlafplatz</v>
      </c>
      <c r="B1561" s="2410" t="s">
        <v>3792</v>
      </c>
      <c r="C1561" s="2410" t="s">
        <v>5259</v>
      </c>
      <c r="D1561" s="2414" t="s">
        <v>11183</v>
      </c>
    </row>
    <row r="1562" spans="1:4" ht="24" customHeight="1">
      <c r="A1562" s="2410" t="str">
        <f t="shared" si="29"/>
        <v>1) Die hinterlegte Norm gilt für ganzjährigen Betrieb. Saisonalem Betrieb kann durch Wahl der Auslastungen Rechnung getragen werden.</v>
      </c>
      <c r="B1562" s="2410" t="s">
        <v>2121</v>
      </c>
      <c r="C1562" s="2410" t="s">
        <v>5204</v>
      </c>
      <c r="D1562" s="2424" t="s">
        <v>9045</v>
      </c>
    </row>
    <row r="1563" spans="1:4" ht="24" customHeight="1">
      <c r="A1563" s="2410" t="str">
        <f t="shared" si="29"/>
        <v>2) Die hinterlegte Norm gilt bei 100 % Belegung. Geringeren Belegungen kann durch Wahl der Auslastungen Rechnung getragen werden.</v>
      </c>
      <c r="B1563" s="2781" t="s">
        <v>11891</v>
      </c>
      <c r="C1563" s="2781" t="s">
        <v>11892</v>
      </c>
      <c r="D1563" s="2783" t="s">
        <v>11893</v>
      </c>
    </row>
    <row r="1564" spans="1:4" ht="12.75" customHeight="1">
      <c r="A1564" s="2410">
        <f t="shared" si="29"/>
        <v>0</v>
      </c>
      <c r="B1564" s="2410"/>
      <c r="C1564" s="2410"/>
      <c r="D1564" s="2424"/>
    </row>
    <row r="1565" spans="1:4" ht="12.75" customHeight="1">
      <c r="A1565" s="2410" t="str">
        <f t="shared" si="29"/>
        <v>G ü l l e -   &amp;   M i s t a n f a l l   a u s f ü l l e n</v>
      </c>
      <c r="B1565" s="2410" t="s">
        <v>2297</v>
      </c>
      <c r="C1565" s="2410" t="s">
        <v>4187</v>
      </c>
      <c r="D1565" s="2424" t="s">
        <v>9046</v>
      </c>
    </row>
    <row r="1566" spans="1:4" ht="12.75" customHeight="1">
      <c r="A1566" s="2410" t="str">
        <f t="shared" si="29"/>
        <v>Tierart</v>
      </c>
      <c r="B1566" s="2410" t="s">
        <v>5247</v>
      </c>
      <c r="C1566" s="2410" t="s">
        <v>4188</v>
      </c>
      <c r="D1566" s="2424" t="s">
        <v>9047</v>
      </c>
    </row>
    <row r="1567" spans="1:4" ht="12.75" customHeight="1">
      <c r="A1567" s="2410" t="str">
        <f t="shared" si="29"/>
        <v>Gehalt je kg Futter</v>
      </c>
      <c r="B1567" s="2410" t="s">
        <v>1310</v>
      </c>
      <c r="C1567" s="2410" t="s">
        <v>4189</v>
      </c>
      <c r="D1567" s="2424" t="s">
        <v>9048</v>
      </c>
    </row>
    <row r="1568" spans="1:4" ht="12.75" customHeight="1">
      <c r="A1568" s="2410" t="str">
        <f t="shared" si="29"/>
        <v>MJ VES</v>
      </c>
      <c r="B1568" s="2410" t="s">
        <v>256</v>
      </c>
      <c r="C1568" s="2410" t="s">
        <v>25</v>
      </c>
      <c r="D1568" s="2424" t="s">
        <v>9049</v>
      </c>
    </row>
    <row r="1569" spans="1:4" ht="12.75" customHeight="1">
      <c r="A1569" s="2410" t="str">
        <f t="shared" si="29"/>
        <v>g RP</v>
      </c>
      <c r="B1569" s="2410" t="s">
        <v>1316</v>
      </c>
      <c r="C1569" s="2410" t="s">
        <v>20</v>
      </c>
      <c r="D1569" s="2424" t="s">
        <v>9050</v>
      </c>
    </row>
    <row r="1570" spans="1:4" ht="12.75" customHeight="1">
      <c r="A1570" s="2410" t="str">
        <f t="shared" si="29"/>
        <v>g P</v>
      </c>
      <c r="B1570" s="2410" t="s">
        <v>1317</v>
      </c>
      <c r="C1570" s="2410" t="s">
        <v>1317</v>
      </c>
      <c r="D1570" s="2424" t="s">
        <v>9051</v>
      </c>
    </row>
    <row r="1571" spans="1:4" ht="12.75" customHeight="1">
      <c r="A1571" s="2410" t="str">
        <f t="shared" si="29"/>
        <v>Zuchtsauen säugend</v>
      </c>
      <c r="B1571" s="2410" t="s">
        <v>6030</v>
      </c>
      <c r="C1571" s="2410" t="s">
        <v>3955</v>
      </c>
      <c r="D1571" s="2424" t="s">
        <v>10689</v>
      </c>
    </row>
    <row r="1572" spans="1:4" ht="12.75" customHeight="1">
      <c r="A1572" s="2410" t="str">
        <f t="shared" si="29"/>
        <v>Zuchtsauen, nicht säugend</v>
      </c>
      <c r="B1572" s="2410" t="s">
        <v>3905</v>
      </c>
      <c r="C1572" s="2410" t="s">
        <v>5963</v>
      </c>
      <c r="D1572" s="2424" t="s">
        <v>11184</v>
      </c>
    </row>
    <row r="1573" spans="1:4" ht="12.75" customHeight="1">
      <c r="A1573" s="2410" t="str">
        <f t="shared" si="29"/>
        <v>Ferkel</v>
      </c>
      <c r="B1573" s="2410" t="s">
        <v>6595</v>
      </c>
      <c r="C1573" s="2410" t="s">
        <v>3956</v>
      </c>
      <c r="D1573" s="2424" t="s">
        <v>9024</v>
      </c>
    </row>
    <row r="1574" spans="1:4" ht="12.75" customHeight="1">
      <c r="A1574" s="2410" t="str">
        <f t="shared" si="29"/>
        <v>Mastschweine 26 -100 kg LG</v>
      </c>
      <c r="B1574" s="2410" t="s">
        <v>586</v>
      </c>
      <c r="C1574" s="2410" t="s">
        <v>587</v>
      </c>
      <c r="D1574" s="2424" t="s">
        <v>9052</v>
      </c>
    </row>
    <row r="1575" spans="1:4" ht="12.75" customHeight="1">
      <c r="A1575" s="2410" t="str">
        <f t="shared" si="29"/>
        <v>Zuchteber</v>
      </c>
      <c r="B1575" s="2410" t="s">
        <v>6332</v>
      </c>
      <c r="C1575" s="2410" t="s">
        <v>3954</v>
      </c>
      <c r="D1575" s="2424" t="s">
        <v>9025</v>
      </c>
    </row>
    <row r="1576" spans="1:4" ht="12.75" customHeight="1">
      <c r="A1576" s="2410" t="str">
        <f t="shared" si="29"/>
        <v>Zuchtschweine inkl. Ferkel</v>
      </c>
      <c r="B1576" s="2410" t="s">
        <v>6331</v>
      </c>
      <c r="C1576" s="2410" t="s">
        <v>1586</v>
      </c>
      <c r="D1576" s="2424" t="s">
        <v>11136</v>
      </c>
    </row>
    <row r="1577" spans="1:4" ht="12.75" customHeight="1">
      <c r="A1577" s="2410" t="str">
        <f t="shared" si="29"/>
        <v>Lege- &amp; Zuchthennen, Zuchthähne</v>
      </c>
      <c r="B1577" s="2410" t="s">
        <v>7174</v>
      </c>
      <c r="C1577" s="2410" t="s">
        <v>2268</v>
      </c>
      <c r="D1577" s="2424" t="s">
        <v>8636</v>
      </c>
    </row>
    <row r="1578" spans="1:4" ht="12.75" customHeight="1">
      <c r="A1578" s="2410" t="str">
        <f t="shared" si="29"/>
        <v>Pauschalanfall an Nährstoffen aus Import-Export Bilanzen</v>
      </c>
      <c r="B1578" s="2410" t="s">
        <v>1823</v>
      </c>
      <c r="C1578" s="2410" t="s">
        <v>5686</v>
      </c>
      <c r="D1578" s="2424" t="s">
        <v>9053</v>
      </c>
    </row>
    <row r="1579" spans="1:4" ht="12.75" customHeight="1">
      <c r="A1579" s="2410" t="str">
        <f t="shared" si="29"/>
        <v>Schweinegülle, Schweinemist</v>
      </c>
      <c r="B1579" s="2410" t="s">
        <v>11546</v>
      </c>
      <c r="C1579" s="2410" t="s">
        <v>11547</v>
      </c>
      <c r="D1579" s="2424" t="s">
        <v>9054</v>
      </c>
    </row>
    <row r="1580" spans="1:4" ht="12.75" customHeight="1">
      <c r="A1580" s="2410" t="str">
        <f t="shared" si="29"/>
        <v>Kaninchenmist</v>
      </c>
      <c r="B1580" s="2410" t="s">
        <v>6889</v>
      </c>
      <c r="C1580" s="2410" t="s">
        <v>6890</v>
      </c>
      <c r="D1580" s="2424" t="s">
        <v>9055</v>
      </c>
    </row>
    <row r="1581" spans="1:4" ht="12.75" customHeight="1">
      <c r="A1581" s="2410" t="str">
        <f t="shared" si="29"/>
        <v>Nährstoff-Anfall pauschal</v>
      </c>
      <c r="B1581" s="2410" t="s">
        <v>111</v>
      </c>
      <c r="C1581" s="2410" t="s">
        <v>21</v>
      </c>
      <c r="D1581" s="2424" t="s">
        <v>9056</v>
      </c>
    </row>
    <row r="1582" spans="1:4" ht="12.75" customHeight="1">
      <c r="A1582" s="2410" t="str">
        <f t="shared" si="29"/>
        <v>Lagerung 1)</v>
      </c>
      <c r="B1582" s="2410" t="s">
        <v>3883</v>
      </c>
      <c r="C1582" s="2410" t="s">
        <v>3571</v>
      </c>
      <c r="D1582" s="2424" t="s">
        <v>9057</v>
      </c>
    </row>
    <row r="1583" spans="1:4" ht="12.75" customHeight="1">
      <c r="A1583" s="2410" t="str">
        <f t="shared" si="29"/>
        <v>Hofdüngertyp</v>
      </c>
      <c r="B1583" s="2410" t="s">
        <v>6887</v>
      </c>
      <c r="C1583" s="2410" t="s">
        <v>6888</v>
      </c>
      <c r="D1583" s="2424" t="s">
        <v>9058</v>
      </c>
    </row>
    <row r="1584" spans="1:4" ht="12.75" customHeight="1">
      <c r="A1584" s="2410" t="str">
        <f t="shared" si="29"/>
        <v>Ngesamt</v>
      </c>
      <c r="B1584" s="2410" t="s">
        <v>2298</v>
      </c>
      <c r="C1584" s="2410" t="s">
        <v>1538</v>
      </c>
      <c r="D1584" s="2424" t="s">
        <v>1538</v>
      </c>
    </row>
    <row r="1585" spans="1:4" ht="12.75" customHeight="1">
      <c r="A1585" s="2410" t="str">
        <f t="shared" si="29"/>
        <v>Nverf (Ack.b.)</v>
      </c>
      <c r="B1585" s="2410" t="s">
        <v>2299</v>
      </c>
      <c r="C1585" s="2410" t="s">
        <v>2917</v>
      </c>
      <c r="D1585" s="2424" t="s">
        <v>9059</v>
      </c>
    </row>
    <row r="1586" spans="1:4" ht="12.75" customHeight="1">
      <c r="A1586" s="2410" t="str">
        <f t="shared" si="29"/>
        <v>Nverf (Fu.b.)</v>
      </c>
      <c r="B1586" s="2410" t="s">
        <v>738</v>
      </c>
      <c r="C1586" s="2410" t="s">
        <v>7533</v>
      </c>
      <c r="D1586" s="2424" t="s">
        <v>9060</v>
      </c>
    </row>
    <row r="1587" spans="1:4" ht="12.75" customHeight="1">
      <c r="A1587" s="2410" t="str">
        <f t="shared" si="29"/>
        <v>Güllegrube</v>
      </c>
      <c r="B1587" s="2410" t="s">
        <v>6125</v>
      </c>
      <c r="C1587" s="2410" t="s">
        <v>6160</v>
      </c>
      <c r="D1587" s="2424" t="s">
        <v>8263</v>
      </c>
    </row>
    <row r="1588" spans="1:4" ht="12.75" customHeight="1">
      <c r="A1588" s="2410" t="str">
        <f t="shared" si="29"/>
        <v>Mistplatz</v>
      </c>
      <c r="B1588" s="2410" t="s">
        <v>161</v>
      </c>
      <c r="C1588" s="2410" t="s">
        <v>6161</v>
      </c>
      <c r="D1588" s="2424" t="s">
        <v>8451</v>
      </c>
    </row>
    <row r="1589" spans="1:4" ht="24" customHeight="1">
      <c r="A1589" s="2410" t="str">
        <f t="shared" ref="A1589:A1652" si="30">IF($A$2=1,B1589,IF($A$2=2,C1589,IF($A$2=3,IF(D1589="",C1589,D1589),"")))</f>
        <v>1) Die Lagerplätze der I/E-Bilanz und der beteiligten Tierkategorien (Blatt "HDA") müssen übereinstimmen.</v>
      </c>
      <c r="B1589" s="2410" t="s">
        <v>521</v>
      </c>
      <c r="C1589" s="2410" t="s">
        <v>6031</v>
      </c>
      <c r="D1589" s="2424" t="s">
        <v>11185</v>
      </c>
    </row>
    <row r="1590" spans="1:4" ht="24" customHeight="1">
      <c r="A1590" s="2410" t="str">
        <f t="shared" si="30"/>
        <v xml:space="preserve">    Für nicht an der I/E-Bilanz beteiligte Kategorien derselben Tiergattung dürfen diese Nummern nicht verwendet werden. </v>
      </c>
      <c r="B1590" s="2410" t="s">
        <v>6660</v>
      </c>
      <c r="C1590" s="2410" t="s">
        <v>4190</v>
      </c>
      <c r="D1590" s="2424" t="s">
        <v>9061</v>
      </c>
    </row>
    <row r="1591" spans="1:4" ht="12.75" customHeight="1">
      <c r="A1591" s="2410" t="str">
        <f t="shared" si="30"/>
        <v>Güllegrube 1</v>
      </c>
      <c r="B1591" s="2410" t="s">
        <v>112</v>
      </c>
      <c r="C1591" s="2410" t="s">
        <v>2918</v>
      </c>
      <c r="D1591" s="2424" t="s">
        <v>9062</v>
      </c>
    </row>
    <row r="1592" spans="1:4" ht="12.75" customHeight="1">
      <c r="A1592" s="2410" t="str">
        <f t="shared" si="30"/>
        <v>Tierart, Tierplatzkategorie</v>
      </c>
      <c r="B1592" s="2410" t="s">
        <v>5892</v>
      </c>
      <c r="C1592" s="2410" t="s">
        <v>5038</v>
      </c>
      <c r="D1592" s="2424" t="s">
        <v>11186</v>
      </c>
    </row>
    <row r="1593" spans="1:4" ht="12.75" customHeight="1">
      <c r="A1593" s="2410" t="str">
        <f t="shared" si="30"/>
        <v>Anzahl</v>
      </c>
      <c r="B1593" s="2410" t="s">
        <v>7044</v>
      </c>
      <c r="C1593" s="2410" t="s">
        <v>5260</v>
      </c>
      <c r="D1593" s="2424" t="s">
        <v>3773</v>
      </c>
    </row>
    <row r="1594" spans="1:4" ht="12.75" customHeight="1">
      <c r="A1594" s="2410" t="str">
        <f t="shared" si="30"/>
        <v>Tiere /</v>
      </c>
      <c r="B1594" s="2410" t="s">
        <v>4386</v>
      </c>
      <c r="C1594" s="2410" t="s">
        <v>5039</v>
      </c>
      <c r="D1594" s="2424" t="s">
        <v>11187</v>
      </c>
    </row>
    <row r="1595" spans="1:4" ht="12.75" customHeight="1">
      <c r="A1595" s="2410" t="str">
        <f t="shared" si="30"/>
        <v>Plätze</v>
      </c>
      <c r="B1595" s="2410" t="s">
        <v>3218</v>
      </c>
      <c r="C1595" s="2410" t="s">
        <v>2919</v>
      </c>
      <c r="D1595" s="2424" t="s">
        <v>8570</v>
      </c>
    </row>
    <row r="1596" spans="1:4" ht="12.75" customHeight="1">
      <c r="A1596" s="2410" t="str">
        <f t="shared" si="30"/>
        <v>Zuschlag</v>
      </c>
      <c r="B1596" s="2410" t="s">
        <v>1341</v>
      </c>
      <c r="C1596" s="2410" t="s">
        <v>5040</v>
      </c>
      <c r="D1596" s="2424" t="s">
        <v>9063</v>
      </c>
    </row>
    <row r="1597" spans="1:4" ht="12.75" customHeight="1">
      <c r="A1597" s="2410" t="str">
        <f t="shared" si="30"/>
        <v>/ Abzug</v>
      </c>
      <c r="B1597" s="2410" t="s">
        <v>2007</v>
      </c>
      <c r="C1597" s="2410" t="s">
        <v>5041</v>
      </c>
      <c r="D1597" s="2424" t="s">
        <v>9064</v>
      </c>
    </row>
    <row r="1598" spans="1:4" ht="12.75" customHeight="1">
      <c r="A1598" s="2410" t="str">
        <f t="shared" si="30"/>
        <v>Laufhof-</v>
      </c>
      <c r="B1598" s="2410" t="s">
        <v>7111</v>
      </c>
      <c r="C1598" s="2410" t="s">
        <v>6911</v>
      </c>
      <c r="D1598" s="2424" t="s">
        <v>9065</v>
      </c>
    </row>
    <row r="1599" spans="1:4" ht="12.75" customHeight="1">
      <c r="A1599" s="2410" t="str">
        <f t="shared" si="30"/>
        <v>abzug</v>
      </c>
      <c r="B1599" s="2410" t="s">
        <v>4307</v>
      </c>
      <c r="C1599" s="2410" t="s">
        <v>7112</v>
      </c>
      <c r="D1599" s="2424" t="s">
        <v>9066</v>
      </c>
    </row>
    <row r="1600" spans="1:4" ht="12.75" customHeight="1">
      <c r="A1600" s="2410" t="str">
        <f t="shared" si="30"/>
        <v>Weide-</v>
      </c>
      <c r="B1600" s="2410" t="s">
        <v>4387</v>
      </c>
      <c r="C1600" s="2410" t="s">
        <v>6911</v>
      </c>
      <c r="D1600" s="2424" t="s">
        <v>9065</v>
      </c>
    </row>
    <row r="1601" spans="1:4" ht="12.75" customHeight="1">
      <c r="A1601" s="2410" t="str">
        <f t="shared" si="30"/>
        <v>abzug</v>
      </c>
      <c r="B1601" s="2410" t="s">
        <v>4307</v>
      </c>
      <c r="C1601" s="2410" t="s">
        <v>3288</v>
      </c>
      <c r="D1601" s="2424" t="s">
        <v>9066</v>
      </c>
    </row>
    <row r="1602" spans="1:4" ht="12.75" customHeight="1">
      <c r="A1602" s="2410" t="str">
        <f t="shared" si="30"/>
        <v>Anzahl</v>
      </c>
      <c r="B1602" s="2410" t="s">
        <v>7044</v>
      </c>
      <c r="C1602" s="2410" t="s">
        <v>5260</v>
      </c>
      <c r="D1602" s="2424" t="s">
        <v>3773</v>
      </c>
    </row>
    <row r="1603" spans="1:4" ht="12.75" customHeight="1">
      <c r="A1603" s="2410" t="str">
        <f t="shared" si="30"/>
        <v>Tiere /</v>
      </c>
      <c r="B1603" s="2410" t="s">
        <v>4386</v>
      </c>
      <c r="C1603" s="2410" t="s">
        <v>5039</v>
      </c>
      <c r="D1603" s="2424" t="s">
        <v>11188</v>
      </c>
    </row>
    <row r="1604" spans="1:4" ht="12.75" customHeight="1">
      <c r="A1604" s="2410" t="str">
        <f t="shared" si="30"/>
        <v>Plätze</v>
      </c>
      <c r="B1604" s="2410" t="s">
        <v>3218</v>
      </c>
      <c r="C1604" s="2410" t="s">
        <v>2919</v>
      </c>
      <c r="D1604" s="2424" t="s">
        <v>8570</v>
      </c>
    </row>
    <row r="1605" spans="1:4" ht="12.75" customHeight="1">
      <c r="A1605" s="2410" t="str">
        <f t="shared" si="30"/>
        <v>korr.</v>
      </c>
      <c r="B1605" s="2410" t="s">
        <v>4298</v>
      </c>
      <c r="C1605" s="2410" t="s">
        <v>6912</v>
      </c>
      <c r="D1605" s="2424" t="s">
        <v>9067</v>
      </c>
    </row>
    <row r="1606" spans="1:4" ht="12.75" customHeight="1">
      <c r="A1606" s="2410" t="str">
        <f t="shared" si="30"/>
        <v>Faktor</v>
      </c>
      <c r="B1606" s="2410" t="s">
        <v>1339</v>
      </c>
      <c r="C1606" s="2410" t="s">
        <v>3981</v>
      </c>
      <c r="D1606" s="2424" t="s">
        <v>9068</v>
      </c>
    </row>
    <row r="1607" spans="1:4" ht="12.75" customHeight="1">
      <c r="A1607" s="2410" t="str">
        <f t="shared" si="30"/>
        <v>Öko-</v>
      </c>
      <c r="B1607" s="2410" t="s">
        <v>1533</v>
      </c>
      <c r="C1607" s="2410" t="s">
        <v>3109</v>
      </c>
      <c r="D1607" s="2424" t="s">
        <v>8970</v>
      </c>
    </row>
    <row r="1608" spans="1:4" ht="12.75" customHeight="1">
      <c r="A1608" s="2410" t="str">
        <f t="shared" si="30"/>
        <v>futter</v>
      </c>
      <c r="B1608" s="2410" t="s">
        <v>5009</v>
      </c>
      <c r="C1608" s="2410" t="s">
        <v>3110</v>
      </c>
      <c r="D1608" s="2424" t="s">
        <v>8971</v>
      </c>
    </row>
    <row r="1609" spans="1:4" ht="12.75" customHeight="1">
      <c r="A1609" s="2410" t="str">
        <f t="shared" si="30"/>
        <v>Korr.</v>
      </c>
      <c r="B1609" s="2410" t="s">
        <v>1292</v>
      </c>
      <c r="C1609" s="2410" t="s">
        <v>6912</v>
      </c>
      <c r="D1609" s="2424" t="s">
        <v>9067</v>
      </c>
    </row>
    <row r="1610" spans="1:4" ht="12.75" customHeight="1">
      <c r="A1610" s="2410" t="str">
        <f t="shared" si="30"/>
        <v>Index</v>
      </c>
      <c r="B1610" s="2410" t="s">
        <v>862</v>
      </c>
      <c r="C1610" s="2410" t="s">
        <v>862</v>
      </c>
      <c r="D1610" s="2424" t="s">
        <v>635</v>
      </c>
    </row>
    <row r="1611" spans="1:4" ht="12.75" customHeight="1">
      <c r="A1611" s="2410" t="str">
        <f t="shared" si="30"/>
        <v>Tier-</v>
      </c>
      <c r="B1611" s="2410" t="s">
        <v>1534</v>
      </c>
      <c r="C1611" s="2410" t="s">
        <v>862</v>
      </c>
      <c r="D1611" s="2424" t="s">
        <v>635</v>
      </c>
    </row>
    <row r="1612" spans="1:4" ht="12.75" customHeight="1">
      <c r="A1612" s="2410" t="str">
        <f t="shared" si="30"/>
        <v>art-</v>
      </c>
      <c r="B1612" s="2410" t="s">
        <v>6809</v>
      </c>
      <c r="C1612" s="2410" t="s">
        <v>847</v>
      </c>
      <c r="D1612" s="2424" t="s">
        <v>9069</v>
      </c>
    </row>
    <row r="1613" spans="1:4" ht="12.75" customHeight="1">
      <c r="A1613" s="2410" t="str">
        <f t="shared" si="30"/>
        <v>Index</v>
      </c>
      <c r="B1613" s="2410" t="s">
        <v>862</v>
      </c>
      <c r="C1613" s="2410" t="s">
        <v>6920</v>
      </c>
      <c r="D1613" s="2424" t="s">
        <v>9070</v>
      </c>
    </row>
    <row r="1614" spans="1:4" ht="12.75" customHeight="1">
      <c r="A1614" s="2410" t="str">
        <f t="shared" si="30"/>
        <v>Strohbed.</v>
      </c>
      <c r="B1614" s="2410" t="s">
        <v>2820</v>
      </c>
      <c r="C1614" s="2410" t="s">
        <v>4318</v>
      </c>
      <c r="D1614" s="2424" t="s">
        <v>9071</v>
      </c>
    </row>
    <row r="1615" spans="1:4" ht="12.75" customHeight="1">
      <c r="A1615" s="2410" t="str">
        <f t="shared" si="30"/>
        <v>pro</v>
      </c>
      <c r="B1615" s="2410" t="s">
        <v>5303</v>
      </c>
      <c r="C1615" s="2410" t="s">
        <v>6921</v>
      </c>
      <c r="D1615" s="2424" t="s">
        <v>9072</v>
      </c>
    </row>
    <row r="1616" spans="1:4" ht="12.75" customHeight="1">
      <c r="A1616" s="2410" t="str">
        <f t="shared" si="30"/>
        <v>Tier/Platz</v>
      </c>
      <c r="B1616" s="2410" t="s">
        <v>4310</v>
      </c>
      <c r="C1616" s="2410" t="s">
        <v>6916</v>
      </c>
      <c r="D1616" s="2424" t="s">
        <v>9073</v>
      </c>
    </row>
    <row r="1617" spans="1:4" ht="12.75" customHeight="1">
      <c r="A1617" s="2410" t="str">
        <f t="shared" si="30"/>
        <v>pro Mt.</v>
      </c>
      <c r="B1617" s="2410" t="s">
        <v>3082</v>
      </c>
      <c r="C1617" s="2410" t="s">
        <v>4128</v>
      </c>
      <c r="D1617" s="2424" t="s">
        <v>9074</v>
      </c>
    </row>
    <row r="1618" spans="1:4" ht="12.75" customHeight="1">
      <c r="A1618" s="2410" t="str">
        <f t="shared" si="30"/>
        <v>Mistanf.</v>
      </c>
      <c r="B1618" s="2410" t="s">
        <v>3435</v>
      </c>
      <c r="C1618" s="2410" t="s">
        <v>193</v>
      </c>
      <c r="D1618" s="2424" t="s">
        <v>2273</v>
      </c>
    </row>
    <row r="1619" spans="1:4" ht="12.75" customHeight="1">
      <c r="A1619" s="2410" t="str">
        <f t="shared" si="30"/>
        <v>pro</v>
      </c>
      <c r="B1619" s="2410" t="s">
        <v>5303</v>
      </c>
      <c r="C1619" s="2410" t="s">
        <v>6921</v>
      </c>
      <c r="D1619" s="2424" t="s">
        <v>9072</v>
      </c>
    </row>
    <row r="1620" spans="1:4" ht="12.75" customHeight="1">
      <c r="A1620" s="2410" t="str">
        <f t="shared" si="30"/>
        <v>Tier/Platz</v>
      </c>
      <c r="B1620" s="2410" t="s">
        <v>4310</v>
      </c>
      <c r="C1620" s="2410" t="s">
        <v>6916</v>
      </c>
      <c r="D1620" s="2424" t="s">
        <v>9073</v>
      </c>
    </row>
    <row r="1621" spans="1:4" ht="12.75" customHeight="1">
      <c r="A1621" s="2410" t="str">
        <f t="shared" si="30"/>
        <v>pro Mt.</v>
      </c>
      <c r="B1621" s="2410" t="s">
        <v>3082</v>
      </c>
      <c r="C1621" s="2410" t="s">
        <v>4128</v>
      </c>
      <c r="D1621" s="2424" t="s">
        <v>9074</v>
      </c>
    </row>
    <row r="1622" spans="1:4" ht="12.75" customHeight="1">
      <c r="A1622" s="2410" t="str">
        <f t="shared" si="30"/>
        <v>Gülleanf.</v>
      </c>
      <c r="B1622" s="2410" t="s">
        <v>1752</v>
      </c>
      <c r="C1622" s="2410" t="s">
        <v>7082</v>
      </c>
      <c r="D1622" s="2424" t="s">
        <v>8933</v>
      </c>
    </row>
    <row r="1623" spans="1:4" ht="12.75" customHeight="1">
      <c r="A1623" s="2410" t="str">
        <f t="shared" si="30"/>
        <v>pro</v>
      </c>
      <c r="B1623" s="2410" t="s">
        <v>5303</v>
      </c>
      <c r="C1623" s="2410" t="s">
        <v>6921</v>
      </c>
      <c r="D1623" s="2424" t="s">
        <v>9072</v>
      </c>
    </row>
    <row r="1624" spans="1:4" ht="12.75" customHeight="1">
      <c r="A1624" s="2410" t="str">
        <f t="shared" si="30"/>
        <v>Tier/Platz</v>
      </c>
      <c r="B1624" s="2410" t="s">
        <v>4310</v>
      </c>
      <c r="C1624" s="2410" t="s">
        <v>6916</v>
      </c>
      <c r="D1624" s="2424" t="s">
        <v>9073</v>
      </c>
    </row>
    <row r="1625" spans="1:4" ht="12.75" customHeight="1">
      <c r="A1625" s="2410" t="str">
        <f t="shared" si="30"/>
        <v>pro Mt.</v>
      </c>
      <c r="B1625" s="2410" t="s">
        <v>3082</v>
      </c>
      <c r="C1625" s="2410" t="s">
        <v>4128</v>
      </c>
      <c r="D1625" s="2424" t="s">
        <v>9074</v>
      </c>
    </row>
    <row r="1626" spans="1:4" ht="12.75" customHeight="1">
      <c r="A1626" s="2410" t="str">
        <f t="shared" si="30"/>
        <v>Wasser im</v>
      </c>
      <c r="B1626" s="2410" t="s">
        <v>867</v>
      </c>
      <c r="C1626" s="2410" t="s">
        <v>868</v>
      </c>
      <c r="D1626" s="2424" t="s">
        <v>9075</v>
      </c>
    </row>
    <row r="1627" spans="1:4" ht="12.75" customHeight="1">
      <c r="A1627" s="2410" t="str">
        <f t="shared" si="30"/>
        <v>Sommer/</v>
      </c>
      <c r="B1627" s="2410" t="s">
        <v>4894</v>
      </c>
      <c r="C1627" s="2410" t="s">
        <v>4696</v>
      </c>
      <c r="D1627" s="2424" t="s">
        <v>11189</v>
      </c>
    </row>
    <row r="1628" spans="1:4" ht="12.75" customHeight="1">
      <c r="A1628" s="2410" t="str">
        <f t="shared" si="30"/>
        <v>Winter/</v>
      </c>
      <c r="B1628" s="2410" t="s">
        <v>4895</v>
      </c>
      <c r="C1628" s="2410" t="s">
        <v>4697</v>
      </c>
      <c r="D1628" s="2424" t="s">
        <v>11190</v>
      </c>
    </row>
    <row r="1629" spans="1:4" ht="12.75" customHeight="1">
      <c r="A1629" s="2410" t="str">
        <f t="shared" si="30"/>
        <v>GVE/MSP/LHP</v>
      </c>
      <c r="B1629" s="2410" t="s">
        <v>4695</v>
      </c>
      <c r="C1629" s="2410" t="s">
        <v>866</v>
      </c>
      <c r="D1629" s="2424" t="s">
        <v>9076</v>
      </c>
    </row>
    <row r="1630" spans="1:4" ht="12.75" customHeight="1">
      <c r="A1630" s="2410" t="str">
        <f t="shared" si="30"/>
        <v>Mist-</v>
      </c>
      <c r="B1630" s="2410" t="s">
        <v>2899</v>
      </c>
      <c r="C1630" s="2410" t="s">
        <v>3442</v>
      </c>
      <c r="D1630" s="2424" t="s">
        <v>8558</v>
      </c>
    </row>
    <row r="1631" spans="1:4" ht="12.75" customHeight="1">
      <c r="A1631" s="2410" t="str">
        <f t="shared" si="30"/>
        <v>Typ</v>
      </c>
      <c r="B1631" s="2410" t="s">
        <v>7380</v>
      </c>
      <c r="C1631" s="2410" t="s">
        <v>6922</v>
      </c>
      <c r="D1631" s="2424" t="s">
        <v>8976</v>
      </c>
    </row>
    <row r="1632" spans="1:4" ht="12.75" customHeight="1">
      <c r="A1632" s="2410" t="str">
        <f t="shared" si="30"/>
        <v>Gülle-</v>
      </c>
      <c r="B1632" s="2410" t="s">
        <v>2898</v>
      </c>
      <c r="C1632" s="2410" t="s">
        <v>3442</v>
      </c>
      <c r="D1632" s="2424" t="s">
        <v>8558</v>
      </c>
    </row>
    <row r="1633" spans="1:4" ht="12.75" customHeight="1">
      <c r="A1633" s="2410" t="str">
        <f t="shared" si="30"/>
        <v>Typ</v>
      </c>
      <c r="B1633" s="2410" t="s">
        <v>7380</v>
      </c>
      <c r="C1633" s="2410" t="s">
        <v>1581</v>
      </c>
      <c r="D1633" s="2424" t="s">
        <v>9077</v>
      </c>
    </row>
    <row r="1634" spans="1:4" ht="12.75" customHeight="1">
      <c r="A1634" s="2410" t="str">
        <f t="shared" si="30"/>
        <v>Gülleanteil an Nährstoffen</v>
      </c>
      <c r="B1634" s="2410" t="s">
        <v>2821</v>
      </c>
      <c r="C1634" s="2410" t="s">
        <v>6913</v>
      </c>
      <c r="D1634" s="2424" t="s">
        <v>9078</v>
      </c>
    </row>
    <row r="1635" spans="1:4" ht="12.75" customHeight="1">
      <c r="A1635" s="2410" t="str">
        <f t="shared" si="30"/>
        <v>Nges</v>
      </c>
      <c r="B1635" s="2410" t="s">
        <v>5419</v>
      </c>
      <c r="C1635" s="2410" t="s">
        <v>1538</v>
      </c>
      <c r="D1635" s="2424" t="s">
        <v>1538</v>
      </c>
    </row>
    <row r="1636" spans="1:4" ht="12.75" customHeight="1">
      <c r="A1636" s="2410" t="str">
        <f t="shared" si="30"/>
        <v>Sch-</v>
      </c>
      <c r="B1636" s="2410" t="s">
        <v>2897</v>
      </c>
      <c r="C1636" s="2410" t="s">
        <v>297</v>
      </c>
      <c r="D1636" s="2424" t="s">
        <v>297</v>
      </c>
    </row>
    <row r="1637" spans="1:4" ht="12.75" customHeight="1">
      <c r="A1637" s="2410" t="str">
        <f t="shared" si="30"/>
        <v>wemm-</v>
      </c>
      <c r="B1637" s="2410" t="s">
        <v>4388</v>
      </c>
      <c r="C1637" s="2410" t="s">
        <v>6921</v>
      </c>
      <c r="D1637" s="2424" t="s">
        <v>9079</v>
      </c>
    </row>
    <row r="1638" spans="1:4" ht="12.75" customHeight="1">
      <c r="A1638" s="2410" t="str">
        <f t="shared" si="30"/>
        <v>ent-</v>
      </c>
      <c r="B1638" s="2410" t="s">
        <v>4308</v>
      </c>
      <c r="C1638" s="2410" t="s">
        <v>6922</v>
      </c>
      <c r="D1638" s="2424" t="s">
        <v>9080</v>
      </c>
    </row>
    <row r="1639" spans="1:4" ht="12.75" customHeight="1">
      <c r="A1639" s="2410" t="str">
        <f t="shared" si="30"/>
        <v>mistung</v>
      </c>
      <c r="B1639" s="2410" t="s">
        <v>4315</v>
      </c>
      <c r="C1639" s="2410" t="s">
        <v>848</v>
      </c>
      <c r="D1639" s="2424" t="s">
        <v>8976</v>
      </c>
    </row>
    <row r="1640" spans="1:4" ht="12.75" customHeight="1">
      <c r="A1640" s="2410" t="str">
        <f t="shared" si="30"/>
        <v>Sch-</v>
      </c>
      <c r="B1640" s="2410" t="s">
        <v>2897</v>
      </c>
      <c r="C1640" s="2410" t="s">
        <v>5785</v>
      </c>
      <c r="D1640" s="2424" t="s">
        <v>9081</v>
      </c>
    </row>
    <row r="1641" spans="1:4" ht="12.75" customHeight="1">
      <c r="A1641" s="2410" t="str">
        <f t="shared" si="30"/>
        <v>weine</v>
      </c>
      <c r="B1641" s="2410" t="s">
        <v>6812</v>
      </c>
      <c r="C1641" s="2410" t="s">
        <v>5786</v>
      </c>
      <c r="D1641" s="2424" t="s">
        <v>9082</v>
      </c>
    </row>
    <row r="1642" spans="1:4" ht="12.75" customHeight="1">
      <c r="A1642" s="2410" t="str">
        <f t="shared" si="30"/>
        <v>Gülle</v>
      </c>
      <c r="B1642" s="2410" t="s">
        <v>4155</v>
      </c>
      <c r="C1642" s="2410" t="s">
        <v>5787</v>
      </c>
      <c r="D1642" s="2424"/>
    </row>
    <row r="1643" spans="1:4" ht="12.75" customHeight="1">
      <c r="A1643" s="2410" t="str">
        <f t="shared" si="30"/>
        <v>Einh.</v>
      </c>
      <c r="B1643" s="2410" t="s">
        <v>507</v>
      </c>
      <c r="C1643" s="2410" t="s">
        <v>6215</v>
      </c>
      <c r="D1643" s="2424" t="s">
        <v>1418</v>
      </c>
    </row>
    <row r="1644" spans="1:4" ht="12.75" customHeight="1">
      <c r="A1644" s="2410" t="str">
        <f t="shared" si="30"/>
        <v>total</v>
      </c>
      <c r="B1644" s="2410" t="s">
        <v>4333</v>
      </c>
      <c r="C1644" s="2410" t="s">
        <v>4333</v>
      </c>
      <c r="D1644" s="2424" t="s">
        <v>6340</v>
      </c>
    </row>
    <row r="1645" spans="1:4" ht="12.75" customHeight="1">
      <c r="A1645" s="2410" t="str">
        <f t="shared" si="30"/>
        <v>GVE/</v>
      </c>
      <c r="B1645" s="2410" t="s">
        <v>4309</v>
      </c>
      <c r="C1645" s="2410" t="s">
        <v>6914</v>
      </c>
      <c r="D1645" s="2424" t="s">
        <v>6914</v>
      </c>
    </row>
    <row r="1646" spans="1:4" ht="12.75" customHeight="1">
      <c r="A1646" s="2410" t="str">
        <f t="shared" si="30"/>
        <v>MSP/LHP</v>
      </c>
      <c r="B1646" s="2410" t="s">
        <v>1447</v>
      </c>
      <c r="C1646" s="2410" t="s">
        <v>6915</v>
      </c>
      <c r="D1646" s="2424" t="s">
        <v>8257</v>
      </c>
    </row>
    <row r="1647" spans="1:4" ht="12.75" customHeight="1">
      <c r="A1647" s="2410" t="str">
        <f t="shared" si="30"/>
        <v>Gülleanf.</v>
      </c>
      <c r="B1647" s="2410" t="s">
        <v>1752</v>
      </c>
      <c r="C1647" s="2410" t="s">
        <v>7082</v>
      </c>
      <c r="D1647" s="2424" t="s">
        <v>8933</v>
      </c>
    </row>
    <row r="1648" spans="1:4" ht="12.75" customHeight="1">
      <c r="A1648" s="2410" t="str">
        <f t="shared" si="30"/>
        <v>pro</v>
      </c>
      <c r="B1648" s="2410" t="s">
        <v>5303</v>
      </c>
      <c r="C1648" s="2410" t="s">
        <v>6921</v>
      </c>
      <c r="D1648" s="2424" t="s">
        <v>9072</v>
      </c>
    </row>
    <row r="1649" spans="1:4" ht="12.75" customHeight="1">
      <c r="A1649" s="2410" t="str">
        <f t="shared" si="30"/>
        <v>Tier/Platz</v>
      </c>
      <c r="B1649" s="2410" t="s">
        <v>4310</v>
      </c>
      <c r="C1649" s="2410" t="s">
        <v>6916</v>
      </c>
      <c r="D1649" s="2424" t="s">
        <v>9073</v>
      </c>
    </row>
    <row r="1650" spans="1:4" ht="12.75" customHeight="1">
      <c r="A1650" s="2410" t="str">
        <f t="shared" si="30"/>
        <v>pro Mt.</v>
      </c>
      <c r="B1650" s="2410" t="s">
        <v>3082</v>
      </c>
      <c r="C1650" s="2410" t="s">
        <v>4128</v>
      </c>
      <c r="D1650" s="2424" t="s">
        <v>9074</v>
      </c>
    </row>
    <row r="1651" spans="1:4" ht="12.75" customHeight="1">
      <c r="A1651" s="2410" t="str">
        <f t="shared" si="30"/>
        <v>Gülleanfall</v>
      </c>
      <c r="B1651" s="2410" t="s">
        <v>1753</v>
      </c>
      <c r="C1651" s="2410" t="s">
        <v>298</v>
      </c>
      <c r="D1651" s="2424" t="s">
        <v>9083</v>
      </c>
    </row>
    <row r="1652" spans="1:4" ht="12.75" customHeight="1">
      <c r="A1652" s="2410" t="str">
        <f t="shared" si="30"/>
        <v>total</v>
      </c>
      <c r="B1652" s="2410" t="s">
        <v>4333</v>
      </c>
      <c r="C1652" s="2410" t="s">
        <v>4333</v>
      </c>
      <c r="D1652" s="2424" t="s">
        <v>6340</v>
      </c>
    </row>
    <row r="1653" spans="1:4" ht="12.75" customHeight="1">
      <c r="A1653" s="2410" t="str">
        <f t="shared" ref="A1653:A1716" si="31">IF($A$2=1,B1653,IF($A$2=2,C1653,IF($A$2=3,IF(D1653="",C1653,D1653),"")))</f>
        <v>in</v>
      </c>
      <c r="B1653" s="2410" t="s">
        <v>7539</v>
      </c>
      <c r="C1653" s="2410" t="s">
        <v>5174</v>
      </c>
      <c r="D1653" s="2424" t="s">
        <v>7539</v>
      </c>
    </row>
    <row r="1654" spans="1:4" ht="12.75" customHeight="1">
      <c r="A1654" s="2410" t="str">
        <f t="shared" si="31"/>
        <v>Gehalte in kg je m³ Gülle</v>
      </c>
      <c r="B1654" s="2410" t="s">
        <v>6270</v>
      </c>
      <c r="C1654" s="2410" t="s">
        <v>6271</v>
      </c>
      <c r="D1654" s="2424" t="s">
        <v>9084</v>
      </c>
    </row>
    <row r="1655" spans="1:4" ht="12.75" customHeight="1">
      <c r="A1655" s="2410" t="str">
        <f t="shared" si="31"/>
        <v>(Ack.b.)</v>
      </c>
      <c r="B1655" s="2410" t="s">
        <v>4311</v>
      </c>
      <c r="C1655" s="2410" t="s">
        <v>299</v>
      </c>
      <c r="D1655" s="2424" t="s">
        <v>9085</v>
      </c>
    </row>
    <row r="1656" spans="1:4" ht="12.75" customHeight="1">
      <c r="A1656" s="2410" t="str">
        <f t="shared" si="31"/>
        <v>Nges</v>
      </c>
      <c r="B1656" s="2410" t="s">
        <v>5419</v>
      </c>
      <c r="C1656" s="2410" t="s">
        <v>1538</v>
      </c>
      <c r="D1656" s="2424" t="s">
        <v>1538</v>
      </c>
    </row>
    <row r="1657" spans="1:4" ht="12.75" customHeight="1">
      <c r="A1657" s="2410" t="str">
        <f t="shared" si="31"/>
        <v>(Fu.b.)</v>
      </c>
      <c r="B1657" s="2410" t="s">
        <v>4312</v>
      </c>
      <c r="C1657" s="2410" t="s">
        <v>300</v>
      </c>
      <c r="D1657" s="2424" t="s">
        <v>9086</v>
      </c>
    </row>
    <row r="1658" spans="1:4" ht="12.75" customHeight="1">
      <c r="A1658" s="2410" t="str">
        <f t="shared" si="31"/>
        <v>Nverf</v>
      </c>
      <c r="B1658" s="2410" t="s">
        <v>5721</v>
      </c>
      <c r="C1658" s="2410" t="s">
        <v>5722</v>
      </c>
      <c r="D1658" s="2424" t="s">
        <v>5722</v>
      </c>
    </row>
    <row r="1659" spans="1:4" ht="12.75" customHeight="1">
      <c r="A1659" s="2410" t="str">
        <f t="shared" si="31"/>
        <v>Nährstoffanfall in der Gülle</v>
      </c>
      <c r="B1659" s="2410" t="s">
        <v>5304</v>
      </c>
      <c r="C1659" s="2410" t="s">
        <v>7040</v>
      </c>
      <c r="D1659" s="2424" t="s">
        <v>9087</v>
      </c>
    </row>
    <row r="1660" spans="1:4" ht="12.75" customHeight="1">
      <c r="A1660" s="2410" t="str">
        <f t="shared" si="31"/>
        <v>Wasser</v>
      </c>
      <c r="B1660" s="2410" t="s">
        <v>3772</v>
      </c>
      <c r="C1660" s="2410" t="s">
        <v>1286</v>
      </c>
      <c r="D1660" s="2424" t="s">
        <v>9088</v>
      </c>
    </row>
    <row r="1661" spans="1:4" ht="12.75" customHeight="1">
      <c r="A1661" s="2410" t="str">
        <f t="shared" si="31"/>
        <v>Stall-</v>
      </c>
      <c r="B1661" s="2410" t="s">
        <v>5305</v>
      </c>
      <c r="C1661" s="2410" t="s">
        <v>3727</v>
      </c>
      <c r="D1661" s="2424" t="s">
        <v>9089</v>
      </c>
    </row>
    <row r="1662" spans="1:4" ht="12.75" customHeight="1">
      <c r="A1662" s="2410" t="str">
        <f t="shared" si="31"/>
        <v>reinigung</v>
      </c>
      <c r="B1662" s="2410" t="s">
        <v>4313</v>
      </c>
      <c r="C1662" s="2410" t="s">
        <v>1325</v>
      </c>
      <c r="D1662" s="2424" t="s">
        <v>9090</v>
      </c>
    </row>
    <row r="1663" spans="1:4" ht="12.75" customHeight="1">
      <c r="A1663" s="2410" t="str">
        <f t="shared" si="31"/>
        <v>Tierpflege</v>
      </c>
      <c r="B1663" s="2410" t="s">
        <v>3083</v>
      </c>
      <c r="C1663" s="2410" t="s">
        <v>3574</v>
      </c>
      <c r="D1663" s="2424" t="s">
        <v>9070</v>
      </c>
    </row>
    <row r="1664" spans="1:4" ht="12.75" customHeight="1">
      <c r="A1664" s="2410" t="str">
        <f t="shared" si="31"/>
        <v>Wasserbedarf pro GVE</v>
      </c>
      <c r="B1664" s="2410" t="s">
        <v>1754</v>
      </c>
      <c r="C1664" s="2410" t="s">
        <v>776</v>
      </c>
      <c r="D1664" s="2424" t="s">
        <v>9091</v>
      </c>
    </row>
    <row r="1665" spans="1:4" ht="12.75" customHeight="1">
      <c r="A1665" s="2410" t="str">
        <f t="shared" si="31"/>
        <v>Gewicht-Sommer:</v>
      </c>
      <c r="B1665" s="2410" t="s">
        <v>4314</v>
      </c>
      <c r="C1665" s="2410" t="s">
        <v>4934</v>
      </c>
      <c r="D1665" s="2424" t="s">
        <v>9092</v>
      </c>
    </row>
    <row r="1666" spans="1:4" ht="12.75" customHeight="1">
      <c r="A1666" s="2410" t="str">
        <f t="shared" si="31"/>
        <v>Gewicht-Winter:</v>
      </c>
      <c r="B1666" s="2410" t="s">
        <v>7558</v>
      </c>
      <c r="C1666" s="2410" t="s">
        <v>4935</v>
      </c>
      <c r="D1666" s="2424" t="s">
        <v>9093</v>
      </c>
    </row>
    <row r="1667" spans="1:4" ht="12.75" customHeight="1">
      <c r="A1667" s="2410" t="str">
        <f t="shared" si="31"/>
        <v>Aufstallungssystem 1</v>
      </c>
      <c r="B1667" s="2410" t="s">
        <v>2399</v>
      </c>
      <c r="C1667" s="2410" t="s">
        <v>49</v>
      </c>
      <c r="D1667" s="2424" t="s">
        <v>8978</v>
      </c>
    </row>
    <row r="1668" spans="1:4" ht="12.75" customHeight="1">
      <c r="A1668" s="2410" t="str">
        <f t="shared" si="31"/>
        <v>Aufstallungssystem 2</v>
      </c>
      <c r="B1668" s="2410" t="s">
        <v>5891</v>
      </c>
      <c r="C1668" s="2410" t="s">
        <v>3887</v>
      </c>
      <c r="D1668" s="2424" t="s">
        <v>8990</v>
      </c>
    </row>
    <row r="1669" spans="1:4" ht="12.75" customHeight="1">
      <c r="A1669" s="2410" t="str">
        <f t="shared" si="31"/>
        <v>Nährstoffmenge total in kg</v>
      </c>
      <c r="B1669" s="2410" t="s">
        <v>7559</v>
      </c>
      <c r="C1669" s="2410" t="s">
        <v>7242</v>
      </c>
      <c r="D1669" s="2424" t="s">
        <v>9094</v>
      </c>
    </row>
    <row r="1670" spans="1:4" ht="12.75" customHeight="1">
      <c r="A1670" s="2410" t="str">
        <f t="shared" si="31"/>
        <v>Gülleanfall total (unverdünnt) in m³</v>
      </c>
      <c r="B1670" s="2410" t="s">
        <v>6272</v>
      </c>
      <c r="C1670" s="2410" t="s">
        <v>3245</v>
      </c>
      <c r="D1670" s="2424" t="s">
        <v>9095</v>
      </c>
    </row>
    <row r="1671" spans="1:4" ht="12.75" customHeight="1">
      <c r="A1671" s="2410" t="str">
        <f t="shared" si="31"/>
        <v>Wasserzufluss Tierhaltung</v>
      </c>
      <c r="B1671" s="2410" t="s">
        <v>7560</v>
      </c>
      <c r="C1671" s="2410" t="s">
        <v>6038</v>
      </c>
      <c r="D1671" s="2424" t="s">
        <v>9096</v>
      </c>
    </row>
    <row r="1672" spans="1:4" ht="12.75" customHeight="1">
      <c r="A1672" s="2410" t="str">
        <f t="shared" si="31"/>
        <v>Wasserzufluss gemäss Formular B in m³</v>
      </c>
      <c r="B1672" s="2410" t="s">
        <v>4053</v>
      </c>
      <c r="C1672" s="2410" t="s">
        <v>4054</v>
      </c>
      <c r="D1672" s="2424" t="s">
        <v>9097</v>
      </c>
    </row>
    <row r="1673" spans="1:4" ht="12.75" customHeight="1">
      <c r="A1673" s="2410" t="str">
        <f t="shared" si="31"/>
        <v>Freie Korrektur</v>
      </c>
      <c r="B1673" s="2410" t="s">
        <v>369</v>
      </c>
      <c r="C1673" s="2410" t="s">
        <v>3888</v>
      </c>
      <c r="D1673" s="2424" t="s">
        <v>9098</v>
      </c>
    </row>
    <row r="1674" spans="1:4" ht="12.75" customHeight="1">
      <c r="A1674" s="2410" t="str">
        <f t="shared" si="31"/>
        <v>Güllemenge total verdünnt in m³</v>
      </c>
      <c r="B1674" s="2410" t="s">
        <v>5383</v>
      </c>
      <c r="C1674" s="2410" t="s">
        <v>2669</v>
      </c>
      <c r="D1674" s="2424" t="s">
        <v>9099</v>
      </c>
    </row>
    <row r="1675" spans="1:4" ht="12.75" customHeight="1">
      <c r="A1675" s="2410" t="str">
        <f t="shared" si="31"/>
        <v>Gehalt der verdünnten Mischgülle</v>
      </c>
      <c r="B1675" s="2410" t="s">
        <v>368</v>
      </c>
      <c r="C1675" s="2410" t="s">
        <v>4033</v>
      </c>
      <c r="D1675" s="2424" t="s">
        <v>9100</v>
      </c>
    </row>
    <row r="1676" spans="1:4" ht="12.75" customHeight="1">
      <c r="A1676" s="2410" t="str">
        <f t="shared" si="31"/>
        <v>in kg je m³</v>
      </c>
      <c r="B1676" s="2410" t="s">
        <v>2670</v>
      </c>
      <c r="C1676" s="2410" t="s">
        <v>2671</v>
      </c>
      <c r="D1676" s="2424" t="s">
        <v>9101</v>
      </c>
    </row>
    <row r="1677" spans="1:4" ht="12.75" customHeight="1">
      <c r="A1677" s="2410" t="str">
        <f t="shared" si="31"/>
        <v>Güllegrube 2</v>
      </c>
      <c r="B1677" s="2410" t="s">
        <v>113</v>
      </c>
      <c r="C1677" s="2410" t="s">
        <v>4034</v>
      </c>
      <c r="D1677" s="2424" t="s">
        <v>9102</v>
      </c>
    </row>
    <row r="1678" spans="1:4" ht="12.75" customHeight="1">
      <c r="A1678" s="2410" t="str">
        <f t="shared" si="31"/>
        <v>Wasser</v>
      </c>
      <c r="B1678" s="2410" t="s">
        <v>3772</v>
      </c>
      <c r="C1678" s="2410" t="s">
        <v>1286</v>
      </c>
      <c r="D1678" s="2424" t="s">
        <v>9088</v>
      </c>
    </row>
    <row r="1679" spans="1:4" ht="12.75" customHeight="1">
      <c r="A1679" s="2410" t="str">
        <f t="shared" si="31"/>
        <v>Güllegrube 3</v>
      </c>
      <c r="B1679" s="2410" t="s">
        <v>114</v>
      </c>
      <c r="C1679" s="2410" t="s">
        <v>4035</v>
      </c>
      <c r="D1679" s="2424" t="s">
        <v>9103</v>
      </c>
    </row>
    <row r="1680" spans="1:4" ht="12.75" customHeight="1">
      <c r="A1680" s="2410" t="str">
        <f t="shared" si="31"/>
        <v>Mistplatz 1</v>
      </c>
      <c r="B1680" s="2410" t="s">
        <v>3434</v>
      </c>
      <c r="C1680" s="2410" t="s">
        <v>2582</v>
      </c>
      <c r="D1680" s="2424" t="s">
        <v>9104</v>
      </c>
    </row>
    <row r="1681" spans="1:4" ht="12.75" customHeight="1">
      <c r="A1681" s="2410" t="str">
        <f t="shared" si="31"/>
        <v>Mistanf.</v>
      </c>
      <c r="B1681" s="2410" t="s">
        <v>3435</v>
      </c>
      <c r="C1681" s="2410" t="s">
        <v>193</v>
      </c>
      <c r="D1681" s="2424" t="s">
        <v>2273</v>
      </c>
    </row>
    <row r="1682" spans="1:4" ht="12.75" customHeight="1">
      <c r="A1682" s="2410" t="str">
        <f t="shared" si="31"/>
        <v>pro</v>
      </c>
      <c r="B1682" s="2410" t="s">
        <v>5303</v>
      </c>
      <c r="C1682" s="2410" t="s">
        <v>6921</v>
      </c>
      <c r="D1682" s="2424" t="s">
        <v>9072</v>
      </c>
    </row>
    <row r="1683" spans="1:4" ht="12.75" customHeight="1">
      <c r="A1683" s="2410" t="str">
        <f t="shared" si="31"/>
        <v>Einheit</v>
      </c>
      <c r="B1683" s="2410" t="s">
        <v>6392</v>
      </c>
      <c r="C1683" s="2410" t="s">
        <v>3980</v>
      </c>
      <c r="D1683" s="2424" t="s">
        <v>1610</v>
      </c>
    </row>
    <row r="1684" spans="1:4" ht="12.75" customHeight="1">
      <c r="A1684" s="2410" t="str">
        <f t="shared" si="31"/>
        <v>pro Mt.</v>
      </c>
      <c r="B1684" s="2410" t="s">
        <v>3082</v>
      </c>
      <c r="C1684" s="2410" t="s">
        <v>4128</v>
      </c>
      <c r="D1684" s="2424" t="s">
        <v>9074</v>
      </c>
    </row>
    <row r="1685" spans="1:4" ht="12.75" customHeight="1">
      <c r="A1685" s="2410" t="str">
        <f t="shared" si="31"/>
        <v>Mistanfall</v>
      </c>
      <c r="B1685" s="2410" t="s">
        <v>5843</v>
      </c>
      <c r="C1685" s="2410" t="s">
        <v>2583</v>
      </c>
      <c r="D1685" s="2424" t="s">
        <v>9083</v>
      </c>
    </row>
    <row r="1686" spans="1:4" ht="12.75" customHeight="1">
      <c r="A1686" s="2410" t="str">
        <f t="shared" si="31"/>
        <v>total</v>
      </c>
      <c r="B1686" s="2410" t="s">
        <v>4333</v>
      </c>
      <c r="C1686" s="2410" t="s">
        <v>4333</v>
      </c>
      <c r="D1686" s="2424" t="s">
        <v>6340</v>
      </c>
    </row>
    <row r="1687" spans="1:4" ht="12.75" customHeight="1">
      <c r="A1687" s="2410" t="str">
        <f t="shared" si="31"/>
        <v>in</v>
      </c>
      <c r="B1687" s="2410" t="s">
        <v>7539</v>
      </c>
      <c r="C1687" s="2410" t="s">
        <v>5174</v>
      </c>
      <c r="D1687" s="2424" t="s">
        <v>7539</v>
      </c>
    </row>
    <row r="1688" spans="1:4" ht="12.75" customHeight="1">
      <c r="A1688" s="2410" t="str">
        <f t="shared" si="31"/>
        <v>Gehalte in kg je t Mist</v>
      </c>
      <c r="B1688" s="2410" t="s">
        <v>5844</v>
      </c>
      <c r="C1688" s="2410" t="s">
        <v>6428</v>
      </c>
      <c r="D1688" s="2424" t="s">
        <v>9105</v>
      </c>
    </row>
    <row r="1689" spans="1:4" ht="12.75" customHeight="1">
      <c r="A1689" s="2410" t="str">
        <f t="shared" si="31"/>
        <v>Nährstoffanfall im Mist</v>
      </c>
      <c r="B1689" s="2410" t="s">
        <v>4344</v>
      </c>
      <c r="C1689" s="2410" t="s">
        <v>6427</v>
      </c>
      <c r="D1689" s="2424" t="s">
        <v>9106</v>
      </c>
    </row>
    <row r="1690" spans="1:4" ht="12.75" customHeight="1">
      <c r="A1690" s="2410" t="str">
        <f t="shared" si="31"/>
        <v>Mistmenge total in t</v>
      </c>
      <c r="B1690" s="2410" t="s">
        <v>4345</v>
      </c>
      <c r="C1690" s="2410" t="s">
        <v>6430</v>
      </c>
      <c r="D1690" s="2424" t="s">
        <v>9107</v>
      </c>
    </row>
    <row r="1691" spans="1:4" ht="12.75" customHeight="1">
      <c r="A1691" s="2410" t="str">
        <f t="shared" si="31"/>
        <v>Zufuhr von Futterresten in t</v>
      </c>
      <c r="B1691" s="2410" t="s">
        <v>2136</v>
      </c>
      <c r="C1691" s="2410" t="s">
        <v>1630</v>
      </c>
      <c r="D1691" s="2424" t="s">
        <v>9108</v>
      </c>
    </row>
    <row r="1692" spans="1:4" ht="12.75" customHeight="1">
      <c r="A1692" s="2410" t="str">
        <f t="shared" si="31"/>
        <v>Freie Korrektur</v>
      </c>
      <c r="B1692" s="2410" t="s">
        <v>369</v>
      </c>
      <c r="C1692" s="2410" t="s">
        <v>3888</v>
      </c>
      <c r="D1692" s="2424" t="s">
        <v>9098</v>
      </c>
    </row>
    <row r="1693" spans="1:4" ht="12.75" customHeight="1">
      <c r="A1693" s="2410" t="str">
        <f t="shared" si="31"/>
        <v>Mistmenge total inkl. Futterresten in t</v>
      </c>
      <c r="B1693" s="2410" t="s">
        <v>2139</v>
      </c>
      <c r="C1693" s="2410" t="s">
        <v>1629</v>
      </c>
      <c r="D1693" s="2424" t="s">
        <v>9109</v>
      </c>
    </row>
    <row r="1694" spans="1:4" ht="12.75" customHeight="1">
      <c r="A1694" s="2410" t="str">
        <f t="shared" si="31"/>
        <v>Gehalt des gemischten Mistes</v>
      </c>
      <c r="B1694" s="2410" t="s">
        <v>2137</v>
      </c>
      <c r="C1694" s="2410" t="s">
        <v>1627</v>
      </c>
      <c r="D1694" s="2424" t="s">
        <v>9110</v>
      </c>
    </row>
    <row r="1695" spans="1:4" ht="12.75" customHeight="1">
      <c r="A1695" s="2410" t="str">
        <f t="shared" si="31"/>
        <v>in kg je t</v>
      </c>
      <c r="B1695" s="2410" t="s">
        <v>2138</v>
      </c>
      <c r="C1695" s="2410" t="s">
        <v>1628</v>
      </c>
      <c r="D1695" s="2424" t="s">
        <v>9111</v>
      </c>
    </row>
    <row r="1696" spans="1:4" ht="12.75" customHeight="1">
      <c r="A1696" s="2410" t="str">
        <f t="shared" si="31"/>
        <v>Mistplatz 2</v>
      </c>
      <c r="B1696" s="2410" t="s">
        <v>2140</v>
      </c>
      <c r="C1696" s="2410" t="s">
        <v>6429</v>
      </c>
      <c r="D1696" s="2424" t="s">
        <v>9112</v>
      </c>
    </row>
    <row r="1697" spans="1:5" ht="12.75" customHeight="1">
      <c r="A1697" s="2410">
        <f t="shared" si="31"/>
        <v>0</v>
      </c>
      <c r="B1697" s="2410"/>
      <c r="C1697" s="2410"/>
      <c r="D1697" s="2414"/>
    </row>
    <row r="1698" spans="1:5" ht="12.75" customHeight="1">
      <c r="A1698" s="2410" t="str">
        <f t="shared" si="31"/>
        <v>Durchschnitlliche Parzellengrösse:</v>
      </c>
      <c r="B1698" s="2410" t="s">
        <v>7251</v>
      </c>
      <c r="C1698" s="2410" t="s">
        <v>6360</v>
      </c>
      <c r="D1698" s="2414" t="s">
        <v>5876</v>
      </c>
    </row>
    <row r="1699" spans="1:5" ht="12.75" customHeight="1">
      <c r="A1699" s="2410" t="str">
        <f t="shared" si="31"/>
        <v xml:space="preserve"> - im Ackerbau</v>
      </c>
      <c r="B1699" s="2410" t="s">
        <v>7252</v>
      </c>
      <c r="C1699" s="2410" t="s">
        <v>6361</v>
      </c>
      <c r="D1699" s="2414" t="s">
        <v>9113</v>
      </c>
      <c r="E1699" s="2428"/>
    </row>
    <row r="1700" spans="1:5" ht="12.75" customHeight="1">
      <c r="A1700" s="2410" t="str">
        <f t="shared" si="31"/>
        <v xml:space="preserve"> - im Futterbau</v>
      </c>
      <c r="B1700" s="2410" t="s">
        <v>7263</v>
      </c>
      <c r="C1700" s="2410" t="s">
        <v>5048</v>
      </c>
      <c r="D1700" s="2414" t="s">
        <v>9114</v>
      </c>
      <c r="E1700" s="2428"/>
    </row>
    <row r="1701" spans="1:5" ht="12.75" customHeight="1">
      <c r="A1701" s="2410" t="str">
        <f t="shared" si="31"/>
        <v>Tabelle aktualisieren</v>
      </c>
      <c r="B1701" s="2410" t="s">
        <v>3780</v>
      </c>
      <c r="C1701" s="2410" t="s">
        <v>6290</v>
      </c>
      <c r="D1701" s="2414" t="s">
        <v>8875</v>
      </c>
    </row>
    <row r="1702" spans="1:5" ht="12.75" customHeight="1">
      <c r="A1702" s="2410" t="str">
        <f t="shared" si="31"/>
        <v>AKh- und Th-Bedarf</v>
      </c>
      <c r="B1702" s="2410" t="s">
        <v>99</v>
      </c>
      <c r="C1702" s="2410" t="s">
        <v>920</v>
      </c>
      <c r="D1702" s="2414" t="s">
        <v>9115</v>
      </c>
    </row>
    <row r="1703" spans="1:5" ht="12.75" customHeight="1">
      <c r="A1703" s="2410" t="str">
        <f t="shared" si="31"/>
        <v>Betrieb, Nebenerwerb</v>
      </c>
      <c r="B1703" s="2410" t="s">
        <v>11327</v>
      </c>
      <c r="C1703" s="2410" t="s">
        <v>11328</v>
      </c>
      <c r="D1703" s="2414" t="s">
        <v>11329</v>
      </c>
    </row>
    <row r="1704" spans="1:5" ht="12.75" customHeight="1">
      <c r="A1704" s="2410" t="str">
        <f t="shared" si="31"/>
        <v>AKh für alle Arbeiten</v>
      </c>
      <c r="B1704" s="2410" t="s">
        <v>4941</v>
      </c>
      <c r="C1704" s="2410" t="s">
        <v>7438</v>
      </c>
      <c r="D1704" s="2414" t="s">
        <v>9116</v>
      </c>
    </row>
    <row r="1705" spans="1:5" ht="12.75" customHeight="1">
      <c r="A1705" s="2410">
        <f t="shared" si="31"/>
        <v>0</v>
      </c>
      <c r="B1705" s="2410"/>
      <c r="C1705" s="2410" t="s">
        <v>7439</v>
      </c>
      <c r="D1705" s="2414" t="s">
        <v>9117</v>
      </c>
    </row>
    <row r="1706" spans="1:5" ht="12.75" customHeight="1">
      <c r="A1706" s="2410" t="str">
        <f t="shared" si="31"/>
        <v>davon Betriebs-</v>
      </c>
      <c r="B1706" s="2410" t="s">
        <v>3045</v>
      </c>
      <c r="C1706" s="2410" t="s">
        <v>1717</v>
      </c>
      <c r="D1706" s="2414" t="s">
        <v>9118</v>
      </c>
    </row>
    <row r="1707" spans="1:5" ht="12.75" customHeight="1">
      <c r="A1707" s="2410" t="str">
        <f t="shared" si="31"/>
        <v>führungs- und</v>
      </c>
      <c r="B1707" s="2410" t="s">
        <v>177</v>
      </c>
      <c r="C1707" s="2410" t="s">
        <v>1718</v>
      </c>
      <c r="D1707" s="2414" t="s">
        <v>9119</v>
      </c>
    </row>
    <row r="1708" spans="1:5" ht="12.75" customHeight="1">
      <c r="A1708" s="2410" t="str">
        <f t="shared" si="31"/>
        <v>Sonderarbeiten</v>
      </c>
      <c r="B1708" s="2410" t="s">
        <v>5515</v>
      </c>
      <c r="C1708" s="2410" t="s">
        <v>3736</v>
      </c>
      <c r="D1708" s="2414" t="s">
        <v>9120</v>
      </c>
    </row>
    <row r="1709" spans="1:5" ht="12.75" customHeight="1">
      <c r="A1709" s="2410" t="str">
        <f t="shared" si="31"/>
        <v>Traktorstunden (Th)</v>
      </c>
      <c r="B1709" s="2410" t="s">
        <v>102</v>
      </c>
      <c r="C1709" s="2410" t="s">
        <v>4064</v>
      </c>
      <c r="D1709" s="2414" t="s">
        <v>9121</v>
      </c>
    </row>
    <row r="1710" spans="1:5" ht="12.75" customHeight="1">
      <c r="A1710" s="2410" t="str">
        <f t="shared" si="31"/>
        <v>Betriebszweig</v>
      </c>
      <c r="B1710" s="2410" t="s">
        <v>103</v>
      </c>
      <c r="C1710" s="2410" t="s">
        <v>7440</v>
      </c>
      <c r="D1710" s="2414" t="s">
        <v>3819</v>
      </c>
    </row>
    <row r="1711" spans="1:5" ht="12.75" customHeight="1">
      <c r="A1711" s="2410" t="str">
        <f t="shared" si="31"/>
        <v>Mechanisierungs-</v>
      </c>
      <c r="B1711" s="2410" t="s">
        <v>176</v>
      </c>
      <c r="C1711" s="2410" t="s">
        <v>7260</v>
      </c>
      <c r="D1711" s="2414" t="s">
        <v>9122</v>
      </c>
    </row>
    <row r="1712" spans="1:5" ht="12.75" customHeight="1">
      <c r="A1712" s="2410" t="str">
        <f t="shared" si="31"/>
        <v>stufe</v>
      </c>
      <c r="B1712" s="2410" t="s">
        <v>178</v>
      </c>
      <c r="C1712" s="2410" t="s">
        <v>7261</v>
      </c>
      <c r="D1712" s="2414" t="s">
        <v>5877</v>
      </c>
    </row>
    <row r="1713" spans="1:4" ht="12.75" customHeight="1">
      <c r="A1713" s="2410" t="str">
        <f t="shared" si="31"/>
        <v>Anzahl</v>
      </c>
      <c r="B1713" s="2410" t="s">
        <v>7044</v>
      </c>
      <c r="C1713" s="2410" t="s">
        <v>5260</v>
      </c>
      <c r="D1713" s="2414" t="s">
        <v>3773</v>
      </c>
    </row>
    <row r="1714" spans="1:4" ht="12.75" customHeight="1">
      <c r="A1714" s="2410" t="str">
        <f t="shared" si="31"/>
        <v>Einheit</v>
      </c>
      <c r="B1714" s="2410" t="s">
        <v>6392</v>
      </c>
      <c r="C1714" s="2410" t="s">
        <v>6215</v>
      </c>
      <c r="D1714" s="2414" t="s">
        <v>1418</v>
      </c>
    </row>
    <row r="1715" spans="1:4" ht="12.75" customHeight="1">
      <c r="A1715" s="2410" t="str">
        <f t="shared" si="31"/>
        <v>pro Einheit</v>
      </c>
      <c r="B1715" s="2410" t="s">
        <v>6718</v>
      </c>
      <c r="C1715" s="2410" t="s">
        <v>7262</v>
      </c>
      <c r="D1715" s="2414" t="s">
        <v>2333</v>
      </c>
    </row>
    <row r="1716" spans="1:4" ht="12.75" customHeight="1">
      <c r="A1716" s="2410" t="str">
        <f t="shared" si="31"/>
        <v>total</v>
      </c>
      <c r="B1716" s="2410" t="s">
        <v>4333</v>
      </c>
      <c r="C1716" s="2410" t="s">
        <v>4333</v>
      </c>
      <c r="D1716" s="2414" t="s">
        <v>6340</v>
      </c>
    </row>
    <row r="1717" spans="1:4" ht="12.75" customHeight="1">
      <c r="A1717" s="2410" t="str">
        <f t="shared" ref="A1717:A1783" si="32">IF($A$2=1,B1717,IF($A$2=2,C1717,IF($A$2=3,IF(D1717="",C1717,D1717),"")))</f>
        <v>Nicht zuteilbare Betriebsführungsarbeit je Betrieb</v>
      </c>
      <c r="B1717" s="2410" t="s">
        <v>5102</v>
      </c>
      <c r="C1717" s="2410" t="s">
        <v>5566</v>
      </c>
      <c r="D1717" s="2414" t="s">
        <v>9123</v>
      </c>
    </row>
    <row r="1718" spans="1:4" ht="12.75" customHeight="1">
      <c r="A1718" s="2410" t="str">
        <f t="shared" si="32"/>
        <v>Total</v>
      </c>
      <c r="B1718" s="2410" t="s">
        <v>4802</v>
      </c>
      <c r="C1718" s="2410" t="s">
        <v>4802</v>
      </c>
      <c r="D1718" s="2414" t="s">
        <v>8612</v>
      </c>
    </row>
    <row r="1719" spans="1:4" ht="12.75" customHeight="1">
      <c r="A1719" s="2410" t="str">
        <f t="shared" si="32"/>
        <v>Haushalt</v>
      </c>
      <c r="B1719" s="2410" t="s">
        <v>5103</v>
      </c>
      <c r="C1719" s="2410" t="s">
        <v>5567</v>
      </c>
      <c r="D1719" s="2414" t="s">
        <v>3995</v>
      </c>
    </row>
    <row r="1720" spans="1:4" ht="12.75" customHeight="1">
      <c r="A1720" s="2410" t="str">
        <f t="shared" si="32"/>
        <v>Hausarbeit</v>
      </c>
      <c r="B1720" s="2410" t="s">
        <v>147</v>
      </c>
      <c r="C1720" s="2410" t="s">
        <v>5568</v>
      </c>
      <c r="D1720" s="2414" t="s">
        <v>9124</v>
      </c>
    </row>
    <row r="1721" spans="1:4" ht="12.75" customHeight="1">
      <c r="A1721" s="2410" t="str">
        <f t="shared" si="32"/>
        <v>Kinderbetreuung</v>
      </c>
      <c r="B1721" s="2410" t="s">
        <v>148</v>
      </c>
      <c r="C1721" s="2410" t="s">
        <v>5569</v>
      </c>
      <c r="D1721" s="2414" t="s">
        <v>9125</v>
      </c>
    </row>
    <row r="1722" spans="1:4" ht="12.75" customHeight="1">
      <c r="A1722" s="2410" t="str">
        <f t="shared" si="32"/>
        <v>Besondere Pflegeleistungen</v>
      </c>
      <c r="B1722" s="2410" t="s">
        <v>149</v>
      </c>
      <c r="C1722" s="2410" t="s">
        <v>3278</v>
      </c>
      <c r="D1722" s="2414" t="s">
        <v>3996</v>
      </c>
    </row>
    <row r="1723" spans="1:4" ht="12.75" customHeight="1">
      <c r="A1723" s="2410" t="str">
        <f t="shared" si="32"/>
        <v>AKh-Angebot: Reserve oder Manko</v>
      </c>
      <c r="B1723" s="2641" t="s">
        <v>11819</v>
      </c>
      <c r="C1723" s="2641" t="s">
        <v>11818</v>
      </c>
      <c r="D1723" s="2642" t="s">
        <v>11817</v>
      </c>
    </row>
    <row r="1724" spans="1:4" ht="12.75" customHeight="1">
      <c r="A1724" s="2410" t="str">
        <f t="shared" si="32"/>
        <v>davon Betrieb, Nebenerwerb</v>
      </c>
      <c r="B1724" s="2641" t="s">
        <v>11806</v>
      </c>
      <c r="C1724" s="2641" t="s">
        <v>11807</v>
      </c>
      <c r="D1724" s="2642" t="s">
        <v>11808</v>
      </c>
    </row>
    <row r="1725" spans="1:4" ht="12.75" customHeight="1">
      <c r="A1725" s="2410" t="str">
        <f t="shared" si="32"/>
        <v>davon Haushalt</v>
      </c>
      <c r="B1725" s="2410" t="s">
        <v>3918</v>
      </c>
      <c r="C1725" s="2410" t="s">
        <v>5789</v>
      </c>
      <c r="D1725" s="2414" t="s">
        <v>9126</v>
      </c>
    </row>
    <row r="1726" spans="1:4" ht="12.75" customHeight="1">
      <c r="A1726" s="2410" t="str">
        <f t="shared" si="32"/>
        <v>Arbeitskräfte</v>
      </c>
      <c r="B1726" s="2410" t="s">
        <v>3919</v>
      </c>
      <c r="C1726" s="2410" t="s">
        <v>4952</v>
      </c>
      <c r="D1726" s="2414" t="s">
        <v>9127</v>
      </c>
    </row>
    <row r="1727" spans="1:4" ht="12.75" customHeight="1">
      <c r="A1727" s="2410" t="str">
        <f t="shared" si="32"/>
        <v>Faktor</v>
      </c>
      <c r="B1727" s="2410" t="s">
        <v>1339</v>
      </c>
      <c r="C1727" s="2410" t="s">
        <v>3981</v>
      </c>
      <c r="D1727" s="2414" t="s">
        <v>9128</v>
      </c>
    </row>
    <row r="1728" spans="1:4" ht="12.75" customHeight="1">
      <c r="A1728" s="2410" t="str">
        <f t="shared" si="32"/>
        <v>AT pro</v>
      </c>
      <c r="B1728" s="2641" t="s">
        <v>11812</v>
      </c>
      <c r="C1728" s="2641" t="s">
        <v>11814</v>
      </c>
      <c r="D1728" s="2642" t="s">
        <v>11811</v>
      </c>
    </row>
    <row r="1729" spans="1:4" ht="12.75" customHeight="1">
      <c r="A1729" s="2410" t="str">
        <f t="shared" si="32"/>
        <v>Jahr</v>
      </c>
      <c r="B1729" s="2641" t="s">
        <v>6093</v>
      </c>
      <c r="C1729" s="2641" t="s">
        <v>132</v>
      </c>
      <c r="D1729" s="2642" t="s">
        <v>11813</v>
      </c>
    </row>
    <row r="1730" spans="1:4" ht="12.75" customHeight="1">
      <c r="A1730" s="2410" t="str">
        <f t="shared" si="32"/>
        <v>h pro</v>
      </c>
      <c r="B1730" s="2641" t="s">
        <v>11040</v>
      </c>
      <c r="C1730" s="2641" t="s">
        <v>11815</v>
      </c>
      <c r="D1730" s="2642" t="s">
        <v>11039</v>
      </c>
    </row>
    <row r="1731" spans="1:4" ht="12.75" customHeight="1">
      <c r="A1731" s="2410" t="str">
        <f t="shared" si="32"/>
        <v>AT</v>
      </c>
      <c r="B1731" s="2641" t="s">
        <v>11810</v>
      </c>
      <c r="C1731" s="2641" t="s">
        <v>11809</v>
      </c>
      <c r="D1731" s="2642" t="s">
        <v>11811</v>
      </c>
    </row>
    <row r="1732" spans="1:4" ht="12.75" customHeight="1">
      <c r="A1732" s="2410" t="str">
        <f t="shared" si="32"/>
        <v>AKh pro</v>
      </c>
      <c r="B1732" s="2641" t="s">
        <v>11816</v>
      </c>
      <c r="C1732" s="2641" t="s">
        <v>6518</v>
      </c>
      <c r="D1732" s="2642" t="s">
        <v>8447</v>
      </c>
    </row>
    <row r="1733" spans="1:4" ht="12.75" customHeight="1">
      <c r="A1733" s="2410" t="str">
        <f t="shared" si="32"/>
        <v>Jahr</v>
      </c>
      <c r="B1733" s="2641" t="s">
        <v>6093</v>
      </c>
      <c r="C1733" s="2641" t="s">
        <v>4958</v>
      </c>
      <c r="D1733" s="2642" t="s">
        <v>11813</v>
      </c>
    </row>
    <row r="1734" spans="1:4" ht="12.75" customHeight="1">
      <c r="A1734" s="2410" t="str">
        <f t="shared" si="32"/>
        <v>keine</v>
      </c>
      <c r="B1734" s="2410" t="s">
        <v>7267</v>
      </c>
      <c r="C1734" s="2410" t="s">
        <v>1485</v>
      </c>
      <c r="D1734" s="2414" t="s">
        <v>3997</v>
      </c>
    </row>
    <row r="1735" spans="1:4" ht="12.75" customHeight="1">
      <c r="A1735" s="2410" t="str">
        <f t="shared" si="32"/>
        <v>Total AKh-Angebot pro Jahr</v>
      </c>
      <c r="B1735" s="2410" t="s">
        <v>3920</v>
      </c>
      <c r="C1735" s="2410" t="s">
        <v>7042</v>
      </c>
      <c r="D1735" s="2414" t="s">
        <v>9129</v>
      </c>
    </row>
    <row r="1736" spans="1:4" ht="12.75" customHeight="1">
      <c r="A1736" s="2410" t="str">
        <f t="shared" si="32"/>
        <v>Total AKh-Bedarf</v>
      </c>
      <c r="B1736" s="2410" t="s">
        <v>3921</v>
      </c>
      <c r="C1736" s="2410" t="s">
        <v>1289</v>
      </c>
      <c r="D1736" s="2414" t="s">
        <v>9130</v>
      </c>
    </row>
    <row r="1737" spans="1:4" ht="12.75" customHeight="1">
      <c r="A1737" s="2410" t="str">
        <f t="shared" si="32"/>
        <v>Reserve (+), Manko (-)</v>
      </c>
      <c r="B1737" s="2410" t="s">
        <v>11548</v>
      </c>
      <c r="C1737" s="2410" t="s">
        <v>11549</v>
      </c>
      <c r="D1737" s="2414" t="s">
        <v>11550</v>
      </c>
    </row>
    <row r="1738" spans="1:4" ht="12.75" customHeight="1">
      <c r="A1738" s="2410">
        <f t="shared" si="32"/>
        <v>0</v>
      </c>
      <c r="B1738" s="2410"/>
      <c r="C1738" s="2410"/>
      <c r="D1738" s="2414"/>
    </row>
    <row r="1739" spans="1:4" ht="12.75" customHeight="1">
      <c r="A1739" s="2410" t="str">
        <f t="shared" si="32"/>
        <v>Maschinen und Geräte</v>
      </c>
      <c r="B1739" s="2410" t="s">
        <v>7970</v>
      </c>
      <c r="C1739" s="2410" t="s">
        <v>7101</v>
      </c>
      <c r="D1739" s="2414" t="s">
        <v>7545</v>
      </c>
    </row>
    <row r="1740" spans="1:4" ht="12.75" customHeight="1">
      <c r="A1740" s="2410" t="str">
        <f t="shared" si="32"/>
        <v>Bau-</v>
      </c>
      <c r="B1740" s="2410" t="s">
        <v>268</v>
      </c>
      <c r="C1740" s="2410" t="s">
        <v>6746</v>
      </c>
      <c r="D1740" s="2414" t="s">
        <v>9131</v>
      </c>
    </row>
    <row r="1741" spans="1:4" ht="12.75" customHeight="1">
      <c r="A1741" s="2410" t="str">
        <f t="shared" si="32"/>
        <v>jahr</v>
      </c>
      <c r="B1741" s="2410" t="s">
        <v>2185</v>
      </c>
      <c r="C1741" s="2410" t="s">
        <v>6747</v>
      </c>
      <c r="D1741" s="2414" t="s">
        <v>9132</v>
      </c>
    </row>
    <row r="1742" spans="1:4" ht="12.75" customHeight="1">
      <c r="A1742" s="2410" t="str">
        <f t="shared" si="32"/>
        <v>Kauf-</v>
      </c>
      <c r="B1742" s="2410" t="s">
        <v>269</v>
      </c>
      <c r="C1742" s="2410" t="s">
        <v>7102</v>
      </c>
      <c r="D1742" s="2414" t="s">
        <v>9131</v>
      </c>
    </row>
    <row r="1743" spans="1:4" ht="12.75" customHeight="1">
      <c r="A1743" s="2410" t="str">
        <f t="shared" si="32"/>
        <v>jahr</v>
      </c>
      <c r="B1743" s="2410" t="s">
        <v>2185</v>
      </c>
      <c r="C1743" s="2410" t="s">
        <v>6748</v>
      </c>
      <c r="D1743" s="2414" t="s">
        <v>9133</v>
      </c>
    </row>
    <row r="1744" spans="1:4" ht="12.75" customHeight="1">
      <c r="A1744" s="2410" t="str">
        <f t="shared" si="32"/>
        <v>Anteil</v>
      </c>
      <c r="B1744" s="2410" t="s">
        <v>270</v>
      </c>
      <c r="C1744" s="2410" t="s">
        <v>6749</v>
      </c>
      <c r="D1744" s="2414" t="s">
        <v>9134</v>
      </c>
    </row>
    <row r="1745" spans="1:4" ht="12.75" customHeight="1">
      <c r="A1745" s="2410" t="str">
        <f t="shared" si="32"/>
        <v>Eigentum</v>
      </c>
      <c r="B1745" s="2410" t="s">
        <v>440</v>
      </c>
      <c r="C1745" s="2410" t="s">
        <v>6750</v>
      </c>
      <c r="D1745" s="2414" t="s">
        <v>2595</v>
      </c>
    </row>
    <row r="1746" spans="1:4" ht="12.75" customHeight="1">
      <c r="A1746" s="2410" t="str">
        <f t="shared" si="32"/>
        <v>Anschaffungs-</v>
      </c>
      <c r="B1746" s="2410" t="s">
        <v>271</v>
      </c>
      <c r="C1746" s="2410" t="s">
        <v>6751</v>
      </c>
      <c r="D1746" s="2414" t="s">
        <v>9135</v>
      </c>
    </row>
    <row r="1747" spans="1:4" ht="12.75" customHeight="1">
      <c r="A1747" s="2410" t="str">
        <f t="shared" si="32"/>
        <v>preis</v>
      </c>
      <c r="B1747" s="2410" t="s">
        <v>4469</v>
      </c>
      <c r="C1747" s="2410" t="s">
        <v>6748</v>
      </c>
      <c r="D1747" s="2414" t="s">
        <v>9133</v>
      </c>
    </row>
    <row r="1748" spans="1:4" ht="12.75" customHeight="1">
      <c r="A1748" s="2410" t="str">
        <f t="shared" si="32"/>
        <v>WBW*</v>
      </c>
      <c r="B1748" s="2410" t="s">
        <v>272</v>
      </c>
      <c r="C1748" s="2410" t="s">
        <v>6752</v>
      </c>
      <c r="D1748" s="2414" t="s">
        <v>9136</v>
      </c>
    </row>
    <row r="1749" spans="1:4" ht="12.75" customHeight="1">
      <c r="A1749" s="2410" t="str">
        <f t="shared" si="32"/>
        <v>Ersatz</v>
      </c>
      <c r="B1749" s="2410" t="s">
        <v>2182</v>
      </c>
      <c r="C1749" s="2410" t="s">
        <v>6753</v>
      </c>
      <c r="D1749" s="2414" t="s">
        <v>9137</v>
      </c>
    </row>
    <row r="1750" spans="1:4" ht="12.75" customHeight="1">
      <c r="A1750" s="2410" t="str">
        <f t="shared" si="32"/>
        <v>innert 6 J.</v>
      </c>
      <c r="B1750" s="2410" t="s">
        <v>4470</v>
      </c>
      <c r="C1750" s="2410" t="s">
        <v>6754</v>
      </c>
      <c r="D1750" s="2414" t="s">
        <v>9138</v>
      </c>
    </row>
    <row r="1751" spans="1:4" ht="12.75" customHeight="1">
      <c r="A1751" s="2410" t="str">
        <f t="shared" si="32"/>
        <v>CHF</v>
      </c>
      <c r="B1751" s="2410" t="s">
        <v>680</v>
      </c>
      <c r="C1751" s="2410" t="s">
        <v>1679</v>
      </c>
      <c r="D1751" s="2414" t="s">
        <v>9139</v>
      </c>
    </row>
    <row r="1752" spans="1:4" ht="12.75" customHeight="1">
      <c r="A1752" s="2410" t="str">
        <f t="shared" si="32"/>
        <v>Aus-</v>
      </c>
      <c r="B1752" s="2410" t="s">
        <v>2183</v>
      </c>
      <c r="C1752" s="2410" t="s">
        <v>4737</v>
      </c>
      <c r="D1752" s="2414" t="s">
        <v>9140</v>
      </c>
    </row>
    <row r="1753" spans="1:4" ht="12.75" customHeight="1">
      <c r="A1753" s="2410" t="str">
        <f t="shared" si="32"/>
        <v>lastung</v>
      </c>
      <c r="B1753" s="2410" t="s">
        <v>3128</v>
      </c>
      <c r="C1753" s="2410" t="s">
        <v>4744</v>
      </c>
      <c r="D1753" s="2414" t="s">
        <v>9141</v>
      </c>
    </row>
    <row r="1754" spans="1:4" ht="12.75" customHeight="1">
      <c r="A1754" s="2410" t="str">
        <f t="shared" si="32"/>
        <v>AE/J.**</v>
      </c>
      <c r="B1754" s="2410" t="s">
        <v>457</v>
      </c>
      <c r="C1754" s="2410" t="s">
        <v>4745</v>
      </c>
      <c r="D1754" s="2414" t="s">
        <v>9142</v>
      </c>
    </row>
    <row r="1755" spans="1:4" ht="12.75" customHeight="1">
      <c r="A1755" s="2410" t="str">
        <f t="shared" si="32"/>
        <v xml:space="preserve">Kosten </v>
      </c>
      <c r="B1755" s="2410" t="s">
        <v>2184</v>
      </c>
      <c r="C1755" s="2410" t="s">
        <v>4746</v>
      </c>
      <c r="D1755" s="2414" t="s">
        <v>2596</v>
      </c>
    </row>
    <row r="1756" spans="1:4" ht="12.75" customHeight="1">
      <c r="A1756" s="2410" t="str">
        <f t="shared" si="32"/>
        <v>pro AE</v>
      </c>
      <c r="B1756" s="2410" t="s">
        <v>456</v>
      </c>
      <c r="C1756" s="2410" t="s">
        <v>4747</v>
      </c>
      <c r="D1756" s="2414" t="s">
        <v>9143</v>
      </c>
    </row>
    <row r="1757" spans="1:4" ht="12.75" customHeight="1">
      <c r="A1757" s="2410" t="str">
        <f t="shared" si="32"/>
        <v>Zusatzgeräte</v>
      </c>
      <c r="B1757" s="2410" t="s">
        <v>458</v>
      </c>
      <c r="C1757" s="2410" t="s">
        <v>4748</v>
      </c>
      <c r="D1757" s="2414" t="s">
        <v>9144</v>
      </c>
    </row>
    <row r="1758" spans="1:4" ht="12.75" customHeight="1">
      <c r="A1758" s="2410" t="str">
        <f t="shared" si="32"/>
        <v>Wagen</v>
      </c>
      <c r="B1758" s="2410" t="s">
        <v>459</v>
      </c>
      <c r="C1758" s="2410" t="s">
        <v>4749</v>
      </c>
      <c r="D1758" s="2414" t="s">
        <v>2597</v>
      </c>
    </row>
    <row r="1759" spans="1:4" ht="12.75" customHeight="1">
      <c r="A1759" s="2410" t="str">
        <f t="shared" si="32"/>
        <v>Pflug</v>
      </c>
      <c r="B1759" s="2410" t="s">
        <v>460</v>
      </c>
      <c r="C1759" s="2410" t="s">
        <v>4750</v>
      </c>
      <c r="D1759" s="2414" t="s">
        <v>2598</v>
      </c>
    </row>
    <row r="1760" spans="1:4" ht="12.75" customHeight="1">
      <c r="A1760" s="2410" t="str">
        <f t="shared" si="32"/>
        <v>Egge</v>
      </c>
      <c r="B1760" s="2410" t="s">
        <v>461</v>
      </c>
      <c r="C1760" s="2410" t="s">
        <v>4751</v>
      </c>
      <c r="D1760" s="2414" t="s">
        <v>2599</v>
      </c>
    </row>
    <row r="1761" spans="1:4" ht="12.75" customHeight="1">
      <c r="A1761" s="2410" t="str">
        <f t="shared" si="32"/>
        <v>Walze</v>
      </c>
      <c r="B1761" s="2410" t="s">
        <v>462</v>
      </c>
      <c r="C1761" s="2410" t="s">
        <v>4752</v>
      </c>
      <c r="D1761" s="2414" t="s">
        <v>2600</v>
      </c>
    </row>
    <row r="1762" spans="1:4" ht="12.75" customHeight="1">
      <c r="A1762" s="2410" t="str">
        <f t="shared" si="32"/>
        <v>Sämaschine</v>
      </c>
      <c r="B1762" s="2410" t="s">
        <v>463</v>
      </c>
      <c r="C1762" s="2410" t="s">
        <v>4753</v>
      </c>
      <c r="D1762" s="2414" t="s">
        <v>2601</v>
      </c>
    </row>
    <row r="1763" spans="1:4" ht="12.75" customHeight="1">
      <c r="A1763" s="2410" t="str">
        <f t="shared" si="32"/>
        <v>Hackgerät</v>
      </c>
      <c r="B1763" s="2410" t="s">
        <v>5633</v>
      </c>
      <c r="C1763" s="2410" t="s">
        <v>4754</v>
      </c>
      <c r="D1763" s="2414" t="s">
        <v>2602</v>
      </c>
    </row>
    <row r="1764" spans="1:4" ht="12.75" customHeight="1">
      <c r="A1764" s="2410" t="str">
        <f t="shared" si="32"/>
        <v>Düngerstreuer</v>
      </c>
      <c r="B1764" s="2410" t="s">
        <v>5634</v>
      </c>
      <c r="C1764" s="2410" t="s">
        <v>4755</v>
      </c>
      <c r="D1764" s="2414" t="s">
        <v>2603</v>
      </c>
    </row>
    <row r="1765" spans="1:4" ht="12.75" customHeight="1">
      <c r="A1765" s="2410" t="str">
        <f t="shared" si="32"/>
        <v>Miststreuer</v>
      </c>
      <c r="B1765" s="2410" t="s">
        <v>5635</v>
      </c>
      <c r="C1765" s="2410" t="s">
        <v>4756</v>
      </c>
      <c r="D1765" s="2414" t="s">
        <v>2604</v>
      </c>
    </row>
    <row r="1766" spans="1:4" ht="12.75" customHeight="1">
      <c r="A1766" s="2410" t="str">
        <f t="shared" si="32"/>
        <v>Druckfass</v>
      </c>
      <c r="B1766" s="2410" t="s">
        <v>2199</v>
      </c>
      <c r="C1766" s="2410" t="s">
        <v>4757</v>
      </c>
      <c r="D1766" s="2414" t="s">
        <v>9145</v>
      </c>
    </row>
    <row r="1767" spans="1:4" ht="12.75" customHeight="1">
      <c r="A1767" s="2410" t="str">
        <f t="shared" si="32"/>
        <v>Mähwerk</v>
      </c>
      <c r="B1767" s="2410" t="s">
        <v>2200</v>
      </c>
      <c r="C1767" s="2410" t="s">
        <v>4758</v>
      </c>
      <c r="D1767" s="2414" t="s">
        <v>2605</v>
      </c>
    </row>
    <row r="1768" spans="1:4" ht="12.75" customHeight="1">
      <c r="A1768" s="2410" t="str">
        <f t="shared" si="32"/>
        <v>Kreiselheuer</v>
      </c>
      <c r="B1768" s="2410" t="s">
        <v>2201</v>
      </c>
      <c r="C1768" s="2410" t="s">
        <v>4759</v>
      </c>
      <c r="D1768" s="2414" t="s">
        <v>2606</v>
      </c>
    </row>
    <row r="1769" spans="1:4" ht="12.75" customHeight="1">
      <c r="A1769" s="2410" t="str">
        <f t="shared" si="32"/>
        <v>Kreiselschwader</v>
      </c>
      <c r="B1769" s="2410" t="s">
        <v>6896</v>
      </c>
      <c r="C1769" s="2410" t="s">
        <v>4585</v>
      </c>
      <c r="D1769" s="2414" t="s">
        <v>2607</v>
      </c>
    </row>
    <row r="1770" spans="1:4" ht="12.75" customHeight="1">
      <c r="A1770" s="2410" t="str">
        <f t="shared" si="32"/>
        <v>Ladewagen</v>
      </c>
      <c r="B1770" s="2410" t="s">
        <v>6897</v>
      </c>
      <c r="C1770" s="2410" t="s">
        <v>4586</v>
      </c>
      <c r="D1770" s="2414" t="s">
        <v>2608</v>
      </c>
    </row>
    <row r="1771" spans="1:4" ht="12.75" customHeight="1">
      <c r="A1771" s="2410" t="str">
        <f t="shared" si="32"/>
        <v>Ballenpresse</v>
      </c>
      <c r="B1771" s="2410" t="s">
        <v>6898</v>
      </c>
      <c r="C1771" s="2410" t="s">
        <v>438</v>
      </c>
      <c r="D1771" s="2414" t="s">
        <v>9146</v>
      </c>
    </row>
    <row r="1772" spans="1:4" ht="12.75" customHeight="1">
      <c r="A1772" s="2410" t="str">
        <f t="shared" si="32"/>
        <v>Kettensäge</v>
      </c>
      <c r="B1772" s="2410" t="s">
        <v>6899</v>
      </c>
      <c r="C1772" s="2410" t="s">
        <v>439</v>
      </c>
      <c r="D1772" s="2414" t="s">
        <v>2609</v>
      </c>
    </row>
    <row r="1773" spans="1:4" ht="12.75" customHeight="1">
      <c r="A1773" s="2410" t="str">
        <f t="shared" si="32"/>
        <v>Maschinen und Geräte total (A)</v>
      </c>
      <c r="B1773" s="2410" t="s">
        <v>7963</v>
      </c>
      <c r="C1773" s="2410" t="s">
        <v>1621</v>
      </c>
      <c r="D1773" s="2414" t="s">
        <v>2610</v>
      </c>
    </row>
    <row r="1774" spans="1:4" ht="12.75" customHeight="1">
      <c r="A1774" s="2410" t="str">
        <f t="shared" si="32"/>
        <v>*) WBW = Wiederbeschaffungswert, **) AE/J. = Arbeitseinheiten pro Jahr</v>
      </c>
      <c r="B1774" s="2410" t="s">
        <v>1438</v>
      </c>
      <c r="C1774" s="2410" t="s">
        <v>6147</v>
      </c>
      <c r="D1774" s="2414" t="s">
        <v>11191</v>
      </c>
    </row>
    <row r="1775" spans="1:4" ht="12.75" customHeight="1">
      <c r="A1775" s="2410">
        <f t="shared" si="32"/>
        <v>0</v>
      </c>
      <c r="B1775" s="2410"/>
      <c r="C1775" s="2410"/>
      <c r="D1775" s="2414"/>
    </row>
    <row r="1776" spans="1:4" ht="12.75" customHeight="1">
      <c r="A1776" s="2410" t="str">
        <f t="shared" si="32"/>
        <v>Feste Einrichtungen</v>
      </c>
      <c r="B1776" s="2410" t="s">
        <v>3403</v>
      </c>
      <c r="C1776" s="2410" t="s">
        <v>6148</v>
      </c>
      <c r="D1776" s="2414" t="s">
        <v>9147</v>
      </c>
    </row>
    <row r="1777" spans="1:4" ht="12.75" customHeight="1">
      <c r="A1777" s="2410" t="str">
        <f t="shared" si="32"/>
        <v>Bau-</v>
      </c>
      <c r="B1777" s="2410" t="s">
        <v>268</v>
      </c>
      <c r="C1777" s="2410" t="s">
        <v>6746</v>
      </c>
      <c r="D1777" s="2414" t="s">
        <v>9131</v>
      </c>
    </row>
    <row r="1778" spans="1:4" ht="12.75" customHeight="1">
      <c r="A1778" s="2410" t="str">
        <f t="shared" si="32"/>
        <v>jahr</v>
      </c>
      <c r="B1778" s="2410" t="s">
        <v>2185</v>
      </c>
      <c r="C1778" s="2410" t="s">
        <v>6747</v>
      </c>
      <c r="D1778" s="2414" t="s">
        <v>9132</v>
      </c>
    </row>
    <row r="1779" spans="1:4" ht="12.75" customHeight="1">
      <c r="A1779" s="2410" t="str">
        <f t="shared" si="32"/>
        <v>Kauf-</v>
      </c>
      <c r="B1779" s="2410" t="s">
        <v>269</v>
      </c>
      <c r="C1779" s="2410" t="s">
        <v>7102</v>
      </c>
      <c r="D1779" s="2414" t="s">
        <v>9131</v>
      </c>
    </row>
    <row r="1780" spans="1:4" ht="12.75" customHeight="1">
      <c r="A1780" s="2410" t="str">
        <f t="shared" si="32"/>
        <v>jahr</v>
      </c>
      <c r="B1780" s="2410" t="s">
        <v>2185</v>
      </c>
      <c r="C1780" s="2410" t="s">
        <v>6748</v>
      </c>
      <c r="D1780" s="2414" t="s">
        <v>9132</v>
      </c>
    </row>
    <row r="1781" spans="1:4" ht="12.75" customHeight="1">
      <c r="A1781" s="2410" t="str">
        <f t="shared" si="32"/>
        <v>Anteil</v>
      </c>
      <c r="B1781" s="2410" t="s">
        <v>270</v>
      </c>
      <c r="C1781" s="2410" t="s">
        <v>6749</v>
      </c>
      <c r="D1781" s="2414" t="s">
        <v>9134</v>
      </c>
    </row>
    <row r="1782" spans="1:4" ht="12.75" customHeight="1">
      <c r="A1782" s="2410" t="str">
        <f t="shared" si="32"/>
        <v>Eigentum</v>
      </c>
      <c r="B1782" s="2410" t="s">
        <v>440</v>
      </c>
      <c r="C1782" s="2410" t="s">
        <v>6750</v>
      </c>
      <c r="D1782" s="2414" t="s">
        <v>2595</v>
      </c>
    </row>
    <row r="1783" spans="1:4" ht="12.75" customHeight="1">
      <c r="A1783" s="2410" t="str">
        <f t="shared" si="32"/>
        <v>Anschaffungs-</v>
      </c>
      <c r="B1783" s="2410" t="s">
        <v>271</v>
      </c>
      <c r="C1783" s="2410" t="s">
        <v>6751</v>
      </c>
      <c r="D1783" s="2414" t="s">
        <v>9135</v>
      </c>
    </row>
    <row r="1784" spans="1:4" ht="12.75" customHeight="1">
      <c r="A1784" s="2410" t="str">
        <f t="shared" ref="A1784:A1849" si="33">IF($A$2=1,B1784,IF($A$2=2,C1784,IF($A$2=3,IF(D1784="",C1784,D1784),"")))</f>
        <v>preis</v>
      </c>
      <c r="B1784" s="2410" t="s">
        <v>4469</v>
      </c>
      <c r="C1784" s="2410" t="s">
        <v>6748</v>
      </c>
      <c r="D1784" s="2414" t="s">
        <v>9133</v>
      </c>
    </row>
    <row r="1785" spans="1:4" ht="12.75" customHeight="1">
      <c r="A1785" s="2410" t="str">
        <f t="shared" si="33"/>
        <v>WBW*</v>
      </c>
      <c r="B1785" s="2410" t="s">
        <v>272</v>
      </c>
      <c r="C1785" s="2410" t="s">
        <v>6752</v>
      </c>
      <c r="D1785" s="2414" t="s">
        <v>9136</v>
      </c>
    </row>
    <row r="1786" spans="1:4" ht="12.75" customHeight="1">
      <c r="A1786" s="2410" t="str">
        <f t="shared" si="33"/>
        <v>Ersatz</v>
      </c>
      <c r="B1786" s="2410" t="s">
        <v>2182</v>
      </c>
      <c r="C1786" s="2410" t="s">
        <v>6753</v>
      </c>
      <c r="D1786" s="2414" t="s">
        <v>9137</v>
      </c>
    </row>
    <row r="1787" spans="1:4" ht="12.75" customHeight="1">
      <c r="A1787" s="2410" t="str">
        <f t="shared" si="33"/>
        <v>innert 6 J.</v>
      </c>
      <c r="B1787" s="2410" t="s">
        <v>4470</v>
      </c>
      <c r="C1787" s="2410" t="s">
        <v>6754</v>
      </c>
      <c r="D1787" s="2414" t="s">
        <v>9138</v>
      </c>
    </row>
    <row r="1788" spans="1:4" ht="12.75" customHeight="1">
      <c r="A1788" s="2410" t="str">
        <f t="shared" si="33"/>
        <v>CHF</v>
      </c>
      <c r="B1788" s="2410" t="s">
        <v>680</v>
      </c>
      <c r="C1788" s="2410" t="s">
        <v>1679</v>
      </c>
      <c r="D1788" s="2414" t="s">
        <v>9139</v>
      </c>
    </row>
    <row r="1789" spans="1:4" ht="12.75" customHeight="1">
      <c r="A1789" s="2410" t="str">
        <f t="shared" si="33"/>
        <v>Aus-</v>
      </c>
      <c r="B1789" s="2410" t="s">
        <v>2183</v>
      </c>
      <c r="C1789" s="2410" t="s">
        <v>4737</v>
      </c>
      <c r="D1789" s="2414" t="s">
        <v>9140</v>
      </c>
    </row>
    <row r="1790" spans="1:4" ht="12.75" customHeight="1">
      <c r="A1790" s="2410" t="str">
        <f t="shared" si="33"/>
        <v>lastung</v>
      </c>
      <c r="B1790" s="2410" t="s">
        <v>3128</v>
      </c>
      <c r="C1790" s="2410" t="s">
        <v>4744</v>
      </c>
      <c r="D1790" s="2414" t="s">
        <v>9141</v>
      </c>
    </row>
    <row r="1791" spans="1:4" ht="12.75" customHeight="1">
      <c r="A1791" s="2410" t="str">
        <f t="shared" si="33"/>
        <v>AE/ J.**</v>
      </c>
      <c r="B1791" s="2410" t="s">
        <v>7954</v>
      </c>
      <c r="C1791" s="2410" t="s">
        <v>7955</v>
      </c>
      <c r="D1791" s="2414" t="s">
        <v>9142</v>
      </c>
    </row>
    <row r="1792" spans="1:4" ht="12.75" customHeight="1">
      <c r="A1792" s="2410" t="str">
        <f t="shared" si="33"/>
        <v xml:space="preserve">Kosten </v>
      </c>
      <c r="B1792" s="2410" t="s">
        <v>2184</v>
      </c>
      <c r="C1792" s="2410" t="s">
        <v>4746</v>
      </c>
      <c r="D1792" s="2414" t="s">
        <v>2596</v>
      </c>
    </row>
    <row r="1793" spans="1:4" ht="12.75" customHeight="1">
      <c r="A1793" s="2410" t="str">
        <f t="shared" si="33"/>
        <v>pro AE</v>
      </c>
      <c r="B1793" s="2410" t="s">
        <v>456</v>
      </c>
      <c r="C1793" s="2410" t="s">
        <v>4747</v>
      </c>
      <c r="D1793" s="2414" t="s">
        <v>9143</v>
      </c>
    </row>
    <row r="1794" spans="1:4" ht="12.75" customHeight="1">
      <c r="A1794" s="2410" t="str">
        <f t="shared" si="33"/>
        <v>Heubelüftung</v>
      </c>
      <c r="B1794" s="2410" t="s">
        <v>3404</v>
      </c>
      <c r="C1794" s="2410" t="s">
        <v>6149</v>
      </c>
      <c r="D1794" s="2414" t="s">
        <v>9148</v>
      </c>
    </row>
    <row r="1795" spans="1:4" ht="12.75" customHeight="1">
      <c r="A1795" s="2410" t="str">
        <f t="shared" si="33"/>
        <v>Greifer</v>
      </c>
      <c r="B1795" s="2410" t="s">
        <v>3405</v>
      </c>
      <c r="C1795" s="2410" t="s">
        <v>6150</v>
      </c>
      <c r="D1795" s="2414" t="s">
        <v>9149</v>
      </c>
    </row>
    <row r="1796" spans="1:4" ht="12.75" customHeight="1">
      <c r="A1796" s="2410" t="str">
        <f t="shared" si="33"/>
        <v>Teleskopverteiler</v>
      </c>
      <c r="B1796" s="2410" t="s">
        <v>5298</v>
      </c>
      <c r="C1796" s="2410" t="s">
        <v>7059</v>
      </c>
      <c r="D1796" s="2414" t="s">
        <v>9150</v>
      </c>
    </row>
    <row r="1797" spans="1:4" ht="12.75" customHeight="1">
      <c r="A1797" s="2410" t="str">
        <f t="shared" si="33"/>
        <v>Melkanlage</v>
      </c>
      <c r="B1797" s="2410" t="s">
        <v>5299</v>
      </c>
      <c r="C1797" s="2410" t="s">
        <v>2643</v>
      </c>
      <c r="D1797" s="2414" t="s">
        <v>2287</v>
      </c>
    </row>
    <row r="1798" spans="1:4" ht="12.75" customHeight="1">
      <c r="A1798" s="2410" t="str">
        <f t="shared" si="33"/>
        <v>Rührwerk</v>
      </c>
      <c r="B1798" s="2410" t="s">
        <v>5300</v>
      </c>
      <c r="C1798" s="2410" t="s">
        <v>4587</v>
      </c>
      <c r="D1798" s="2414" t="s">
        <v>9151</v>
      </c>
    </row>
    <row r="1799" spans="1:4" ht="12.75" customHeight="1">
      <c r="A1799" s="2410" t="str">
        <f t="shared" si="33"/>
        <v>Feste Einrichtungen total (B)</v>
      </c>
      <c r="B1799" s="2410" t="s">
        <v>7941</v>
      </c>
      <c r="C1799" s="2410" t="s">
        <v>7942</v>
      </c>
      <c r="D1799" s="2414" t="s">
        <v>9152</v>
      </c>
    </row>
    <row r="1800" spans="1:4" ht="12.75" customHeight="1">
      <c r="A1800" s="2410" t="str">
        <f t="shared" si="33"/>
        <v>Motorfahrzeuge: Marke, kW</v>
      </c>
      <c r="B1800" s="2410" t="s">
        <v>3157</v>
      </c>
      <c r="C1800" s="2410" t="s">
        <v>1657</v>
      </c>
      <c r="D1800" s="2414" t="s">
        <v>9153</v>
      </c>
    </row>
    <row r="1801" spans="1:4" ht="12.75" customHeight="1">
      <c r="A1801" s="2410" t="str">
        <f t="shared" si="33"/>
        <v>Autos</v>
      </c>
      <c r="B1801" s="2410" t="s">
        <v>2937</v>
      </c>
      <c r="C1801" s="2410" t="s">
        <v>1658</v>
      </c>
      <c r="D1801" s="2414" t="s">
        <v>2439</v>
      </c>
    </row>
    <row r="1802" spans="1:4" ht="12.75" customHeight="1">
      <c r="A1802" s="2410" t="str">
        <f t="shared" si="33"/>
        <v>Motorfahrzeuge total (C)</v>
      </c>
      <c r="B1802" s="2410" t="s">
        <v>7943</v>
      </c>
      <c r="C1802" s="2410" t="s">
        <v>7944</v>
      </c>
      <c r="D1802" s="2414" t="s">
        <v>9154</v>
      </c>
    </row>
    <row r="1803" spans="1:4" ht="12.75" customHeight="1">
      <c r="A1803" s="2410" t="str">
        <f t="shared" si="33"/>
        <v>Maschinen und Geräte, Übertrag aus  (A)</v>
      </c>
      <c r="B1803" s="2410" t="str">
        <f xml:space="preserve"> "Maschinen und Geräte, Übertrag aus " &amp;  Q!J34 &amp; " (A)"</f>
        <v>Maschinen und Geräte, Übertrag aus  (A)</v>
      </c>
      <c r="C1803" s="2410" t="str">
        <f>"Machines &amp; équipements,  report de " &amp;  Q!J34 &amp; " (A)"</f>
        <v>Machines &amp; équipements,  report de  (A)</v>
      </c>
      <c r="D1803" s="2414" t="str">
        <f>"Somma macchine e attrezzi, riporto da " &amp; Q!J34 &amp; " (A)"</f>
        <v>Somma macchine e attrezzi, riporto da  (A)</v>
      </c>
    </row>
    <row r="1804" spans="1:4" ht="12.75" customHeight="1">
      <c r="A1804" s="2410" t="str">
        <f t="shared" si="33"/>
        <v>Mechanisierung und Einrichtungen total, A+B+C</v>
      </c>
      <c r="B1804" s="2410" t="s">
        <v>7946</v>
      </c>
      <c r="C1804" s="2410" t="s">
        <v>7945</v>
      </c>
      <c r="D1804" s="2414" t="s">
        <v>9155</v>
      </c>
    </row>
    <row r="1805" spans="1:4" ht="12.75" customHeight="1">
      <c r="A1805" s="2410" t="str">
        <f t="shared" si="33"/>
        <v>CHF pro Jahr</v>
      </c>
      <c r="B1805" s="2410" t="s">
        <v>7960</v>
      </c>
      <c r="C1805" s="2410" t="s">
        <v>7961</v>
      </c>
      <c r="D1805" s="2414" t="s">
        <v>7962</v>
      </c>
    </row>
    <row r="1806" spans="1:4" ht="12.75" customHeight="1">
      <c r="A1806" s="2410" t="str">
        <f t="shared" si="33"/>
        <v>Verteilung der Autokilometer</v>
      </c>
      <c r="B1806" s="2410" t="s">
        <v>3198</v>
      </c>
      <c r="C1806" s="2410" t="s">
        <v>3737</v>
      </c>
      <c r="D1806" s="2414" t="s">
        <v>9156</v>
      </c>
    </row>
    <row r="1807" spans="1:4" ht="12.75" customHeight="1">
      <c r="A1807" s="2410" t="str">
        <f t="shared" si="33"/>
        <v>Betrieb</v>
      </c>
      <c r="B1807" s="2410" t="s">
        <v>6092</v>
      </c>
      <c r="C1807" s="2410" t="s">
        <v>6216</v>
      </c>
      <c r="D1807" s="2414" t="s">
        <v>9157</v>
      </c>
    </row>
    <row r="1808" spans="1:4" ht="12.75" customHeight="1">
      <c r="A1808" s="2410" t="str">
        <f t="shared" si="33"/>
        <v>Nebenbetriebe</v>
      </c>
      <c r="B1808" s="2410" t="s">
        <v>8063</v>
      </c>
      <c r="C1808" s="2410" t="s">
        <v>8064</v>
      </c>
      <c r="D1808" s="2414" t="s">
        <v>9158</v>
      </c>
    </row>
    <row r="1809" spans="1:4" ht="12.75" customHeight="1">
      <c r="A1809" s="2410" t="str">
        <f t="shared" si="33"/>
        <v>Betriebsfremd</v>
      </c>
      <c r="B1809" s="2410" t="s">
        <v>7958</v>
      </c>
      <c r="C1809" s="2414" t="s">
        <v>7959</v>
      </c>
      <c r="D1809" s="2414" t="s">
        <v>9159</v>
      </c>
    </row>
    <row r="1810" spans="1:4" ht="12.75" customHeight="1">
      <c r="A1810" s="2410" t="str">
        <f t="shared" si="33"/>
        <v>Familie</v>
      </c>
      <c r="B1810" s="2410" t="s">
        <v>5352</v>
      </c>
      <c r="C1810" s="2410" t="s">
        <v>5741</v>
      </c>
      <c r="D1810" s="2414" t="s">
        <v>1386</v>
      </c>
    </row>
    <row r="1811" spans="1:4" ht="12.75" customHeight="1">
      <c r="A1811" s="2410" t="str">
        <f t="shared" si="33"/>
        <v>Kosten pro km in CHF</v>
      </c>
      <c r="B1811" s="2410" t="s">
        <v>7950</v>
      </c>
      <c r="C1811" s="2410" t="s">
        <v>7951</v>
      </c>
      <c r="D1811" s="2414" t="s">
        <v>9160</v>
      </c>
    </row>
    <row r="1812" spans="1:4" ht="12.75" customHeight="1">
      <c r="A1812" s="2410" t="str">
        <f t="shared" si="33"/>
        <v>in CHF</v>
      </c>
      <c r="B1812" s="2410" t="s">
        <v>7222</v>
      </c>
      <c r="C1812" s="2410" t="s">
        <v>1130</v>
      </c>
      <c r="D1812" s="2414"/>
    </row>
    <row r="1813" spans="1:4" ht="12.75" customHeight="1">
      <c r="A1813" s="2410" t="str">
        <f t="shared" si="33"/>
        <v>km total</v>
      </c>
      <c r="B1813" s="2410" t="s">
        <v>7947</v>
      </c>
      <c r="C1813" s="2410" t="s">
        <v>7947</v>
      </c>
      <c r="D1813" s="2414" t="s">
        <v>9161</v>
      </c>
    </row>
    <row r="1814" spans="1:4" ht="12.75" customHeight="1">
      <c r="A1814" s="2410" t="str">
        <f t="shared" si="33"/>
        <v>Nicht zuteilbare Arbeiten durch Dritte und</v>
      </c>
      <c r="B1814" s="2410" t="s">
        <v>7948</v>
      </c>
      <c r="C1814" s="2410" t="s">
        <v>259</v>
      </c>
      <c r="D1814" s="2414" t="s">
        <v>9162</v>
      </c>
    </row>
    <row r="1815" spans="1:4" ht="12.75" customHeight="1">
      <c r="A1815" s="2410" t="str">
        <f t="shared" si="33"/>
        <v>Maschinenmiete in CHF</v>
      </c>
      <c r="B1815" s="2410" t="s">
        <v>7964</v>
      </c>
      <c r="C1815" s="2410" t="s">
        <v>7965</v>
      </c>
      <c r="D1815" s="2414" t="s">
        <v>9163</v>
      </c>
    </row>
    <row r="1816" spans="1:4" ht="12.75" customHeight="1">
      <c r="A1816" s="2410" t="str">
        <f t="shared" si="33"/>
        <v>Arbeiten für Dritte und Maschinenvermietung</v>
      </c>
      <c r="B1816" s="2410" t="s">
        <v>7949</v>
      </c>
      <c r="C1816" s="2410" t="s">
        <v>3406</v>
      </c>
      <c r="D1816" s="2414" t="s">
        <v>9164</v>
      </c>
    </row>
    <row r="1817" spans="1:4" ht="12.75" customHeight="1">
      <c r="A1817" s="2410" t="str">
        <f t="shared" si="33"/>
        <v>AE/ J.</v>
      </c>
      <c r="B1817" s="2410" t="s">
        <v>7952</v>
      </c>
      <c r="C1817" s="2410" t="s">
        <v>7953</v>
      </c>
      <c r="D1817" s="2414" t="s">
        <v>9165</v>
      </c>
    </row>
    <row r="1818" spans="1:4" ht="12.75" customHeight="1">
      <c r="A1818" s="2410" t="str">
        <f t="shared" si="33"/>
        <v>pro AE</v>
      </c>
      <c r="B1818" s="2410" t="s">
        <v>456</v>
      </c>
      <c r="C1818" s="2410" t="s">
        <v>7966</v>
      </c>
      <c r="D1818" s="2414" t="s">
        <v>9166</v>
      </c>
    </row>
    <row r="1819" spans="1:4" ht="12.75" customHeight="1">
      <c r="A1819" s="2410" t="str">
        <f t="shared" si="33"/>
        <v>CHF total</v>
      </c>
      <c r="B1819" s="2410" t="s">
        <v>7794</v>
      </c>
      <c r="C1819" s="2410" t="s">
        <v>7794</v>
      </c>
      <c r="D1819" s="2414" t="s">
        <v>9167</v>
      </c>
    </row>
    <row r="1820" spans="1:4" ht="12.75" customHeight="1">
      <c r="A1820" s="2410" t="str">
        <f t="shared" si="33"/>
        <v>*) WBW = Wiederbeschaffungswert, **) AE/ J. = Arbeitseinheiten pro Jahr</v>
      </c>
      <c r="B1820" s="2410" t="s">
        <v>7957</v>
      </c>
      <c r="C1820" s="2410" t="s">
        <v>7956</v>
      </c>
      <c r="D1820" s="2414" t="s">
        <v>11191</v>
      </c>
    </row>
    <row r="1821" spans="1:4" ht="12.75" customHeight="1">
      <c r="A1821" s="2410">
        <f t="shared" si="33"/>
        <v>0</v>
      </c>
      <c r="B1821" s="2410"/>
      <c r="C1821" s="2410"/>
      <c r="D1821" s="2414"/>
    </row>
    <row r="1822" spans="1:4" ht="12.75" customHeight="1">
      <c r="A1822" s="2410" t="str">
        <f t="shared" si="33"/>
        <v>Aufstallung Tierkategorien</v>
      </c>
      <c r="B1822" s="2410" t="s">
        <v>4611</v>
      </c>
      <c r="C1822" s="2410" t="s">
        <v>5412</v>
      </c>
      <c r="D1822" s="2414" t="s">
        <v>2440</v>
      </c>
    </row>
    <row r="1823" spans="1:4" ht="12.75" customHeight="1">
      <c r="A1823" s="2410" t="str">
        <f t="shared" si="33"/>
        <v>Einheit</v>
      </c>
      <c r="B1823" s="2410" t="s">
        <v>6392</v>
      </c>
      <c r="C1823" s="2410" t="s">
        <v>6215</v>
      </c>
      <c r="D1823" s="2414" t="s">
        <v>1418</v>
      </c>
    </row>
    <row r="1824" spans="1:4" ht="12.75" customHeight="1">
      <c r="A1824" s="2410" t="str">
        <f t="shared" si="33"/>
        <v>Anzahl</v>
      </c>
      <c r="B1824" s="2410" t="s">
        <v>7044</v>
      </c>
      <c r="C1824" s="2410" t="s">
        <v>5260</v>
      </c>
      <c r="D1824" s="2414" t="s">
        <v>3773</v>
      </c>
    </row>
    <row r="1825" spans="1:4" ht="12.75" customHeight="1">
      <c r="A1825" s="2410" t="str">
        <f t="shared" si="33"/>
        <v>GVE</v>
      </c>
      <c r="B1825" s="2410" t="s">
        <v>6685</v>
      </c>
      <c r="C1825" s="2410" t="s">
        <v>3184</v>
      </c>
      <c r="D1825" s="2414" t="s">
        <v>199</v>
      </c>
    </row>
    <row r="1826" spans="1:4" ht="12.75" customHeight="1">
      <c r="A1826" s="2410" t="str">
        <f t="shared" si="33"/>
        <v>Diese Tiere werden auf folgenden Aufstallungssystemen</v>
      </c>
      <c r="B1826" s="2410" t="s">
        <v>2951</v>
      </c>
      <c r="C1826" s="2410" t="s">
        <v>1887</v>
      </c>
      <c r="D1826" s="2414" t="s">
        <v>9168</v>
      </c>
    </row>
    <row r="1827" spans="1:4" ht="12.75" customHeight="1">
      <c r="A1827" s="2410" t="str">
        <f t="shared" si="33"/>
        <v>gehalten:</v>
      </c>
      <c r="B1827" s="2410" t="s">
        <v>5061</v>
      </c>
      <c r="C1827" s="2410" t="s">
        <v>1888</v>
      </c>
      <c r="D1827" s="2414" t="s">
        <v>9169</v>
      </c>
    </row>
    <row r="1828" spans="1:4" ht="12.75" customHeight="1">
      <c r="A1828" s="2410" t="str">
        <f t="shared" si="33"/>
        <v>Anbindestall:</v>
      </c>
      <c r="B1828" s="2410" t="s">
        <v>6259</v>
      </c>
      <c r="C1828" s="2410" t="s">
        <v>1889</v>
      </c>
      <c r="D1828" s="2414" t="s">
        <v>9170</v>
      </c>
    </row>
    <row r="1829" spans="1:4" ht="12.75" customHeight="1">
      <c r="A1829" s="2410" t="str">
        <f t="shared" si="33"/>
        <v xml:space="preserve"> GVE; Gitterrost (Vollgülle)</v>
      </c>
      <c r="B1829" s="2410" t="s">
        <v>5839</v>
      </c>
      <c r="C1829" s="2410" t="s">
        <v>1890</v>
      </c>
      <c r="D1829" s="2414" t="s">
        <v>9171</v>
      </c>
    </row>
    <row r="1830" spans="1:4" ht="12.75" customHeight="1">
      <c r="A1830" s="2410" t="str">
        <f t="shared" si="33"/>
        <v xml:space="preserve"> GVE; Schorrgraben oder Kotplatte</v>
      </c>
      <c r="B1830" s="2410" t="s">
        <v>5840</v>
      </c>
      <c r="C1830" s="2410" t="s">
        <v>4942</v>
      </c>
      <c r="D1830" s="2414" t="s">
        <v>9172</v>
      </c>
    </row>
    <row r="1831" spans="1:4" ht="12.75" customHeight="1">
      <c r="A1831" s="2410" t="str">
        <f t="shared" si="33"/>
        <v xml:space="preserve"> GVE; alte Ställe im Berggebiet</v>
      </c>
      <c r="B1831" s="2410" t="s">
        <v>5890</v>
      </c>
      <c r="C1831" s="2410" t="s">
        <v>4943</v>
      </c>
      <c r="D1831" s="2414" t="s">
        <v>9173</v>
      </c>
    </row>
    <row r="1832" spans="1:4" ht="12.75" customHeight="1">
      <c r="A1832" s="2410" t="str">
        <f t="shared" si="33"/>
        <v>Laufstall:</v>
      </c>
      <c r="B1832" s="2410" t="s">
        <v>3544</v>
      </c>
      <c r="C1832" s="2410" t="s">
        <v>4944</v>
      </c>
      <c r="D1832" s="2414" t="s">
        <v>9174</v>
      </c>
    </row>
    <row r="1833" spans="1:4" ht="12.75" customHeight="1">
      <c r="A1833" s="2410" t="str">
        <f t="shared" si="33"/>
        <v xml:space="preserve"> GVE; Einzelraumlaufstall, Tiefstreue ganzflächig</v>
      </c>
      <c r="B1833" s="2410" t="s">
        <v>2450</v>
      </c>
      <c r="C1833" s="2410" t="s">
        <v>4392</v>
      </c>
      <c r="D1833" s="2414" t="s">
        <v>9175</v>
      </c>
    </row>
    <row r="1834" spans="1:4" ht="12.75" customHeight="1">
      <c r="A1834" s="2410" t="str">
        <f t="shared" si="33"/>
        <v xml:space="preserve"> GVE; Zweiraumlaufstall  (Tiefstreue und</v>
      </c>
      <c r="B1834" s="2410" t="s">
        <v>2451</v>
      </c>
      <c r="C1834" s="2410" t="s">
        <v>4393</v>
      </c>
      <c r="D1834" s="2414" t="s">
        <v>9176</v>
      </c>
    </row>
    <row r="1835" spans="1:4" ht="12.75" customHeight="1">
      <c r="A1835" s="2410" t="str">
        <f t="shared" si="33"/>
        <v xml:space="preserve">           betonierter Fressplatz)</v>
      </c>
      <c r="B1835" s="2410" t="s">
        <v>171</v>
      </c>
      <c r="C1835" s="2410" t="s">
        <v>4465</v>
      </c>
      <c r="D1835" s="2414" t="s">
        <v>242</v>
      </c>
    </row>
    <row r="1836" spans="1:4" ht="12.75" customHeight="1">
      <c r="A1836" s="2410" t="str">
        <f t="shared" si="33"/>
        <v xml:space="preserve"> GVE; Mehrraumlaufstall</v>
      </c>
      <c r="B1836" s="2410" t="s">
        <v>6123</v>
      </c>
      <c r="C1836" s="2410" t="s">
        <v>4394</v>
      </c>
      <c r="D1836" s="2414" t="s">
        <v>9177</v>
      </c>
    </row>
    <row r="1837" spans="1:4" ht="12.75" customHeight="1">
      <c r="A1837" s="2410" t="str">
        <f t="shared" si="33"/>
        <v xml:space="preserve"> GVE; Tretmiststall</v>
      </c>
      <c r="B1837" s="2410" t="s">
        <v>683</v>
      </c>
      <c r="C1837" s="2410" t="s">
        <v>5813</v>
      </c>
      <c r="D1837" s="2414" t="s">
        <v>243</v>
      </c>
    </row>
    <row r="1838" spans="1:4" ht="12.75" customHeight="1">
      <c r="A1838" s="2410" t="str">
        <f t="shared" si="33"/>
        <v xml:space="preserve"> GVE; Boxenlaufstall (Kühe) oder Spaltenboden-</v>
      </c>
      <c r="B1838" s="2410" t="s">
        <v>2430</v>
      </c>
      <c r="C1838" s="2410" t="s">
        <v>5814</v>
      </c>
      <c r="D1838" s="2414" t="s">
        <v>9178</v>
      </c>
    </row>
    <row r="1839" spans="1:4" ht="12.75" customHeight="1">
      <c r="A1839" s="2410" t="str">
        <f t="shared" si="33"/>
        <v xml:space="preserve">           laufstall (Mast, Jungvieh)</v>
      </c>
      <c r="B1839" s="2410" t="s">
        <v>3604</v>
      </c>
      <c r="C1839" s="2410" t="s">
        <v>4466</v>
      </c>
      <c r="D1839" s="2414" t="s">
        <v>9179</v>
      </c>
    </row>
    <row r="1840" spans="1:4" ht="12.75" customHeight="1">
      <c r="A1840" s="2410" t="str">
        <f t="shared" si="33"/>
        <v>Total GVE</v>
      </c>
      <c r="B1840" s="2410" t="s">
        <v>1285</v>
      </c>
      <c r="C1840" s="2410" t="s">
        <v>3419</v>
      </c>
      <c r="D1840" s="2414" t="s">
        <v>8581</v>
      </c>
    </row>
    <row r="1841" spans="1:4" ht="12.75" customHeight="1">
      <c r="A1841" s="2410" t="str">
        <f t="shared" si="33"/>
        <v xml:space="preserve"> GVE; Tiefstreulaufstall, Boxenstall</v>
      </c>
      <c r="B1841" s="2410" t="s">
        <v>1328</v>
      </c>
      <c r="C1841" s="2410" t="s">
        <v>1590</v>
      </c>
      <c r="D1841" s="2414" t="s">
        <v>9180</v>
      </c>
    </row>
    <row r="1842" spans="1:4" ht="12.75" customHeight="1">
      <c r="A1842" s="2410" t="str">
        <f t="shared" si="33"/>
        <v xml:space="preserve"> GVE; Langstand mit Einstreue</v>
      </c>
      <c r="B1842" s="2410" t="s">
        <v>3168</v>
      </c>
      <c r="C1842" s="2410" t="s">
        <v>1870</v>
      </c>
      <c r="D1842" s="2414" t="s">
        <v>9181</v>
      </c>
    </row>
    <row r="1843" spans="1:4" ht="12.75" customHeight="1">
      <c r="A1843" s="2410" t="str">
        <f t="shared" si="33"/>
        <v xml:space="preserve"> GVE; Tiefstreulaufstall (nur Mist)</v>
      </c>
      <c r="B1843" s="2410" t="s">
        <v>3169</v>
      </c>
      <c r="C1843" s="2410" t="s">
        <v>1871</v>
      </c>
      <c r="D1843" s="2414" t="s">
        <v>9182</v>
      </c>
    </row>
    <row r="1844" spans="1:4" ht="12.75" customHeight="1">
      <c r="A1844" s="2410">
        <f t="shared" si="33"/>
        <v>0</v>
      </c>
      <c r="B1844" s="2410"/>
      <c r="C1844" s="2410" t="s">
        <v>3090</v>
      </c>
      <c r="D1844" s="2414" t="s">
        <v>9183</v>
      </c>
    </row>
    <row r="1845" spans="1:4" ht="12.75" customHeight="1">
      <c r="A1845" s="2410" t="str">
        <f t="shared" si="33"/>
        <v xml:space="preserve"> GVE; Tiefstreulaufstall (nur Mist)</v>
      </c>
      <c r="B1845" s="2410" t="s">
        <v>3169</v>
      </c>
      <c r="C1845" s="2410" t="s">
        <v>5364</v>
      </c>
      <c r="D1845" s="2414" t="s">
        <v>9182</v>
      </c>
    </row>
    <row r="1846" spans="1:4" ht="12.75" customHeight="1">
      <c r="A1846" s="2410">
        <f t="shared" si="33"/>
        <v>0</v>
      </c>
      <c r="B1846" s="2410"/>
      <c r="C1846" s="2410" t="s">
        <v>3090</v>
      </c>
      <c r="D1846" s="2414" t="s">
        <v>9183</v>
      </c>
    </row>
    <row r="1847" spans="1:4" ht="12.75" customHeight="1">
      <c r="A1847" s="2410" t="str">
        <f t="shared" si="33"/>
        <v xml:space="preserve"> GVE; extensiver Weidestall</v>
      </c>
      <c r="B1847" s="2410" t="s">
        <v>1589</v>
      </c>
      <c r="C1847" s="2410" t="s">
        <v>5365</v>
      </c>
      <c r="D1847" s="2414" t="s">
        <v>9184</v>
      </c>
    </row>
    <row r="1848" spans="1:4" ht="12.75" customHeight="1">
      <c r="A1848" s="2410" t="str">
        <f t="shared" si="33"/>
        <v xml:space="preserve"> MSP; Voll- oder Teilspaltenboden, Liegebucht</v>
      </c>
      <c r="B1848" s="2410" t="s">
        <v>5616</v>
      </c>
      <c r="C1848" s="2410" t="s">
        <v>3378</v>
      </c>
      <c r="D1848" s="2414" t="s">
        <v>9185</v>
      </c>
    </row>
    <row r="1849" spans="1:4" ht="12.75" customHeight="1">
      <c r="A1849" s="2410" t="str">
        <f t="shared" si="33"/>
        <v xml:space="preserve">          und Kotgang</v>
      </c>
      <c r="B1849" s="2410" t="s">
        <v>3046</v>
      </c>
      <c r="C1849" s="2410" t="s">
        <v>3047</v>
      </c>
      <c r="D1849" s="2414" t="s">
        <v>9186</v>
      </c>
    </row>
    <row r="1850" spans="1:4" ht="12.75" customHeight="1">
      <c r="A1850" s="2410" t="str">
        <f t="shared" ref="A1850:A1913" si="34">IF($A$2=1,B1850,IF($A$2=2,C1850,IF($A$2=3,IF(D1850="",C1850,D1850),"")))</f>
        <v xml:space="preserve"> MSP; Einstreustall mit Kotgang, Tiefsteulauf-</v>
      </c>
      <c r="B1850" s="2410" t="s">
        <v>5137</v>
      </c>
      <c r="C1850" s="2410" t="s">
        <v>1082</v>
      </c>
      <c r="D1850" s="2414" t="s">
        <v>9187</v>
      </c>
    </row>
    <row r="1851" spans="1:4" ht="12.75" customHeight="1">
      <c r="A1851" s="2410" t="str">
        <f t="shared" si="34"/>
        <v xml:space="preserve">          stall mit befestigtem oder Spaltenboden-</v>
      </c>
      <c r="B1851" s="2410" t="s">
        <v>3380</v>
      </c>
      <c r="C1851" s="2410" t="s">
        <v>4642</v>
      </c>
      <c r="D1851" s="2414" t="s">
        <v>9188</v>
      </c>
    </row>
    <row r="1852" spans="1:4" ht="12.75" customHeight="1">
      <c r="A1852" s="2410" t="str">
        <f t="shared" si="34"/>
        <v xml:space="preserve">          Fressplatz</v>
      </c>
      <c r="B1852" s="2410" t="s">
        <v>3381</v>
      </c>
      <c r="C1852" s="2410" t="s">
        <v>4643</v>
      </c>
      <c r="D1852" s="2414" t="s">
        <v>9189</v>
      </c>
    </row>
    <row r="1853" spans="1:4" ht="12.75" customHeight="1">
      <c r="A1853" s="2410" t="str">
        <f t="shared" si="34"/>
        <v xml:space="preserve"> MSP; Tiefstreulaufstall (Offenfront)</v>
      </c>
      <c r="B1853" s="2410" t="s">
        <v>6707</v>
      </c>
      <c r="C1853" s="2410" t="s">
        <v>1083</v>
      </c>
      <c r="D1853" s="2414" t="s">
        <v>9190</v>
      </c>
    </row>
    <row r="1854" spans="1:4" ht="12.75" customHeight="1">
      <c r="A1854" s="2410" t="str">
        <f t="shared" si="34"/>
        <v>Total GVE / MSP</v>
      </c>
      <c r="B1854" s="2410" t="s">
        <v>7137</v>
      </c>
      <c r="C1854" s="2410" t="s">
        <v>3707</v>
      </c>
      <c r="D1854" s="2414" t="s">
        <v>11192</v>
      </c>
    </row>
    <row r="1855" spans="1:4" ht="12.75" customHeight="1">
      <c r="A1855" s="2410" t="str">
        <f t="shared" si="34"/>
        <v>MSP</v>
      </c>
      <c r="B1855" s="2410" t="s">
        <v>6330</v>
      </c>
      <c r="C1855" s="2410" t="s">
        <v>3416</v>
      </c>
      <c r="D1855" s="2414" t="s">
        <v>1787</v>
      </c>
    </row>
    <row r="1856" spans="1:4" ht="12.75" customHeight="1">
      <c r="A1856" s="2410" t="str">
        <f t="shared" si="34"/>
        <v>LHP</v>
      </c>
      <c r="B1856" s="2410" t="s">
        <v>5535</v>
      </c>
      <c r="C1856" s="2410" t="s">
        <v>3417</v>
      </c>
      <c r="D1856" s="2414" t="s">
        <v>892</v>
      </c>
    </row>
    <row r="1857" spans="1:6" ht="12.75" customHeight="1">
      <c r="A1857" s="2410" t="str">
        <f t="shared" si="34"/>
        <v xml:space="preserve"> LHP; Volierenhaltung</v>
      </c>
      <c r="B1857" s="2410" t="s">
        <v>7138</v>
      </c>
      <c r="C1857" s="2410" t="s">
        <v>3708</v>
      </c>
      <c r="D1857" s="2414" t="s">
        <v>9191</v>
      </c>
    </row>
    <row r="1858" spans="1:6" ht="12.75" customHeight="1">
      <c r="A1858" s="2410" t="str">
        <f t="shared" si="34"/>
        <v xml:space="preserve"> LHP; Stall mit Schräggitter oder Kotgrube</v>
      </c>
      <c r="B1858" s="2410" t="s">
        <v>7139</v>
      </c>
      <c r="C1858" s="2410" t="s">
        <v>4451</v>
      </c>
      <c r="D1858" s="2414" t="s">
        <v>9192</v>
      </c>
    </row>
    <row r="1859" spans="1:6" ht="12.75" customHeight="1">
      <c r="A1859" s="2410" t="str">
        <f t="shared" si="34"/>
        <v xml:space="preserve"> LHP; Tiefstreuehaltung</v>
      </c>
      <c r="B1859" s="2410" t="s">
        <v>7140</v>
      </c>
      <c r="C1859" s="2410" t="s">
        <v>4452</v>
      </c>
      <c r="D1859" s="2414" t="s">
        <v>893</v>
      </c>
    </row>
    <row r="1860" spans="1:6" ht="12.75" customHeight="1">
      <c r="A1860" s="2410" t="str">
        <f t="shared" si="34"/>
        <v>Total GVE / LHP</v>
      </c>
      <c r="B1860" s="2410" t="s">
        <v>7141</v>
      </c>
      <c r="C1860" s="2410" t="s">
        <v>4453</v>
      </c>
      <c r="D1860" s="2414" t="s">
        <v>11193</v>
      </c>
    </row>
    <row r="1861" spans="1:6" ht="12.75" customHeight="1">
      <c r="A1861" s="2410">
        <f t="shared" si="34"/>
        <v>0</v>
      </c>
      <c r="B1861" s="2410"/>
      <c r="C1861" s="2410"/>
      <c r="D1861" s="2414"/>
    </row>
    <row r="1862" spans="1:6" ht="12.75" customHeight="1">
      <c r="A1862" s="2410" t="str">
        <f t="shared" si="34"/>
        <v>Flächen für den regelmässigen Auslauf ins Freie (RAUS)</v>
      </c>
      <c r="B1862" s="2410" t="s">
        <v>7143</v>
      </c>
      <c r="C1862" s="2410" t="s">
        <v>3158</v>
      </c>
      <c r="D1862" s="2414" t="s">
        <v>894</v>
      </c>
    </row>
    <row r="1863" spans="1:6" ht="12.75" customHeight="1">
      <c r="A1863" s="2410" t="str">
        <f t="shared" si="34"/>
        <v>Tierart</v>
      </c>
      <c r="B1863" s="2410" t="s">
        <v>5247</v>
      </c>
      <c r="C1863" s="2410" t="s">
        <v>4196</v>
      </c>
      <c r="D1863" s="2414" t="s">
        <v>9047</v>
      </c>
    </row>
    <row r="1864" spans="1:6" ht="12.75" customHeight="1">
      <c r="A1864" s="2410" t="str">
        <f t="shared" si="34"/>
        <v>Einheit</v>
      </c>
      <c r="B1864" s="2410" t="s">
        <v>6392</v>
      </c>
      <c r="C1864" s="2410" t="s">
        <v>6215</v>
      </c>
      <c r="D1864" s="2414" t="s">
        <v>1418</v>
      </c>
    </row>
    <row r="1865" spans="1:6" ht="12.75" customHeight="1">
      <c r="A1865" s="2410" t="str">
        <f t="shared" si="34"/>
        <v>Anzahl Einh.
im Winter</v>
      </c>
      <c r="B1865" s="2410" t="s">
        <v>5776</v>
      </c>
      <c r="C1865" s="2410" t="s">
        <v>3159</v>
      </c>
      <c r="D1865" s="2414" t="s">
        <v>9193</v>
      </c>
      <c r="F1865" s="2426"/>
    </row>
    <row r="1866" spans="1:6" ht="12.75" customHeight="1">
      <c r="A1866" s="2410" t="str">
        <f t="shared" si="34"/>
        <v>AS/
LS*</v>
      </c>
      <c r="B1866" s="2410" t="s">
        <v>5777</v>
      </c>
      <c r="C1866" s="2410" t="s">
        <v>3160</v>
      </c>
      <c r="D1866" s="2414" t="s">
        <v>3060</v>
      </c>
      <c r="F1866" s="2426"/>
    </row>
    <row r="1867" spans="1:6" ht="12.75" customHeight="1">
      <c r="A1867" s="2410" t="str">
        <f t="shared" si="34"/>
        <v>behornt/
unbehornt</v>
      </c>
      <c r="B1867" s="2410" t="s">
        <v>6287</v>
      </c>
      <c r="C1867" s="2410" t="s">
        <v>3161</v>
      </c>
      <c r="D1867" s="2414" t="s">
        <v>3061</v>
      </c>
      <c r="F1867" s="2426"/>
    </row>
    <row r="1868" spans="1:6" ht="12.75" customHeight="1">
      <c r="A1868" s="2410" t="str">
        <f t="shared" si="34"/>
        <v>Fläche/
Einheit</v>
      </c>
      <c r="B1868" s="2410" t="s">
        <v>2726</v>
      </c>
      <c r="C1868" s="2410" t="s">
        <v>1248</v>
      </c>
      <c r="D1868" s="2414" t="s">
        <v>11194</v>
      </c>
      <c r="F1868" s="2426"/>
    </row>
    <row r="1869" spans="1:6" ht="12.75" customHeight="1">
      <c r="A1869" s="2410" t="str">
        <f t="shared" si="34"/>
        <v>Fläche 
total</v>
      </c>
      <c r="B1869" s="2410" t="s">
        <v>3336</v>
      </c>
      <c r="C1869" s="2410" t="s">
        <v>1249</v>
      </c>
      <c r="D1869" s="2414" t="s">
        <v>5378</v>
      </c>
      <c r="F1869" s="2426"/>
    </row>
    <row r="1870" spans="1:6" ht="12.75" customHeight="1">
      <c r="A1870" s="2410" t="str">
        <f t="shared" si="34"/>
        <v>Bedarf:</v>
      </c>
      <c r="B1870" s="2410" t="s">
        <v>3338</v>
      </c>
      <c r="C1870" s="2410" t="s">
        <v>1250</v>
      </c>
      <c r="D1870" s="2414" t="s">
        <v>3062</v>
      </c>
    </row>
    <row r="1871" spans="1:6" ht="12.75" customHeight="1">
      <c r="A1871" s="2410" t="str">
        <f t="shared" si="34"/>
        <v>*) AS = Anbindestall; LS = Laufstall</v>
      </c>
      <c r="B1871" s="2410" t="s">
        <v>1154</v>
      </c>
      <c r="C1871" s="2410" t="s">
        <v>324</v>
      </c>
      <c r="D1871" s="2414" t="s">
        <v>3063</v>
      </c>
    </row>
    <row r="1872" spans="1:6" ht="12.75" customHeight="1">
      <c r="A1872" s="2410" t="str">
        <f t="shared" si="34"/>
        <v>Dürrfutterraum</v>
      </c>
      <c r="B1872" s="2410" t="s">
        <v>1156</v>
      </c>
      <c r="C1872" s="2410" t="s">
        <v>6119</v>
      </c>
      <c r="D1872" s="2414" t="s">
        <v>9194</v>
      </c>
    </row>
    <row r="1873" spans="1:4" ht="12.75" customHeight="1">
      <c r="A1873" s="2410" t="str">
        <f t="shared" si="34"/>
        <v>Dürrfutterbedarf</v>
      </c>
      <c r="B1873" s="2410" t="s">
        <v>5371</v>
      </c>
      <c r="C1873" s="2410" t="s">
        <v>325</v>
      </c>
      <c r="D1873" s="2414" t="s">
        <v>9195</v>
      </c>
    </row>
    <row r="1874" spans="1:4" ht="12.75" customHeight="1">
      <c r="A1874" s="2410" t="str">
        <f t="shared" si="34"/>
        <v>dt TS x Raumbedarf</v>
      </c>
      <c r="B1874" s="2410" t="s">
        <v>1158</v>
      </c>
      <c r="C1874" s="2410" t="s">
        <v>326</v>
      </c>
      <c r="D1874" s="2414" t="s">
        <v>9196</v>
      </c>
    </row>
    <row r="1875" spans="1:4" ht="12.75" customHeight="1">
      <c r="A1875" s="2410" t="str">
        <f t="shared" si="34"/>
        <v>m³/dt TS</v>
      </c>
      <c r="B1875" s="2410" t="s">
        <v>7008</v>
      </c>
      <c r="C1875" s="2410" t="s">
        <v>327</v>
      </c>
      <c r="D1875" s="2414" t="s">
        <v>9197</v>
      </c>
    </row>
    <row r="1876" spans="1:4" ht="12.75" customHeight="1">
      <c r="A1876" s="2410" t="str">
        <f t="shared" si="34"/>
        <v>Reserve</v>
      </c>
      <c r="B1876" s="2410" t="s">
        <v>7010</v>
      </c>
      <c r="C1876" s="2410" t="s">
        <v>328</v>
      </c>
      <c r="D1876" s="2414" t="s">
        <v>4476</v>
      </c>
    </row>
    <row r="1877" spans="1:4" ht="12.75" customHeight="1">
      <c r="A1877" s="2410" t="str">
        <f t="shared" si="34"/>
        <v>Nettolagerraum (ohne Funktionsraum!)</v>
      </c>
      <c r="B1877" s="2410" t="s">
        <v>7011</v>
      </c>
      <c r="C1877" s="2410" t="s">
        <v>662</v>
      </c>
      <c r="D1877" s="2414" t="s">
        <v>9198</v>
      </c>
    </row>
    <row r="1878" spans="1:4" ht="12.75" customHeight="1">
      <c r="A1878" s="2410" t="str">
        <f t="shared" si="34"/>
        <v>Bedarf:</v>
      </c>
      <c r="B1878" s="2410" t="s">
        <v>3338</v>
      </c>
      <c r="C1878" s="2410" t="s">
        <v>1250</v>
      </c>
      <c r="D1878" s="2414" t="s">
        <v>3062</v>
      </c>
    </row>
    <row r="1879" spans="1:4" ht="12.75" customHeight="1">
      <c r="A1879" s="2410" t="str">
        <f t="shared" si="34"/>
        <v>vorhanden:</v>
      </c>
      <c r="B1879" s="2410" t="s">
        <v>1155</v>
      </c>
      <c r="C1879" s="2410" t="s">
        <v>663</v>
      </c>
      <c r="D1879" s="2414" t="s">
        <v>9199</v>
      </c>
    </row>
    <row r="1880" spans="1:4" ht="12.75" customHeight="1">
      <c r="A1880" s="2410" t="str">
        <f t="shared" si="34"/>
        <v>noch zu erstellen:</v>
      </c>
      <c r="B1880" s="2410" t="s">
        <v>7012</v>
      </c>
      <c r="C1880" s="2410" t="s">
        <v>1727</v>
      </c>
      <c r="D1880" s="2414" t="s">
        <v>9200</v>
      </c>
    </row>
    <row r="1881" spans="1:4" ht="12.75" customHeight="1">
      <c r="A1881" s="2410" t="str">
        <f t="shared" si="34"/>
        <v>Strohraum</v>
      </c>
      <c r="B1881" s="2410" t="s">
        <v>7013</v>
      </c>
      <c r="C1881" s="2410" t="s">
        <v>1728</v>
      </c>
      <c r="D1881" s="2414" t="s">
        <v>9201</v>
      </c>
    </row>
    <row r="1882" spans="1:4" ht="12.75" customHeight="1">
      <c r="A1882" s="2410" t="str">
        <f t="shared" si="34"/>
        <v>Strohbedarf</v>
      </c>
      <c r="B1882" s="2410" t="s">
        <v>5466</v>
      </c>
      <c r="C1882" s="2410" t="s">
        <v>1729</v>
      </c>
      <c r="D1882" s="2414" t="s">
        <v>9202</v>
      </c>
    </row>
    <row r="1883" spans="1:4" ht="12.75" customHeight="1">
      <c r="A1883" s="2410" t="str">
        <f t="shared" si="34"/>
        <v>dt x Raumbedarf</v>
      </c>
      <c r="B1883" s="2410" t="s">
        <v>5467</v>
      </c>
      <c r="C1883" s="2410" t="s">
        <v>1730</v>
      </c>
      <c r="D1883" s="2414" t="s">
        <v>9196</v>
      </c>
    </row>
    <row r="1884" spans="1:4" ht="12.75" customHeight="1">
      <c r="A1884" s="2410" t="str">
        <f t="shared" si="34"/>
        <v>Nettolagerraum (ohne Funktionsraum!)</v>
      </c>
      <c r="B1884" s="2410" t="s">
        <v>7011</v>
      </c>
      <c r="C1884" s="2410" t="s">
        <v>662</v>
      </c>
      <c r="D1884" s="2414" t="s">
        <v>9203</v>
      </c>
    </row>
    <row r="1885" spans="1:4" ht="12.75" customHeight="1">
      <c r="A1885" s="2410" t="str">
        <f t="shared" si="34"/>
        <v>Siloraum</v>
      </c>
      <c r="B1885" s="2410" t="s">
        <v>3229</v>
      </c>
      <c r="C1885" s="2410" t="s">
        <v>6120</v>
      </c>
      <c r="D1885" s="2414" t="s">
        <v>9204</v>
      </c>
    </row>
    <row r="1886" spans="1:4" ht="12.75" customHeight="1">
      <c r="A1886" s="2410" t="str">
        <f t="shared" si="34"/>
        <v>Grassilage Winter</v>
      </c>
      <c r="B1886" s="2410" t="s">
        <v>3252</v>
      </c>
      <c r="C1886" s="2410" t="s">
        <v>1731</v>
      </c>
      <c r="D1886" s="2414" t="s">
        <v>9205</v>
      </c>
    </row>
    <row r="1887" spans="1:4" ht="12.75" customHeight="1">
      <c r="A1887" s="2410" t="str">
        <f t="shared" si="34"/>
        <v>Grassilage Sommer</v>
      </c>
      <c r="B1887" s="2410" t="s">
        <v>2767</v>
      </c>
      <c r="C1887" s="2410" t="s">
        <v>1732</v>
      </c>
      <c r="D1887" s="2414" t="s">
        <v>9206</v>
      </c>
    </row>
    <row r="1888" spans="1:4" ht="12.75" customHeight="1">
      <c r="A1888" s="2410" t="str">
        <f t="shared" si="34"/>
        <v>Maissilage Winter</v>
      </c>
      <c r="B1888" s="2410" t="s">
        <v>2768</v>
      </c>
      <c r="C1888" s="2410" t="s">
        <v>5585</v>
      </c>
      <c r="D1888" s="2414" t="s">
        <v>11195</v>
      </c>
    </row>
    <row r="1889" spans="1:4" ht="12.75" customHeight="1">
      <c r="A1889" s="2410" t="str">
        <f t="shared" si="34"/>
        <v>Maissilage Sommer</v>
      </c>
      <c r="B1889" s="2410" t="s">
        <v>2769</v>
      </c>
      <c r="C1889" s="2410" t="s">
        <v>43</v>
      </c>
      <c r="D1889" s="2414" t="s">
        <v>11196</v>
      </c>
    </row>
    <row r="1890" spans="1:4" ht="12.75" customHeight="1">
      <c r="A1890" s="2410" t="str">
        <f t="shared" si="34"/>
        <v>Total Siloraumbedarf</v>
      </c>
      <c r="B1890" s="2410" t="s">
        <v>158</v>
      </c>
      <c r="C1890" s="2410" t="s">
        <v>6793</v>
      </c>
      <c r="D1890" s="2414" t="s">
        <v>9207</v>
      </c>
    </row>
    <row r="1891" spans="1:4" ht="12.75" customHeight="1">
      <c r="A1891" s="2410" t="str">
        <f t="shared" si="34"/>
        <v>Silagebedarf</v>
      </c>
      <c r="B1891" s="2410" t="s">
        <v>6993</v>
      </c>
      <c r="C1891" s="2410" t="s">
        <v>5957</v>
      </c>
      <c r="D1891" s="2414" t="s">
        <v>11197</v>
      </c>
    </row>
    <row r="1892" spans="1:4" ht="12.75" customHeight="1">
      <c r="A1892" s="2410" t="str">
        <f t="shared" si="34"/>
        <v>dt TS x Bruttolagerraum</v>
      </c>
      <c r="B1892" s="2410" t="s">
        <v>6994</v>
      </c>
      <c r="C1892" s="2410" t="s">
        <v>529</v>
      </c>
      <c r="D1892" s="2414" t="s">
        <v>9208</v>
      </c>
    </row>
    <row r="1893" spans="1:4" ht="12.75" customHeight="1">
      <c r="A1893" s="2410" t="str">
        <f t="shared" si="34"/>
        <v>m³/dt TS</v>
      </c>
      <c r="B1893" s="2410" t="s">
        <v>7008</v>
      </c>
      <c r="C1893" s="2410" t="s">
        <v>327</v>
      </c>
      <c r="D1893" s="2414" t="s">
        <v>9197</v>
      </c>
    </row>
    <row r="1894" spans="1:4" ht="12.75" customHeight="1">
      <c r="A1894" s="2410" t="str">
        <f t="shared" si="34"/>
        <v>Güllenlagerraum</v>
      </c>
      <c r="B1894" s="2410" t="s">
        <v>159</v>
      </c>
      <c r="C1894" s="2410" t="s">
        <v>6160</v>
      </c>
      <c r="D1894" s="2414" t="s">
        <v>9209</v>
      </c>
    </row>
    <row r="1895" spans="1:4" ht="12.75" customHeight="1">
      <c r="A1895" s="2410" t="str">
        <f t="shared" si="34"/>
        <v>Notwendiger Güllenlagerraum bei einer Lagerdauer von</v>
      </c>
      <c r="B1895" s="2410" t="s">
        <v>160</v>
      </c>
      <c r="C1895" s="2410" t="s">
        <v>2274</v>
      </c>
      <c r="D1895" s="2414" t="s">
        <v>9210</v>
      </c>
    </row>
    <row r="1896" spans="1:4" ht="12.75" customHeight="1">
      <c r="A1896" s="2410" t="str">
        <f t="shared" si="34"/>
        <v>Monate</v>
      </c>
      <c r="B1896" s="2410" t="s">
        <v>4984</v>
      </c>
      <c r="C1896" s="2410" t="s">
        <v>5019</v>
      </c>
      <c r="D1896" s="2414" t="s">
        <v>5875</v>
      </c>
    </row>
    <row r="1897" spans="1:4" ht="12.75" customHeight="1">
      <c r="A1897" s="2410" t="str">
        <f t="shared" si="34"/>
        <v>Mistplatz</v>
      </c>
      <c r="B1897" s="2410" t="s">
        <v>161</v>
      </c>
      <c r="C1897" s="2410" t="s">
        <v>6504</v>
      </c>
      <c r="D1897" s="2414" t="s">
        <v>9211</v>
      </c>
    </row>
    <row r="1898" spans="1:4" ht="12.75" customHeight="1">
      <c r="A1898" s="2410" t="str">
        <f t="shared" si="34"/>
        <v>Mistanfallsmenge im Winter</v>
      </c>
      <c r="B1898" s="2410" t="s">
        <v>162</v>
      </c>
      <c r="C1898" s="2410" t="s">
        <v>6505</v>
      </c>
      <c r="D1898" s="2414" t="s">
        <v>9212</v>
      </c>
    </row>
    <row r="1899" spans="1:4" ht="12.75" customHeight="1">
      <c r="A1899" s="2410" t="str">
        <f t="shared" si="34"/>
        <v>t x Raumbedarf</v>
      </c>
      <c r="B1899" s="2410" t="s">
        <v>163</v>
      </c>
      <c r="C1899" s="2410" t="s">
        <v>6506</v>
      </c>
      <c r="D1899" s="2414" t="s">
        <v>4513</v>
      </c>
    </row>
    <row r="1900" spans="1:4" ht="12.75" customHeight="1">
      <c r="A1900" s="2410" t="str">
        <f t="shared" si="34"/>
        <v>Stapelhöhe</v>
      </c>
      <c r="B1900" s="2410" t="s">
        <v>164</v>
      </c>
      <c r="C1900" s="2410" t="s">
        <v>6507</v>
      </c>
      <c r="D1900" s="2414" t="s">
        <v>4496</v>
      </c>
    </row>
    <row r="1901" spans="1:4" ht="12.75" customHeight="1">
      <c r="A1901" s="2410" t="str">
        <f t="shared" si="34"/>
        <v>Maschinenraum</v>
      </c>
      <c r="B1901" s="2410" t="s">
        <v>2584</v>
      </c>
      <c r="C1901" s="2410" t="s">
        <v>6508</v>
      </c>
      <c r="D1901" s="2414" t="s">
        <v>9213</v>
      </c>
    </row>
    <row r="1902" spans="1:4" ht="12.75" customHeight="1">
      <c r="A1902" s="2410" t="str">
        <f t="shared" si="34"/>
        <v>Notwendiger Garageraum</v>
      </c>
      <c r="B1902" s="2410" t="s">
        <v>7553</v>
      </c>
      <c r="C1902" s="2410" t="s">
        <v>6509</v>
      </c>
      <c r="D1902" s="2414" t="s">
        <v>9214</v>
      </c>
    </row>
    <row r="1903" spans="1:4" ht="12.75" customHeight="1">
      <c r="A1903" s="2410" t="str">
        <f t="shared" si="34"/>
        <v>Notwendiger Remisenraum</v>
      </c>
      <c r="B1903" s="2410" t="s">
        <v>7554</v>
      </c>
      <c r="C1903" s="2410" t="s">
        <v>6326</v>
      </c>
      <c r="D1903" s="2414" t="s">
        <v>9215</v>
      </c>
    </row>
    <row r="1904" spans="1:4" ht="12.75" customHeight="1">
      <c r="A1904" s="2410">
        <f t="shared" si="34"/>
        <v>0</v>
      </c>
      <c r="B1904" s="2410"/>
      <c r="C1904" s="2410"/>
      <c r="D1904" s="2414"/>
    </row>
    <row r="1905" spans="1:4" ht="12.75" customHeight="1">
      <c r="A1905" s="2410" t="str">
        <f t="shared" si="34"/>
        <v>Deckungsbeiträge je Einheit</v>
      </c>
      <c r="B1905" s="2410" t="s">
        <v>2773</v>
      </c>
      <c r="C1905" s="2410" t="s">
        <v>3969</v>
      </c>
      <c r="D1905" s="2414" t="s">
        <v>7293</v>
      </c>
    </row>
    <row r="1906" spans="1:4" ht="12.75" customHeight="1">
      <c r="A1906" s="2410" t="str">
        <f t="shared" si="34"/>
        <v>Einheit / Betriebszweig</v>
      </c>
      <c r="B1906" s="2410" t="s">
        <v>2774</v>
      </c>
      <c r="C1906" s="2410" t="s">
        <v>3970</v>
      </c>
      <c r="D1906" s="2414" t="s">
        <v>9216</v>
      </c>
    </row>
    <row r="1907" spans="1:4" ht="12.75" customHeight="1">
      <c r="A1907" s="2410" t="str">
        <f t="shared" si="34"/>
        <v>Menge</v>
      </c>
      <c r="B1907" s="2410" t="s">
        <v>5418</v>
      </c>
      <c r="C1907" s="2410" t="s">
        <v>3971</v>
      </c>
      <c r="D1907" s="2414" t="s">
        <v>6338</v>
      </c>
    </row>
    <row r="1908" spans="1:4" ht="12.75" customHeight="1">
      <c r="A1908" s="2410" t="str">
        <f t="shared" si="34"/>
        <v>Preis</v>
      </c>
      <c r="B1908" s="2410" t="s">
        <v>2012</v>
      </c>
      <c r="C1908" s="2410" t="s">
        <v>3972</v>
      </c>
      <c r="D1908" s="2414" t="s">
        <v>6339</v>
      </c>
    </row>
    <row r="1909" spans="1:4" ht="12.75" customHeight="1">
      <c r="A1909" s="2410" t="str">
        <f t="shared" si="34"/>
        <v>Betrag</v>
      </c>
      <c r="B1909" s="2410" t="s">
        <v>2013</v>
      </c>
      <c r="C1909" s="2410" t="s">
        <v>3973</v>
      </c>
      <c r="D1909" s="2414" t="s">
        <v>9217</v>
      </c>
    </row>
    <row r="1910" spans="1:4" ht="12.75" customHeight="1">
      <c r="A1910" s="2410" t="str">
        <f t="shared" si="34"/>
        <v>Leist.total, Ertrag / Einheit</v>
      </c>
      <c r="B1910" s="2410" t="s">
        <v>8254</v>
      </c>
      <c r="C1910" s="2410" t="s">
        <v>1927</v>
      </c>
      <c r="D1910" s="2414" t="s">
        <v>9218</v>
      </c>
    </row>
    <row r="1911" spans="1:4" ht="12.75" customHeight="1">
      <c r="A1911" s="2410" t="str">
        <f t="shared" si="34"/>
        <v>Variable Kosten / Einheit</v>
      </c>
      <c r="B1911" s="2410" t="s">
        <v>2252</v>
      </c>
      <c r="C1911" s="2410" t="s">
        <v>1931</v>
      </c>
      <c r="D1911" s="2414" t="s">
        <v>9219</v>
      </c>
    </row>
    <row r="1912" spans="1:4" ht="12.75" customHeight="1">
      <c r="A1912" s="2410" t="str">
        <f t="shared" si="34"/>
        <v>Deckungsbeitrag / Einheit</v>
      </c>
      <c r="B1912" s="2410" t="s">
        <v>2253</v>
      </c>
      <c r="C1912" s="2410" t="s">
        <v>1640</v>
      </c>
      <c r="D1912" s="2414" t="s">
        <v>9220</v>
      </c>
    </row>
    <row r="1913" spans="1:4" ht="12.75" customHeight="1">
      <c r="A1913" s="2410">
        <f t="shared" si="34"/>
        <v>0</v>
      </c>
      <c r="B1913" s="2410"/>
      <c r="C1913" s="2410"/>
      <c r="D1913" s="2414"/>
    </row>
    <row r="1914" spans="1:4" ht="12.75" customHeight="1">
      <c r="A1914" s="2410" t="str">
        <f t="shared" ref="A1914:A1981" si="35">IF($A$2=1,B1914,IF($A$2=2,C1914,IF($A$2=3,IF(D1914="",C1914,D1914),"")))</f>
        <v>Deckungsbeitrag Milchvieh und Aufzucht</v>
      </c>
      <c r="B1914" s="2410" t="s">
        <v>3443</v>
      </c>
      <c r="C1914" s="2410" t="s">
        <v>7361</v>
      </c>
      <c r="D1914" s="2414" t="s">
        <v>9221</v>
      </c>
    </row>
    <row r="1915" spans="1:4" ht="12.75" customHeight="1">
      <c r="A1915" s="2410" t="str">
        <f t="shared" si="35"/>
        <v>GVE total</v>
      </c>
      <c r="B1915" s="2410" t="s">
        <v>2093</v>
      </c>
      <c r="C1915" s="2410" t="s">
        <v>6375</v>
      </c>
      <c r="D1915" s="2414" t="s">
        <v>9222</v>
      </c>
    </row>
    <row r="1916" spans="1:4" ht="12.75" customHeight="1">
      <c r="A1916" s="2410" t="str">
        <f t="shared" si="35"/>
        <v>Leistung</v>
      </c>
      <c r="B1916" s="2410" t="s">
        <v>3444</v>
      </c>
      <c r="C1916" s="2410" t="s">
        <v>4720</v>
      </c>
      <c r="D1916" s="2414" t="s">
        <v>9223</v>
      </c>
    </row>
    <row r="1917" spans="1:4" ht="12.75" customHeight="1">
      <c r="A1917" s="2410" t="str">
        <f t="shared" si="35"/>
        <v>Einheit</v>
      </c>
      <c r="B1917" s="2410" t="s">
        <v>6392</v>
      </c>
      <c r="C1917" s="2410" t="s">
        <v>6215</v>
      </c>
      <c r="D1917" s="2414" t="s">
        <v>1418</v>
      </c>
    </row>
    <row r="1918" spans="1:4" ht="12.75" customHeight="1">
      <c r="A1918" s="2410" t="str">
        <f t="shared" si="35"/>
        <v>Menge</v>
      </c>
      <c r="B1918" s="2410" t="s">
        <v>5418</v>
      </c>
      <c r="C1918" s="2410" t="s">
        <v>3429</v>
      </c>
      <c r="D1918" s="2414" t="s">
        <v>2271</v>
      </c>
    </row>
    <row r="1919" spans="1:4" ht="12.75" customHeight="1">
      <c r="A1919" s="2410" t="str">
        <f t="shared" si="35"/>
        <v>CHF / Einheit</v>
      </c>
      <c r="B1919" s="2410" t="s">
        <v>1680</v>
      </c>
      <c r="C1919" s="2410" t="s">
        <v>1681</v>
      </c>
      <c r="D1919" s="2414" t="s">
        <v>1693</v>
      </c>
    </row>
    <row r="1920" spans="1:4" ht="12.75" customHeight="1">
      <c r="A1920" s="2410" t="str">
        <f t="shared" si="35"/>
        <v>Betrag / CHF</v>
      </c>
      <c r="B1920" s="2410" t="s">
        <v>6557</v>
      </c>
      <c r="C1920" s="2410" t="s">
        <v>6558</v>
      </c>
      <c r="D1920" s="2414" t="s">
        <v>9224</v>
      </c>
    </row>
    <row r="1921" spans="1:4" ht="12.75" customHeight="1">
      <c r="A1921" s="2410" t="str">
        <f t="shared" si="35"/>
        <v>CHF / GVE</v>
      </c>
      <c r="B1921" s="2410" t="s">
        <v>1682</v>
      </c>
      <c r="C1921" s="2410" t="s">
        <v>1683</v>
      </c>
      <c r="D1921" s="2414" t="s">
        <v>9225</v>
      </c>
    </row>
    <row r="1922" spans="1:4" ht="12.75" customHeight="1">
      <c r="A1922" s="2410" t="str">
        <f t="shared" si="35"/>
        <v>Milch: Verkauf 1 und Haushalt</v>
      </c>
      <c r="B1922" s="2410" t="s">
        <v>8252</v>
      </c>
      <c r="C1922" s="2410" t="s">
        <v>6277</v>
      </c>
      <c r="D1922" s="2414" t="s">
        <v>9226</v>
      </c>
    </row>
    <row r="1923" spans="1:4" ht="12.75" customHeight="1">
      <c r="A1923" s="2410" t="str">
        <f t="shared" si="35"/>
        <v>Milch: Verkauf 2</v>
      </c>
      <c r="B1923" s="2410" t="s">
        <v>8253</v>
      </c>
      <c r="C1923" s="2410" t="s">
        <v>6278</v>
      </c>
      <c r="D1923" s="2414" t="s">
        <v>9227</v>
      </c>
    </row>
    <row r="1924" spans="1:4" ht="12.75" customHeight="1">
      <c r="A1924" s="2410" t="str">
        <f t="shared" si="35"/>
        <v>Verkauf Zucht- oder Nutzkühe</v>
      </c>
      <c r="B1924" s="2410" t="s">
        <v>8230</v>
      </c>
      <c r="C1924" s="2410" t="s">
        <v>2586</v>
      </c>
      <c r="D1924" s="2414" t="s">
        <v>9228</v>
      </c>
    </row>
    <row r="1925" spans="1:4" ht="12.75" customHeight="1">
      <c r="A1925" s="2410" t="str">
        <f t="shared" si="35"/>
        <v>Verkauf Ausmerzkühe</v>
      </c>
      <c r="B1925" s="2410" t="s">
        <v>6521</v>
      </c>
      <c r="C1925" s="2410" t="s">
        <v>2587</v>
      </c>
      <c r="D1925" s="2414" t="s">
        <v>9229</v>
      </c>
    </row>
    <row r="1926" spans="1:4" ht="12.75" customHeight="1">
      <c r="A1926" s="2410" t="str">
        <f t="shared" si="35"/>
        <v>Verkauf Rinder über 2 Jahre</v>
      </c>
      <c r="B1926" s="2410" t="s">
        <v>6522</v>
      </c>
      <c r="C1926" s="2410" t="s">
        <v>8190</v>
      </c>
      <c r="D1926" s="2414" t="s">
        <v>9230</v>
      </c>
    </row>
    <row r="1927" spans="1:4" ht="12.75" customHeight="1">
      <c r="A1927" s="2410" t="str">
        <f t="shared" si="35"/>
        <v>Verkauf Rinder 1 bis 2 Jahre</v>
      </c>
      <c r="B1927" s="2410" t="s">
        <v>6523</v>
      </c>
      <c r="C1927" s="2410" t="s">
        <v>4584</v>
      </c>
      <c r="D1927" s="2414" t="s">
        <v>9231</v>
      </c>
    </row>
    <row r="1928" spans="1:4" ht="12.75" customHeight="1">
      <c r="A1928" s="2410" t="str">
        <f t="shared" si="35"/>
        <v>Verkauf Aufzuchtstiere</v>
      </c>
      <c r="B1928" s="2410" t="s">
        <v>6524</v>
      </c>
      <c r="C1928" s="2410" t="s">
        <v>1275</v>
      </c>
      <c r="D1928" s="2414" t="s">
        <v>9232</v>
      </c>
    </row>
    <row r="1929" spans="1:4" ht="12.75" customHeight="1">
      <c r="A1929" s="2410" t="str">
        <f t="shared" si="35"/>
        <v>Verkauf Deckstiere</v>
      </c>
      <c r="B1929" s="2410" t="s">
        <v>6525</v>
      </c>
      <c r="C1929" s="2410" t="s">
        <v>6285</v>
      </c>
      <c r="D1929" s="2414" t="s">
        <v>9233</v>
      </c>
    </row>
    <row r="1930" spans="1:4" ht="12.75" customHeight="1">
      <c r="A1930" s="2410" t="str">
        <f t="shared" si="35"/>
        <v>Verkauf Aufzuchtkälber, bis 160-tägig, w + m</v>
      </c>
      <c r="B1930" s="2410" t="s">
        <v>8240</v>
      </c>
      <c r="C1930" s="2410" t="s">
        <v>8241</v>
      </c>
      <c r="D1930" s="2414" t="s">
        <v>9234</v>
      </c>
    </row>
    <row r="1931" spans="1:4" ht="12.75" customHeight="1">
      <c r="A1931" s="2410" t="str">
        <f t="shared" si="35"/>
        <v>Verkauf Aufzuchtkälber, 160 bis 365-tägig, w + m</v>
      </c>
      <c r="B1931" s="2410" t="s">
        <v>8231</v>
      </c>
      <c r="C1931" s="2410" t="s">
        <v>8236</v>
      </c>
      <c r="D1931" s="2414" t="s">
        <v>9235</v>
      </c>
    </row>
    <row r="1932" spans="1:4" ht="12.75" customHeight="1">
      <c r="A1932" s="2410" t="str">
        <f t="shared" si="35"/>
        <v>Verkauf Tränkkälber</v>
      </c>
      <c r="B1932" s="2410" t="s">
        <v>2441</v>
      </c>
      <c r="C1932" s="2410" t="s">
        <v>2454</v>
      </c>
      <c r="D1932" s="2414" t="s">
        <v>8846</v>
      </c>
    </row>
    <row r="1933" spans="1:4" ht="12.75" customHeight="1">
      <c r="A1933" s="2410" t="str">
        <f t="shared" si="35"/>
        <v>Verkauf Mastkälber</v>
      </c>
      <c r="B1933" s="2410" t="s">
        <v>845</v>
      </c>
      <c r="C1933" s="2410" t="s">
        <v>2455</v>
      </c>
      <c r="D1933" s="2414" t="s">
        <v>11154</v>
      </c>
    </row>
    <row r="1934" spans="1:4" ht="12.75" customHeight="1">
      <c r="A1934" s="2410" t="str">
        <f t="shared" si="35"/>
        <v>Verkauf Mastremonten &lt; 160-t. w + m</v>
      </c>
      <c r="B1934" s="2410" t="s">
        <v>8249</v>
      </c>
      <c r="C1934" s="2410" t="s">
        <v>8243</v>
      </c>
      <c r="D1934" s="2414" t="s">
        <v>11198</v>
      </c>
    </row>
    <row r="1935" spans="1:4" ht="12.75" customHeight="1">
      <c r="A1935" s="2410" t="str">
        <f t="shared" si="35"/>
        <v>Verkauf Mastremonten &gt; 160-t. w + m</v>
      </c>
      <c r="B1935" s="2410" t="s">
        <v>8250</v>
      </c>
      <c r="C1935" s="2410" t="s">
        <v>8244</v>
      </c>
      <c r="D1935" s="2414" t="s">
        <v>11199</v>
      </c>
    </row>
    <row r="1936" spans="1:4" ht="12.75" customHeight="1">
      <c r="A1936" s="2410" t="str">
        <f t="shared" si="35"/>
        <v>Verkauf Grossviehmast</v>
      </c>
      <c r="B1936" s="2410" t="s">
        <v>2442</v>
      </c>
      <c r="C1936" s="2410" t="s">
        <v>1900</v>
      </c>
      <c r="D1936" s="2414" t="s">
        <v>9236</v>
      </c>
    </row>
    <row r="1937" spans="1:4" ht="12.75" customHeight="1">
      <c r="A1937" s="2410" t="str">
        <f t="shared" si="35"/>
        <v>Tiere an Fütterung</v>
      </c>
      <c r="B1937" s="2410" t="s">
        <v>2443</v>
      </c>
      <c r="C1937" s="2410" t="s">
        <v>886</v>
      </c>
      <c r="D1937" s="2414" t="s">
        <v>9237</v>
      </c>
    </row>
    <row r="1938" spans="1:4" ht="12.75" customHeight="1">
      <c r="A1938" s="2410" t="str">
        <f t="shared" si="35"/>
        <v>Erträge, verschiedene</v>
      </c>
      <c r="B1938" s="2410" t="s">
        <v>8251</v>
      </c>
      <c r="C1938" s="2410" t="s">
        <v>887</v>
      </c>
      <c r="D1938" s="2414" t="s">
        <v>9238</v>
      </c>
    </row>
    <row r="1939" spans="1:4" ht="12.75" customHeight="1">
      <c r="A1939" s="2410" t="str">
        <f t="shared" si="35"/>
        <v>Leistung total, Ertrag</v>
      </c>
      <c r="B1939" s="2410" t="s">
        <v>8150</v>
      </c>
      <c r="C1939" s="2410" t="s">
        <v>2574</v>
      </c>
      <c r="D1939" s="2414" t="s">
        <v>9223</v>
      </c>
    </row>
    <row r="1940" spans="1:4" ht="12.75" customHeight="1">
      <c r="A1940" s="2410" t="str">
        <f t="shared" si="35"/>
        <v>Variable Kosten</v>
      </c>
      <c r="B1940" s="2410" t="s">
        <v>5662</v>
      </c>
      <c r="C1940" s="2410" t="s">
        <v>1901</v>
      </c>
      <c r="D1940" s="2414" t="s">
        <v>9239</v>
      </c>
    </row>
    <row r="1941" spans="1:4" ht="12.75" customHeight="1">
      <c r="A1941" s="2410" t="str">
        <f t="shared" si="35"/>
        <v>Zukauf Kühe</v>
      </c>
      <c r="B1941" s="2410" t="s">
        <v>5663</v>
      </c>
      <c r="C1941" s="2410" t="s">
        <v>1902</v>
      </c>
      <c r="D1941" s="2414" t="s">
        <v>9240</v>
      </c>
    </row>
    <row r="1942" spans="1:4" ht="12.75" customHeight="1">
      <c r="A1942" s="2410" t="str">
        <f t="shared" si="35"/>
        <v>Zukauf Rinder über 2 Jahre</v>
      </c>
      <c r="B1942" s="2410" t="s">
        <v>5664</v>
      </c>
      <c r="C1942" s="2410" t="s">
        <v>8191</v>
      </c>
      <c r="D1942" s="2414" t="s">
        <v>9241</v>
      </c>
    </row>
    <row r="1943" spans="1:4" ht="12.75" customHeight="1">
      <c r="A1943" s="2410" t="str">
        <f t="shared" si="35"/>
        <v>Zukauf Rinder 1 bis 2 Jahre</v>
      </c>
      <c r="B1943" s="2410" t="s">
        <v>5665</v>
      </c>
      <c r="C1943" s="2410" t="s">
        <v>1903</v>
      </c>
      <c r="D1943" s="2414" t="s">
        <v>9242</v>
      </c>
    </row>
    <row r="1944" spans="1:4" ht="12.75" customHeight="1">
      <c r="A1944" s="2410" t="str">
        <f t="shared" si="35"/>
        <v>Zukauf Aufzuchtstiere</v>
      </c>
      <c r="B1944" s="2410" t="s">
        <v>5666</v>
      </c>
      <c r="C1944" s="2410" t="s">
        <v>3376</v>
      </c>
      <c r="D1944" s="2414" t="s">
        <v>9243</v>
      </c>
    </row>
    <row r="1945" spans="1:4" ht="12.75" customHeight="1">
      <c r="A1945" s="2410" t="str">
        <f t="shared" si="35"/>
        <v>Zukauf Zuchtstiere</v>
      </c>
      <c r="B1945" s="2410" t="s">
        <v>5667</v>
      </c>
      <c r="C1945" s="2410" t="s">
        <v>3377</v>
      </c>
      <c r="D1945" s="2414" t="s">
        <v>9244</v>
      </c>
    </row>
    <row r="1946" spans="1:4" ht="12.75" customHeight="1">
      <c r="A1946" s="2410" t="str">
        <f t="shared" si="35"/>
        <v>Zukauf Aufzuchtkälber, bis 160-tägig, w + m</v>
      </c>
      <c r="B1946" s="2410" t="s">
        <v>8239</v>
      </c>
      <c r="C1946" s="2410" t="s">
        <v>8242</v>
      </c>
      <c r="D1946" s="2414" t="s">
        <v>9245</v>
      </c>
    </row>
    <row r="1947" spans="1:4" ht="12.75" customHeight="1">
      <c r="A1947" s="2410" t="str">
        <f t="shared" si="35"/>
        <v>Zukauf Aufzuchtkälber, 160 bis 365-tägig, w + m</v>
      </c>
      <c r="B1947" s="2410" t="s">
        <v>8238</v>
      </c>
      <c r="C1947" s="2410" t="s">
        <v>8237</v>
      </c>
      <c r="D1947" s="2414" t="s">
        <v>9246</v>
      </c>
    </row>
    <row r="1948" spans="1:4" ht="12.75" customHeight="1">
      <c r="A1948" s="2410" t="str">
        <f t="shared" si="35"/>
        <v>Zukauf Tränkekälber</v>
      </c>
      <c r="B1948" s="2410" t="s">
        <v>4988</v>
      </c>
      <c r="C1948" s="2410" t="s">
        <v>7351</v>
      </c>
      <c r="D1948" s="2414" t="s">
        <v>8845</v>
      </c>
    </row>
    <row r="1949" spans="1:4" ht="12.75" customHeight="1">
      <c r="A1949" s="2410" t="str">
        <f t="shared" si="35"/>
        <v>Zukauf Vormastkälber</v>
      </c>
      <c r="B1949" s="2410" t="s">
        <v>3922</v>
      </c>
      <c r="C1949" s="2410" t="s">
        <v>5154</v>
      </c>
      <c r="D1949" s="2414" t="s">
        <v>9247</v>
      </c>
    </row>
    <row r="1950" spans="1:4" ht="12.75" customHeight="1">
      <c r="A1950" s="2410" t="str">
        <f t="shared" si="35"/>
        <v>Zukauf Mastremonten &lt; 160-t. w + m</v>
      </c>
      <c r="B1950" s="2410" t="s">
        <v>8247</v>
      </c>
      <c r="C1950" s="2410" t="s">
        <v>8245</v>
      </c>
      <c r="D1950" s="2414" t="s">
        <v>9248</v>
      </c>
    </row>
    <row r="1951" spans="1:4" ht="12.75" customHeight="1">
      <c r="A1951" s="2410" t="str">
        <f t="shared" si="35"/>
        <v>Zukauf Mastremonten &gt; 160-t. w + m</v>
      </c>
      <c r="B1951" s="2410" t="s">
        <v>8248</v>
      </c>
      <c r="C1951" s="2410" t="s">
        <v>8246</v>
      </c>
      <c r="D1951" s="2414" t="s">
        <v>9249</v>
      </c>
    </row>
    <row r="1952" spans="1:4" ht="12.75" customHeight="1">
      <c r="A1952" s="2410" t="str">
        <f t="shared" si="35"/>
        <v>Ergänzungsfutter Milchkühe</v>
      </c>
      <c r="B1952" s="2410" t="s">
        <v>5021</v>
      </c>
      <c r="C1952" s="2410" t="s">
        <v>5155</v>
      </c>
      <c r="D1952" s="2414" t="s">
        <v>9250</v>
      </c>
    </row>
    <row r="1953" spans="1:4" ht="12.75" customHeight="1">
      <c r="A1953" s="2410" t="str">
        <f t="shared" si="35"/>
        <v>Ergänzungsfutter übrige Tiere</v>
      </c>
      <c r="B1953" s="2410" t="s">
        <v>1100</v>
      </c>
      <c r="C1953" s="2410" t="s">
        <v>2905</v>
      </c>
      <c r="D1953" s="2414" t="s">
        <v>9251</v>
      </c>
    </row>
    <row r="1954" spans="1:4" ht="12.75" customHeight="1">
      <c r="A1954" s="2410" t="str">
        <f t="shared" si="35"/>
        <v>Tierarzt, Medikamente</v>
      </c>
      <c r="B1954" s="2410" t="s">
        <v>165</v>
      </c>
      <c r="C1954" s="2410" t="s">
        <v>2906</v>
      </c>
      <c r="D1954" s="2414" t="s">
        <v>9252</v>
      </c>
    </row>
    <row r="1955" spans="1:4" ht="12.75" customHeight="1">
      <c r="A1955" s="2410" t="str">
        <f t="shared" si="35"/>
        <v>Versicherungen, Verschiedenes</v>
      </c>
      <c r="B1955" s="2410" t="s">
        <v>6345</v>
      </c>
      <c r="C1955" s="2410" t="s">
        <v>4255</v>
      </c>
      <c r="D1955" s="2414" t="s">
        <v>9253</v>
      </c>
    </row>
    <row r="1956" spans="1:4" ht="12.75" customHeight="1">
      <c r="A1956" s="2410" t="str">
        <f t="shared" si="35"/>
        <v>Sprünge, Besamungen</v>
      </c>
      <c r="B1956" s="2410" t="s">
        <v>6346</v>
      </c>
      <c r="C1956" s="2410" t="s">
        <v>4256</v>
      </c>
      <c r="D1956" s="2414" t="s">
        <v>9254</v>
      </c>
    </row>
    <row r="1957" spans="1:4" ht="12.75" customHeight="1">
      <c r="A1957" s="2410" t="str">
        <f t="shared" si="35"/>
        <v>Milchpulver</v>
      </c>
      <c r="B1957" s="2410" t="s">
        <v>6347</v>
      </c>
      <c r="C1957" s="2410" t="s">
        <v>5043</v>
      </c>
      <c r="D1957" s="2414" t="s">
        <v>2888</v>
      </c>
    </row>
    <row r="1958" spans="1:4" ht="12.75" customHeight="1">
      <c r="A1958" s="2410" t="str">
        <f t="shared" si="35"/>
        <v>Sömmerung</v>
      </c>
      <c r="B1958" s="2410" t="s">
        <v>6349</v>
      </c>
      <c r="C1958" s="2410" t="s">
        <v>5044</v>
      </c>
      <c r="D1958" s="2414" t="s">
        <v>1384</v>
      </c>
    </row>
    <row r="1959" spans="1:4" ht="12.75" customHeight="1">
      <c r="A1959" s="2410" t="str">
        <f t="shared" si="35"/>
        <v>DB Milchvieh ohne Kosten für Vertragsmenge</v>
      </c>
      <c r="B1959" s="2410" t="s">
        <v>775</v>
      </c>
      <c r="C1959" s="2410" t="s">
        <v>3553</v>
      </c>
      <c r="D1959" s="2414" t="s">
        <v>9255</v>
      </c>
    </row>
    <row r="1960" spans="1:4" ht="12.75" customHeight="1">
      <c r="A1960" s="2410" t="str">
        <f t="shared" si="35"/>
        <v>Miete Zusatzmengen</v>
      </c>
      <c r="B1960" s="2410" t="s">
        <v>1084</v>
      </c>
      <c r="C1960" s="2410" t="s">
        <v>3932</v>
      </c>
      <c r="D1960" s="2414" t="s">
        <v>9256</v>
      </c>
    </row>
    <row r="1961" spans="1:4" ht="12.75" customHeight="1">
      <c r="A1961" s="2410" t="str">
        <f t="shared" si="35"/>
        <v>Abschreibung zugekaufte Vertragsmengen</v>
      </c>
      <c r="B1961" s="2410" t="s">
        <v>1301</v>
      </c>
      <c r="C1961" s="2410" t="s">
        <v>3933</v>
      </c>
      <c r="D1961" s="2414" t="s">
        <v>9257</v>
      </c>
    </row>
    <row r="1962" spans="1:4" ht="12.75" customHeight="1">
      <c r="A1962" s="2410" t="str">
        <f t="shared" si="35"/>
        <v>Variable Kosten total</v>
      </c>
      <c r="B1962" s="2410" t="s">
        <v>8149</v>
      </c>
      <c r="C1962" s="2410" t="s">
        <v>8255</v>
      </c>
      <c r="D1962" s="2414" t="s">
        <v>9258</v>
      </c>
    </row>
    <row r="1963" spans="1:4" ht="12.75" customHeight="1">
      <c r="A1963" s="2410" t="str">
        <f t="shared" si="35"/>
        <v>Deckungsbeitrag Milchvieh</v>
      </c>
      <c r="B1963" s="2410" t="s">
        <v>5066</v>
      </c>
      <c r="C1963" s="2410" t="s">
        <v>7361</v>
      </c>
      <c r="D1963" s="2414" t="s">
        <v>9221</v>
      </c>
    </row>
    <row r="1964" spans="1:4" ht="12.75" customHeight="1">
      <c r="A1964" s="2410" t="str">
        <f t="shared" si="35"/>
        <v>GVE</v>
      </c>
      <c r="B1964" s="2410" t="s">
        <v>6685</v>
      </c>
      <c r="C1964" s="2410" t="s">
        <v>3184</v>
      </c>
      <c r="D1964" s="2414" t="s">
        <v>199</v>
      </c>
    </row>
    <row r="1965" spans="1:4" ht="12.75" customHeight="1">
      <c r="A1965" s="2410" t="str">
        <f t="shared" si="35"/>
        <v>Anzahl</v>
      </c>
      <c r="B1965" s="2410" t="s">
        <v>7044</v>
      </c>
      <c r="C1965" s="2410" t="s">
        <v>5260</v>
      </c>
      <c r="D1965" s="2414" t="s">
        <v>3773</v>
      </c>
    </row>
    <row r="1966" spans="1:4" ht="12.75" customHeight="1">
      <c r="A1966" s="2410" t="str">
        <f t="shared" si="35"/>
        <v>Kälber</v>
      </c>
      <c r="B1966" s="2410" t="s">
        <v>6348</v>
      </c>
      <c r="C1966" s="2410" t="s">
        <v>5045</v>
      </c>
      <c r="D1966" s="2414" t="s">
        <v>9259</v>
      </c>
    </row>
    <row r="1967" spans="1:4" ht="12.75" customHeight="1">
      <c r="A1967" s="2410" t="str">
        <f t="shared" si="35"/>
        <v>Tiere</v>
      </c>
      <c r="B1967" s="2410" t="s">
        <v>3064</v>
      </c>
      <c r="C1967" s="2410" t="s">
        <v>2645</v>
      </c>
      <c r="D1967" s="2414" t="s">
        <v>4523</v>
      </c>
    </row>
    <row r="1968" spans="1:4" ht="12.75" customHeight="1">
      <c r="A1968" s="2410" t="str">
        <f t="shared" si="35"/>
        <v>kg pro Tier</v>
      </c>
      <c r="B1968" s="2410" t="s">
        <v>8229</v>
      </c>
      <c r="C1968" s="2410" t="s">
        <v>4644</v>
      </c>
      <c r="D1968" s="2414" t="s">
        <v>9260</v>
      </c>
    </row>
    <row r="1969" spans="1:4" ht="12.75" customHeight="1">
      <c r="A1969" s="2410" t="str">
        <f t="shared" si="35"/>
        <v>Tage</v>
      </c>
      <c r="B1969" s="2410" t="s">
        <v>6497</v>
      </c>
      <c r="C1969" s="2410" t="s">
        <v>223</v>
      </c>
      <c r="D1969" s="2414" t="s">
        <v>649</v>
      </c>
    </row>
    <row r="1970" spans="1:4" ht="12.75" customHeight="1">
      <c r="A1970" s="2410">
        <f t="shared" si="35"/>
        <v>0</v>
      </c>
      <c r="B1970" s="2410"/>
      <c r="C1970" s="2410"/>
      <c r="D1970" s="2414"/>
    </row>
    <row r="1971" spans="1:4" ht="12.75" customHeight="1">
      <c r="A1971" s="2410" t="str">
        <f t="shared" si="35"/>
        <v>Variable Grundfutterkosten</v>
      </c>
      <c r="B1971" s="2410" t="s">
        <v>6351</v>
      </c>
      <c r="C1971" s="2410" t="s">
        <v>4066</v>
      </c>
      <c r="D1971" s="2414" t="s">
        <v>9261</v>
      </c>
    </row>
    <row r="1972" spans="1:4" ht="12.75" customHeight="1">
      <c r="A1972" s="2410" t="str">
        <f t="shared" si="35"/>
        <v xml:space="preserve">Tabelle aktualisieren </v>
      </c>
      <c r="B1972" s="2410" t="s">
        <v>643</v>
      </c>
      <c r="C1972" s="2410" t="s">
        <v>7329</v>
      </c>
      <c r="D1972" s="2414" t="s">
        <v>8875</v>
      </c>
    </row>
    <row r="1973" spans="1:4" ht="12.75" customHeight="1">
      <c r="A1973" s="2410" t="str">
        <f t="shared" si="35"/>
        <v>Detaillierte Erfassung</v>
      </c>
      <c r="B1973" s="2410" t="s">
        <v>6352</v>
      </c>
      <c r="C1973" s="2410" t="s">
        <v>1223</v>
      </c>
      <c r="D1973" s="2414" t="s">
        <v>9262</v>
      </c>
    </row>
    <row r="1974" spans="1:4" ht="12.75" customHeight="1">
      <c r="A1974" s="2410" t="str">
        <f t="shared" si="35"/>
        <v>Variable Kosten in CHF pro ha</v>
      </c>
      <c r="B1974" s="2410" t="s">
        <v>7704</v>
      </c>
      <c r="C1974" s="2410" t="s">
        <v>7703</v>
      </c>
      <c r="D1974" s="2414" t="s">
        <v>9263</v>
      </c>
    </row>
    <row r="1975" spans="1:4" ht="12.75" customHeight="1">
      <c r="A1975" s="2410" t="str">
        <f t="shared" si="35"/>
        <v>Kultur</v>
      </c>
      <c r="B1975" s="2410" t="s">
        <v>3603</v>
      </c>
      <c r="C1975" s="2410" t="s">
        <v>312</v>
      </c>
      <c r="D1975" s="2414" t="s">
        <v>581</v>
      </c>
    </row>
    <row r="1976" spans="1:4" ht="12.75" customHeight="1">
      <c r="A1976" s="2410" t="str">
        <f t="shared" si="35"/>
        <v>Fläche in ha</v>
      </c>
      <c r="B1976" s="2410" t="s">
        <v>6374</v>
      </c>
      <c r="C1976" s="2410" t="s">
        <v>4551</v>
      </c>
      <c r="D1976" s="2414" t="s">
        <v>1267</v>
      </c>
    </row>
    <row r="1977" spans="1:4" ht="12.75" customHeight="1">
      <c r="A1977" s="2410" t="str">
        <f t="shared" si="35"/>
        <v>Saatgut</v>
      </c>
      <c r="B1977" s="2410" t="s">
        <v>6411</v>
      </c>
      <c r="C1977" s="2410" t="s">
        <v>3014</v>
      </c>
      <c r="D1977" s="2414" t="s">
        <v>9264</v>
      </c>
    </row>
    <row r="1978" spans="1:4" ht="12.75" customHeight="1">
      <c r="A1978" s="2410" t="str">
        <f t="shared" si="35"/>
        <v>Dünger</v>
      </c>
      <c r="B1978" s="2410" t="s">
        <v>4105</v>
      </c>
      <c r="C1978" s="2410" t="s">
        <v>3015</v>
      </c>
      <c r="D1978" s="2414" t="s">
        <v>1269</v>
      </c>
    </row>
    <row r="1979" spans="1:4" ht="12.75" customHeight="1">
      <c r="A1979" s="2410" t="str">
        <f t="shared" si="35"/>
        <v>übrige</v>
      </c>
      <c r="B1979" s="2410" t="s">
        <v>4106</v>
      </c>
      <c r="C1979" s="2410" t="s">
        <v>7394</v>
      </c>
      <c r="D1979" s="2414" t="s">
        <v>393</v>
      </c>
    </row>
    <row r="1980" spans="1:4" ht="12.75" customHeight="1">
      <c r="A1980" s="2410" t="str">
        <f t="shared" si="35"/>
        <v>total pro ha</v>
      </c>
      <c r="B1980" s="2410" t="s">
        <v>4107</v>
      </c>
      <c r="C1980" s="2410" t="s">
        <v>6779</v>
      </c>
      <c r="D1980" s="2414" t="s">
        <v>9265</v>
      </c>
    </row>
    <row r="1981" spans="1:4" ht="12.75" customHeight="1">
      <c r="A1981" s="2410" t="str">
        <f t="shared" si="35"/>
        <v>total</v>
      </c>
      <c r="B1981" s="2410" t="s">
        <v>4333</v>
      </c>
      <c r="C1981" s="2410" t="s">
        <v>4802</v>
      </c>
      <c r="D1981" s="2414" t="s">
        <v>8612</v>
      </c>
    </row>
    <row r="1982" spans="1:4" ht="12.75" customHeight="1">
      <c r="A1982" s="2410" t="str">
        <f t="shared" ref="A1982:A1990" si="36">IF($A$2=1,B1982,IF($A$2=2,C1982,IF($A$2=3,IF(D1982="",C1982,D1982),"")))</f>
        <v>Globale Erfassung</v>
      </c>
      <c r="B1982" s="2410" t="s">
        <v>4691</v>
      </c>
      <c r="C1982" s="2410" t="s">
        <v>6780</v>
      </c>
      <c r="D1982" s="2414" t="s">
        <v>9266</v>
      </c>
    </row>
    <row r="1983" spans="1:4" ht="12.75" customHeight="1">
      <c r="A1983" s="2410" t="str">
        <f t="shared" si="36"/>
        <v>Grundfutterzukäufe</v>
      </c>
      <c r="B1983" s="2410" t="s">
        <v>6514</v>
      </c>
      <c r="C1983" s="2410" t="s">
        <v>6781</v>
      </c>
      <c r="D1983" s="2414" t="s">
        <v>1268</v>
      </c>
    </row>
    <row r="1984" spans="1:4" ht="12.75" customHeight="1">
      <c r="A1984" s="2410" t="str">
        <f t="shared" si="36"/>
        <v>Dürrfutter</v>
      </c>
      <c r="B1984" s="2410" t="s">
        <v>5017</v>
      </c>
      <c r="C1984" s="2410" t="s">
        <v>530</v>
      </c>
      <c r="D1984" s="2414" t="s">
        <v>3745</v>
      </c>
    </row>
    <row r="1985" spans="1:4" ht="12.75" customHeight="1">
      <c r="A1985" s="2410" t="str">
        <f t="shared" si="36"/>
        <v>Saatgut</v>
      </c>
      <c r="B1985" s="2410" t="s">
        <v>6411</v>
      </c>
      <c r="C1985" s="2410" t="s">
        <v>3014</v>
      </c>
      <c r="D1985" s="2414" t="s">
        <v>9264</v>
      </c>
    </row>
    <row r="1986" spans="1:4" ht="12.75" customHeight="1">
      <c r="A1986" s="2410" t="str">
        <f t="shared" si="36"/>
        <v>Düngemittel</v>
      </c>
      <c r="B1986" s="2410" t="s">
        <v>6515</v>
      </c>
      <c r="C1986" s="2410" t="s">
        <v>3015</v>
      </c>
      <c r="D1986" s="2414" t="s">
        <v>1269</v>
      </c>
    </row>
    <row r="1987" spans="1:4" ht="12.75" customHeight="1">
      <c r="A1987" s="2410" t="str">
        <f t="shared" si="36"/>
        <v>Konservierung</v>
      </c>
      <c r="B1987" s="2410" t="s">
        <v>6516</v>
      </c>
      <c r="C1987" s="2410" t="s">
        <v>6782</v>
      </c>
      <c r="D1987" s="2414" t="s">
        <v>1270</v>
      </c>
    </row>
    <row r="1988" spans="1:4" ht="12.75" customHeight="1">
      <c r="A1988" s="2410" t="str">
        <f t="shared" si="36"/>
        <v>Maschinenmiete</v>
      </c>
      <c r="B1988" s="2410" t="s">
        <v>4609</v>
      </c>
      <c r="C1988" s="2410" t="s">
        <v>6783</v>
      </c>
      <c r="D1988" s="2414" t="s">
        <v>9267</v>
      </c>
    </row>
    <row r="1989" spans="1:4" ht="12.75" customHeight="1">
      <c r="A1989" s="2410" t="str">
        <f t="shared" si="36"/>
        <v>Arbeit durch Dritte</v>
      </c>
      <c r="B1989" s="2410" t="s">
        <v>6517</v>
      </c>
      <c r="C1989" s="2410" t="s">
        <v>6784</v>
      </c>
      <c r="D1989" s="2414" t="s">
        <v>9162</v>
      </c>
    </row>
    <row r="1990" spans="1:4" ht="12.75" customHeight="1">
      <c r="A1990" s="2410" t="str">
        <f t="shared" si="36"/>
        <v>Total variable Grundfutterkosten</v>
      </c>
      <c r="B1990" s="2410" t="s">
        <v>1860</v>
      </c>
      <c r="C1990" s="2410" t="s">
        <v>6785</v>
      </c>
      <c r="D1990" s="2414" t="s">
        <v>9268</v>
      </c>
    </row>
    <row r="1991" spans="1:4" ht="12.75" customHeight="1">
      <c r="A1991" s="2410" t="str">
        <f>Q!F46</f>
        <v>Futterbilanz für graslandbasierte Milch- u. Fleischproduktion</v>
      </c>
      <c r="B1991" s="2410"/>
      <c r="C1991" s="2410"/>
      <c r="D1991" s="2414"/>
    </row>
    <row r="1992" spans="1:4" ht="12.75" customHeight="1">
      <c r="A1992" s="2410" t="str">
        <f>IF($A$2=1,B1992,IF($A$2=2,C1992,IF($A$2=3,IF(D1992="",C1992,D1992),"")))</f>
        <v>Anleitung</v>
      </c>
      <c r="B1992" s="2410" t="s">
        <v>235</v>
      </c>
      <c r="C1992" s="2410" t="s">
        <v>234</v>
      </c>
      <c r="D1992" s="2414" t="s">
        <v>9269</v>
      </c>
    </row>
    <row r="1993" spans="1:4" ht="12.75" customHeight="1">
      <c r="A1993" s="2410" t="str">
        <f>IF($A$2=1,B1993,IF($A$2=2,C1993,IF($A$2=3,IF(D1993="",C1993,D1993),"")))</f>
        <v>GMF</v>
      </c>
      <c r="B1993" s="2410" t="s">
        <v>5907</v>
      </c>
      <c r="C1993" s="2410" t="s">
        <v>236</v>
      </c>
      <c r="D1993" s="2414" t="s">
        <v>249</v>
      </c>
    </row>
    <row r="1994" spans="1:4" ht="12.2" customHeight="1">
      <c r="A1994" s="2410"/>
      <c r="B1994" s="2410"/>
      <c r="C1994" s="2410"/>
      <c r="D1994" s="2414"/>
    </row>
    <row r="1995" spans="1:4" ht="12.2" customHeight="1">
      <c r="A1995" s="2410"/>
      <c r="B1995" s="2410"/>
      <c r="C1995" s="2410"/>
      <c r="D1995" s="2414"/>
    </row>
    <row r="1996" spans="1:4" ht="12.75" customHeight="1">
      <c r="A1996" s="2410" t="str">
        <f t="shared" ref="A1996:A2027" si="37">IF($A$2=1,B1996,IF($A$2=2,C1996,IF($A$2=3,IF(D1996="",C1996,D1996),"")))</f>
        <v>Gemäss Blatt Allg ist der Betrieb folgendem Gebiet zugeteilt:</v>
      </c>
      <c r="B1996" s="2410" t="s">
        <v>4870</v>
      </c>
      <c r="C1996" s="2410" t="s">
        <v>4871</v>
      </c>
      <c r="D1996" s="2414" t="s">
        <v>9270</v>
      </c>
    </row>
    <row r="1997" spans="1:4" ht="12.75" customHeight="1">
      <c r="A1997" s="2410" t="str">
        <f t="shared" si="37"/>
        <v>Sprache:</v>
      </c>
      <c r="B1997" s="2410" t="s">
        <v>654</v>
      </c>
      <c r="C1997" s="2410" t="s">
        <v>655</v>
      </c>
      <c r="D1997" s="2414" t="s">
        <v>2177</v>
      </c>
    </row>
    <row r="1998" spans="1:4" ht="12.75" customHeight="1">
      <c r="A1998" s="2410" t="str">
        <f t="shared" si="37"/>
        <v>Anleitung</v>
      </c>
      <c r="B1998" s="2410" t="s">
        <v>235</v>
      </c>
      <c r="C1998" s="2410" t="s">
        <v>234</v>
      </c>
      <c r="D1998" s="2414" t="s">
        <v>9269</v>
      </c>
    </row>
    <row r="1999" spans="1:4" ht="12.75" customHeight="1">
      <c r="A1999" s="2410" t="str">
        <f t="shared" si="37"/>
        <v>grüne Zellen:</v>
      </c>
      <c r="B1999" s="2410" t="s">
        <v>233</v>
      </c>
      <c r="C1999" s="2410" t="s">
        <v>232</v>
      </c>
      <c r="D1999" s="2414" t="s">
        <v>9271</v>
      </c>
    </row>
    <row r="2000" spans="1:4" ht="12.75" customHeight="1">
      <c r="A2000" s="2410" t="str">
        <f t="shared" si="37"/>
        <v>gelbe Zeilen:</v>
      </c>
      <c r="B2000" s="2410" t="s">
        <v>231</v>
      </c>
      <c r="C2000" s="2410" t="s">
        <v>5630</v>
      </c>
      <c r="D2000" s="2414" t="s">
        <v>9272</v>
      </c>
    </row>
    <row r="2001" spans="1:4" ht="12.75" customHeight="1">
      <c r="A2001" s="2410" t="str">
        <f t="shared" si="37"/>
        <v xml:space="preserve">weisse Zellen: </v>
      </c>
      <c r="B2001" s="2410" t="s">
        <v>6857</v>
      </c>
      <c r="C2001" s="2410" t="s">
        <v>6856</v>
      </c>
      <c r="D2001" s="2414" t="s">
        <v>9273</v>
      </c>
    </row>
    <row r="2002" spans="1:4" ht="12.75" customHeight="1">
      <c r="A2002" s="2410" t="str">
        <f t="shared" si="37"/>
        <v>Auswahllisten</v>
      </c>
      <c r="B2002" s="2410" t="s">
        <v>6855</v>
      </c>
      <c r="C2002" s="2410" t="s">
        <v>4057</v>
      </c>
      <c r="D2002" s="2414" t="s">
        <v>9274</v>
      </c>
    </row>
    <row r="2003" spans="1:4" ht="12.75" customHeight="1">
      <c r="A2003" s="2410" t="str">
        <f t="shared" si="37"/>
        <v>zur Dateneingabe</v>
      </c>
      <c r="B2003" s="2410" t="s">
        <v>4056</v>
      </c>
      <c r="C2003" s="2410" t="s">
        <v>6537</v>
      </c>
      <c r="D2003" s="2414" t="s">
        <v>9275</v>
      </c>
    </row>
    <row r="2004" spans="1:4" ht="12.75" customHeight="1">
      <c r="A2004" s="2410" t="str">
        <f t="shared" si="37"/>
        <v>gesperrte Zellen</v>
      </c>
      <c r="B2004" s="2410" t="s">
        <v>6566</v>
      </c>
      <c r="C2004" s="2410" t="s">
        <v>6565</v>
      </c>
      <c r="D2004" s="2414" t="s">
        <v>11200</v>
      </c>
    </row>
    <row r="2005" spans="1:4" ht="12.75" customHeight="1">
      <c r="A2005" s="2410" t="str">
        <f t="shared" si="37"/>
        <v>Vorgehen:</v>
      </c>
      <c r="B2005" s="2410" t="s">
        <v>4548</v>
      </c>
      <c r="C2005" s="2410" t="s">
        <v>4547</v>
      </c>
      <c r="D2005" s="2414" t="s">
        <v>9276</v>
      </c>
    </row>
    <row r="2006" spans="1:4" ht="12.75" customHeight="1">
      <c r="A2006" s="2410" t="str">
        <f t="shared" si="37"/>
        <v>Grundsatz: Übereinstimmung mit Suisse-Bilanz muss sein</v>
      </c>
      <c r="B2006" s="2410" t="s">
        <v>4546</v>
      </c>
      <c r="C2006" s="2410" t="s">
        <v>4545</v>
      </c>
      <c r="D2006" s="2414" t="s">
        <v>9277</v>
      </c>
    </row>
    <row r="2007" spans="1:4" ht="12.75" customHeight="1">
      <c r="A2007" s="2410">
        <f t="shared" si="37"/>
        <v>0</v>
      </c>
      <c r="B2007" s="2410"/>
      <c r="C2007" s="2410"/>
      <c r="D2007" s="2414"/>
    </row>
    <row r="2008" spans="1:4" ht="12.75" customHeight="1">
      <c r="A2008" s="2410" t="str">
        <f t="shared" si="37"/>
        <v>1. Betriebsangaben ausfüllen, insbesondere die Produktionszone (Tabellenblatt Allg)</v>
      </c>
      <c r="B2008" s="2410" t="s">
        <v>1659</v>
      </c>
      <c r="C2008" s="2410" t="s">
        <v>1509</v>
      </c>
      <c r="D2008" s="2414" t="s">
        <v>11201</v>
      </c>
    </row>
    <row r="2009" spans="1:4" ht="12.75" customHeight="1">
      <c r="A2009" s="2410">
        <f t="shared" si="37"/>
        <v>0</v>
      </c>
      <c r="B2009" s="2410"/>
      <c r="C2009" s="2410"/>
      <c r="D2009" s="2414"/>
    </row>
    <row r="2010" spans="1:4" ht="12.75" customHeight="1">
      <c r="A2010" s="2410" t="str">
        <f t="shared" si="37"/>
        <v>2. Teil A: Grund- und Kraftfutterverzehr</v>
      </c>
      <c r="B2010" s="2410" t="s">
        <v>1939</v>
      </c>
      <c r="C2010" s="2410" t="s">
        <v>6836</v>
      </c>
      <c r="D2010" s="2414" t="s">
        <v>9278</v>
      </c>
    </row>
    <row r="2011" spans="1:4" ht="12.75" customHeight="1">
      <c r="A2011" s="2410" t="str">
        <f t="shared" si="37"/>
        <v xml:space="preserve">    - Alle Tierarten mit Grundfutterverzehr erfassen (Tabellenblatt Tierb)</v>
      </c>
      <c r="B2011" s="2410" t="s">
        <v>1777</v>
      </c>
      <c r="C2011" s="2410" t="s">
        <v>2316</v>
      </c>
      <c r="D2011" s="2414" t="s">
        <v>9279</v>
      </c>
    </row>
    <row r="2012" spans="1:4" ht="24" customHeight="1">
      <c r="A2012" s="2410" t="str">
        <f t="shared" si="37"/>
        <v xml:space="preserve">    - Pro Tierkategorie Kraftfutter erfassen (pro Einheit in kg FS) (Tabellenblatt GMF)</v>
      </c>
      <c r="B2012" s="2410" t="s">
        <v>1449</v>
      </c>
      <c r="C2012" s="2410" t="s">
        <v>4524</v>
      </c>
      <c r="D2012" s="2414" t="s">
        <v>9280</v>
      </c>
    </row>
    <row r="2013" spans="1:4" ht="24" customHeight="1">
      <c r="A2013" s="2410" t="str">
        <f t="shared" si="37"/>
        <v xml:space="preserve">      auf dem Ganzjahresbetrieb dividiert durch die Tierzahl korrigiert</v>
      </c>
      <c r="B2013" s="2410" t="s">
        <v>5396</v>
      </c>
      <c r="C2013" s="2410" t="s">
        <v>6837</v>
      </c>
      <c r="D2013" s="2414" t="s">
        <v>9281</v>
      </c>
    </row>
    <row r="2014" spans="1:4" ht="12.75" customHeight="1">
      <c r="A2014" s="2410" t="str">
        <f t="shared" si="37"/>
        <v xml:space="preserve">    - Sömmerung: bei den Tierzahlen müssen die Anzahl gesömmerter Tiere (positiv) </v>
      </c>
      <c r="B2014" s="2410" t="s">
        <v>1329</v>
      </c>
      <c r="C2014" s="2410" t="s">
        <v>2990</v>
      </c>
      <c r="D2014" s="2414" t="s">
        <v>9282</v>
      </c>
    </row>
    <row r="2015" spans="1:4" ht="12.75" customHeight="1">
      <c r="A2015" s="2410" t="str">
        <f t="shared" si="37"/>
        <v xml:space="preserve">      und die Tage Sömmerung separat erfasst werden.</v>
      </c>
      <c r="B2015" s="2410" t="s">
        <v>5916</v>
      </c>
      <c r="C2015" s="2410" t="s">
        <v>1429</v>
      </c>
      <c r="D2015" s="2414" t="s">
        <v>11202</v>
      </c>
    </row>
    <row r="2016" spans="1:4" ht="12.75" customHeight="1">
      <c r="A2016" s="2410" t="str">
        <f t="shared" si="37"/>
        <v xml:space="preserve">    - KF-Verzehr während Sömmerung nur möglich für gemolkene Tiere folgender Kategorien: Milchkühe,</v>
      </c>
      <c r="B2016" s="2410" t="s">
        <v>7153</v>
      </c>
      <c r="C2016" s="2410" t="s">
        <v>4726</v>
      </c>
      <c r="D2016" s="2414" t="s">
        <v>9283</v>
      </c>
    </row>
    <row r="2017" spans="1:4" ht="12.75" customHeight="1">
      <c r="A2017" s="2410" t="str">
        <f t="shared" si="37"/>
        <v xml:space="preserve">      Milchschafe und Ziegen. Effektive Menge eingeben.</v>
      </c>
      <c r="B2017" s="2410" t="s">
        <v>1835</v>
      </c>
      <c r="C2017" s="2410" t="s">
        <v>3904</v>
      </c>
      <c r="D2017" s="2414" t="s">
        <v>9284</v>
      </c>
    </row>
    <row r="2018" spans="1:4" ht="12.75" customHeight="1">
      <c r="A2018" s="2410" t="str">
        <f t="shared" si="37"/>
        <v xml:space="preserve">    - Für Grund- und Kraftfutter während der Sömmerung gelten ebenfalls </v>
      </c>
      <c r="B2018" s="2410" t="s">
        <v>1836</v>
      </c>
      <c r="C2018" s="2410" t="s">
        <v>5401</v>
      </c>
      <c r="D2018" s="2414" t="s">
        <v>9285</v>
      </c>
    </row>
    <row r="2019" spans="1:4" ht="12.75" customHeight="1">
      <c r="A2019" s="2410" t="str">
        <f t="shared" si="37"/>
        <v xml:space="preserve">      die Definitionen gemäss Anhang 5 DZV.</v>
      </c>
      <c r="B2019" s="2410" t="s">
        <v>1528</v>
      </c>
      <c r="C2019" s="2410" t="s">
        <v>1281</v>
      </c>
      <c r="D2019" s="2414" t="s">
        <v>9286</v>
      </c>
    </row>
    <row r="2020" spans="1:4" ht="12.75" customHeight="1">
      <c r="A2020" s="2410" t="str">
        <f t="shared" si="37"/>
        <v>3. Teil B: Grundfutterproduktion</v>
      </c>
      <c r="B2020" s="2410" t="s">
        <v>1529</v>
      </c>
      <c r="C2020" s="2410" t="s">
        <v>1282</v>
      </c>
      <c r="D2020" s="2414" t="s">
        <v>9287</v>
      </c>
    </row>
    <row r="2021" spans="1:4" ht="12.75" customHeight="1">
      <c r="A2021" s="2410" t="str">
        <f t="shared" si="37"/>
        <v xml:space="preserve">    - Flächen und Erträge erfassen (Tabellenblatt Fläche)</v>
      </c>
      <c r="B2021" s="2410" t="s">
        <v>3093</v>
      </c>
      <c r="C2021" s="2410" t="s">
        <v>1331</v>
      </c>
      <c r="D2021" s="2414" t="s">
        <v>9288</v>
      </c>
    </row>
    <row r="2022" spans="1:4" ht="12.75" customHeight="1">
      <c r="A2022" s="2410" t="str">
        <f t="shared" si="37"/>
        <v xml:space="preserve">    - Für Wiesen und Weiden gelten Maximalwerte</v>
      </c>
      <c r="B2022" s="2410" t="s">
        <v>1530</v>
      </c>
      <c r="C2022" s="2410" t="s">
        <v>1774</v>
      </c>
      <c r="D2022" s="2414" t="s">
        <v>9289</v>
      </c>
    </row>
    <row r="2023" spans="1:4" ht="24" customHeight="1">
      <c r="A2023" s="2410" t="str">
        <f t="shared" si="37"/>
        <v xml:space="preserve">    - Höhere Erträge nur mit Ertragsgutachten möglich</v>
      </c>
      <c r="B2023" s="2410" t="s">
        <v>3893</v>
      </c>
      <c r="C2023" s="2410" t="s">
        <v>1775</v>
      </c>
      <c r="D2023" s="2414" t="s">
        <v>9290</v>
      </c>
    </row>
    <row r="2024" spans="1:4" ht="12.75" customHeight="1">
      <c r="A2024" s="2410" t="str">
        <f t="shared" si="37"/>
        <v xml:space="preserve">    - Erträge Zwischenkulturen max. 25 dt TS</v>
      </c>
      <c r="B2024" s="2410" t="s">
        <v>677</v>
      </c>
      <c r="C2024" s="2410" t="s">
        <v>1330</v>
      </c>
      <c r="D2024" s="2414" t="s">
        <v>11203</v>
      </c>
    </row>
    <row r="2025" spans="1:4" ht="12.75" customHeight="1">
      <c r="A2025" s="2410" t="str">
        <f t="shared" si="37"/>
        <v>4. Teil C: Zu- und Wegfuhr Grundfutter</v>
      </c>
      <c r="B2025" s="2410" t="s">
        <v>6804</v>
      </c>
      <c r="C2025" s="2415" t="s">
        <v>11551</v>
      </c>
      <c r="D2025" s="2414" t="s">
        <v>9291</v>
      </c>
    </row>
    <row r="2026" spans="1:4" ht="12.75" customHeight="1">
      <c r="A2026" s="2410" t="str">
        <f t="shared" si="37"/>
        <v xml:space="preserve">    - Zu- und Wegfuhr Grundfutter erfassen</v>
      </c>
      <c r="B2026" s="2410" t="s">
        <v>286</v>
      </c>
      <c r="C2026" s="2410" t="s">
        <v>285</v>
      </c>
      <c r="D2026" s="2414" t="s">
        <v>9292</v>
      </c>
    </row>
    <row r="2027" spans="1:4" ht="24" customHeight="1">
      <c r="A2027" s="2410" t="str">
        <f t="shared" si="37"/>
        <v xml:space="preserve">    - Code wählen: Zu-, Verkauf, GF produziert ausserhalb der Futterfläche</v>
      </c>
      <c r="B2027" s="2410" t="s">
        <v>678</v>
      </c>
      <c r="C2027" s="2410" t="s">
        <v>1776</v>
      </c>
      <c r="D2027" s="2414" t="s">
        <v>11552</v>
      </c>
    </row>
    <row r="2028" spans="1:4" ht="12.75" customHeight="1">
      <c r="A2028" s="2410">
        <f t="shared" ref="A2028:A2056" si="38">IF($A$2=1,B2028,IF($A$2=2,C2028,IF($A$2=3,IF(D2028="",C2028,D2028),"")))</f>
        <v>0</v>
      </c>
      <c r="B2028" s="2410"/>
      <c r="C2028" s="2410"/>
      <c r="D2028" s="2414"/>
    </row>
    <row r="2029" spans="1:4" ht="12.75" customHeight="1">
      <c r="A2029" s="2410" t="str">
        <f t="shared" si="38"/>
        <v>5. Informationsteil</v>
      </c>
      <c r="B2029" s="2410" t="s">
        <v>6040</v>
      </c>
      <c r="C2029" s="2410" t="s">
        <v>6042</v>
      </c>
      <c r="D2029" s="2414" t="s">
        <v>9293</v>
      </c>
    </row>
    <row r="2030" spans="1:4" ht="12.75" customHeight="1">
      <c r="A2030" s="2410" t="str">
        <f t="shared" si="38"/>
        <v xml:space="preserve">    - Erfassen der Angaben für die Berechnung des Minimaltierbesatzes:</v>
      </c>
      <c r="B2030" s="2410" t="s">
        <v>1450</v>
      </c>
      <c r="C2030" s="2410" t="s">
        <v>2286</v>
      </c>
      <c r="D2030" s="2414" t="s">
        <v>9294</v>
      </c>
    </row>
    <row r="2031" spans="1:4" ht="12.75" customHeight="1">
      <c r="A2031" s="2410" t="str">
        <f t="shared" si="38"/>
        <v xml:space="preserve">    - Daten werden automatisch übernommen.</v>
      </c>
      <c r="B2031" s="2410" t="s">
        <v>6043</v>
      </c>
      <c r="C2031" s="2410" t="s">
        <v>3105</v>
      </c>
      <c r="D2031" s="2414" t="s">
        <v>9295</v>
      </c>
    </row>
    <row r="2032" spans="1:4" ht="24" customHeight="1">
      <c r="A2032" s="2410" t="str">
        <f t="shared" si="38"/>
        <v xml:space="preserve">    - Falls Fläche im Ausland vorhanden, diese unten eintragen und in der Zeile oben korrigieren.</v>
      </c>
      <c r="B2032" s="2410" t="s">
        <v>1222</v>
      </c>
      <c r="C2032" s="2410" t="s">
        <v>1425</v>
      </c>
      <c r="D2032" s="2414" t="s">
        <v>9296</v>
      </c>
    </row>
    <row r="2033" spans="1:4" ht="12.75" customHeight="1">
      <c r="A2033" s="2410" t="str">
        <f t="shared" si="38"/>
        <v>5. Teil D: Bilanz</v>
      </c>
      <c r="B2033" s="2410" t="s">
        <v>6041</v>
      </c>
      <c r="C2033" s="2410" t="s">
        <v>6039</v>
      </c>
      <c r="D2033" s="2414" t="s">
        <v>9297</v>
      </c>
    </row>
    <row r="2034" spans="1:4" ht="24" customHeight="1">
      <c r="A2034" s="2410" t="str">
        <f t="shared" si="38"/>
        <v xml:space="preserve">    - Teil D zeigt abhängig von der Produktionszone, </v>
      </c>
      <c r="B2034" s="2410" t="s">
        <v>287</v>
      </c>
      <c r="C2034" s="2410" t="s">
        <v>1141</v>
      </c>
      <c r="D2034" s="2414" t="s">
        <v>9298</v>
      </c>
    </row>
    <row r="2035" spans="1:4" ht="12.75" customHeight="1">
      <c r="A2035" s="2410" t="str">
        <f t="shared" si="38"/>
        <v xml:space="preserve">      ob die Mindestanteile an der Ration erfüllt sind oder nicht.</v>
      </c>
      <c r="B2035" s="2410" t="s">
        <v>288</v>
      </c>
      <c r="C2035" s="2410" t="s">
        <v>1188</v>
      </c>
      <c r="D2035" s="2414" t="s">
        <v>9299</v>
      </c>
    </row>
    <row r="2036" spans="1:4" ht="12.75" customHeight="1">
      <c r="A2036" s="2410" t="str">
        <f t="shared" si="38"/>
        <v xml:space="preserve">      Grün = Erfüllt</v>
      </c>
      <c r="B2036" s="2410" t="s">
        <v>289</v>
      </c>
      <c r="C2036" s="2410" t="s">
        <v>1189</v>
      </c>
      <c r="D2036" s="2414" t="s">
        <v>9300</v>
      </c>
    </row>
    <row r="2037" spans="1:4" ht="12.75" customHeight="1">
      <c r="A2037" s="2410" t="str">
        <f t="shared" si="38"/>
        <v xml:space="preserve">      Rot = Nicht erfüllt</v>
      </c>
      <c r="B2037" s="2410" t="s">
        <v>3199</v>
      </c>
      <c r="C2037" s="2410" t="s">
        <v>1305</v>
      </c>
      <c r="D2037" s="2414" t="s">
        <v>9301</v>
      </c>
    </row>
    <row r="2038" spans="1:4" ht="12.75" customHeight="1">
      <c r="A2038" s="2410" t="str">
        <f t="shared" si="38"/>
        <v xml:space="preserve">    - Einzuhalten sind Fütterungsanforderung und Mindestbesatz (abhängig von Produktionszone)</v>
      </c>
      <c r="B2038" s="2410" t="s">
        <v>7229</v>
      </c>
      <c r="C2038" s="2410" t="s">
        <v>5887</v>
      </c>
      <c r="D2038" s="2414" t="s">
        <v>7167</v>
      </c>
    </row>
    <row r="2039" spans="1:4" ht="12.75" customHeight="1">
      <c r="A2039" s="2410">
        <f t="shared" si="38"/>
        <v>0</v>
      </c>
      <c r="B2039" s="2410"/>
      <c r="C2039" s="2410" t="s">
        <v>3051</v>
      </c>
      <c r="D2039" s="2414"/>
    </row>
    <row r="2040" spans="1:4" ht="12.75" customHeight="1">
      <c r="A2040" s="2410" t="str">
        <f t="shared" si="38"/>
        <v>Hinweis:</v>
      </c>
      <c r="B2040" s="2410" t="s">
        <v>4487</v>
      </c>
      <c r="C2040" s="2410" t="s">
        <v>4486</v>
      </c>
      <c r="D2040" s="2414" t="s">
        <v>9302</v>
      </c>
    </row>
    <row r="2041" spans="1:4" ht="12.75" customHeight="1">
      <c r="A2041" s="2410" t="str">
        <f t="shared" si="38"/>
        <v xml:space="preserve">Dieses Instrument dient als Methodennachweis und basiert auf den Vernehmlassungsunterlagen </v>
      </c>
      <c r="B2041" s="2410" t="s">
        <v>3693</v>
      </c>
      <c r="C2041" s="2410" t="s">
        <v>4707</v>
      </c>
      <c r="D2041" s="2414" t="s">
        <v>9303</v>
      </c>
    </row>
    <row r="2042" spans="1:4" ht="12.75" customHeight="1">
      <c r="A2042" s="2410" t="str">
        <f t="shared" si="38"/>
        <v>vom 8. April 2013. Die definitive Version erfolgt nach der Inkraftsetzung der Direktzahlungsverordnung.</v>
      </c>
      <c r="B2042" s="2410" t="s">
        <v>4706</v>
      </c>
      <c r="C2042" s="2410" t="s">
        <v>7497</v>
      </c>
      <c r="D2042" s="2414" t="s">
        <v>9304</v>
      </c>
    </row>
    <row r="2043" spans="1:4" ht="12.75" customHeight="1">
      <c r="A2043" s="2410">
        <f t="shared" si="38"/>
        <v>0</v>
      </c>
      <c r="B2043" s="2410"/>
      <c r="C2043" s="2410" t="s">
        <v>3449</v>
      </c>
      <c r="D2043" s="2414" t="s">
        <v>9305</v>
      </c>
    </row>
    <row r="2044" spans="1:4" ht="12.75" customHeight="1">
      <c r="A2044" s="2410" t="str">
        <f t="shared" si="38"/>
        <v>Nach dem Inkrafttreten der AP 14/17 steht es den Softwareanbietern frei,</v>
      </c>
      <c r="B2044" s="2410" t="s">
        <v>2147</v>
      </c>
      <c r="C2044" s="2410" t="s">
        <v>2146</v>
      </c>
      <c r="D2044" s="2414" t="s">
        <v>9306</v>
      </c>
    </row>
    <row r="2045" spans="1:4" ht="12.75" customHeight="1">
      <c r="A2045" s="2410" t="str">
        <f t="shared" si="38"/>
        <v>die Futterbilanz in ihre Instrumente einzubauen.</v>
      </c>
      <c r="B2045" s="2410" t="s">
        <v>1379</v>
      </c>
      <c r="C2045" s="2410" t="s">
        <v>2626</v>
      </c>
      <c r="D2045" s="2414" t="s">
        <v>9307</v>
      </c>
    </row>
    <row r="2046" spans="1:4" ht="12.75" customHeight="1">
      <c r="A2046" s="2410" t="str">
        <f t="shared" si="38"/>
        <v xml:space="preserve">Bilanz                                      </v>
      </c>
      <c r="B2046" s="2410" t="s">
        <v>5006</v>
      </c>
      <c r="C2046" s="2410" t="s">
        <v>3193</v>
      </c>
      <c r="D2046" s="2414" t="s">
        <v>4654</v>
      </c>
    </row>
    <row r="2047" spans="1:4" ht="12.75" customHeight="1">
      <c r="A2047" s="2410" t="str">
        <f t="shared" si="38"/>
        <v>Futterbilanz für die graslandbasierte</v>
      </c>
      <c r="B2047" s="2410" t="s">
        <v>2625</v>
      </c>
      <c r="C2047" s="2410" t="s">
        <v>2624</v>
      </c>
      <c r="D2047" s="2414" t="s">
        <v>9308</v>
      </c>
    </row>
    <row r="2048" spans="1:4" ht="12.75" customHeight="1">
      <c r="A2048" s="2410" t="str">
        <f t="shared" si="38"/>
        <v>Milch- und Fleischproduktion</v>
      </c>
      <c r="B2048" s="2410" t="s">
        <v>4980</v>
      </c>
      <c r="C2048" s="2410" t="s">
        <v>3351</v>
      </c>
      <c r="D2048" s="2414" t="s">
        <v>9309</v>
      </c>
    </row>
    <row r="2049" spans="1:4" ht="12.75" customHeight="1">
      <c r="A2049" s="2410" t="str">
        <f t="shared" si="38"/>
        <v>Betriebsnummer</v>
      </c>
      <c r="B2049" s="2410" t="s">
        <v>3436</v>
      </c>
      <c r="C2049" s="2410" t="s">
        <v>6163</v>
      </c>
      <c r="D2049" s="2414" t="s">
        <v>8484</v>
      </c>
    </row>
    <row r="2050" spans="1:4" ht="12.75" customHeight="1">
      <c r="A2050" s="2410" t="str">
        <f t="shared" si="38"/>
        <v>Erntejahr</v>
      </c>
      <c r="B2050" s="2410" t="s">
        <v>3437</v>
      </c>
      <c r="C2050" s="2410" t="s">
        <v>2578</v>
      </c>
      <c r="D2050" s="2414" t="s">
        <v>8460</v>
      </c>
    </row>
    <row r="2051" spans="1:4" ht="12.75" customHeight="1">
      <c r="A2051" s="2410" t="str">
        <f t="shared" si="38"/>
        <v>Name, Vorname</v>
      </c>
      <c r="B2051" s="2410" t="s">
        <v>11516</v>
      </c>
      <c r="C2051" s="2410" t="s">
        <v>11553</v>
      </c>
      <c r="D2051" s="2414" t="s">
        <v>8486</v>
      </c>
    </row>
    <row r="2052" spans="1:4" ht="12.75" customHeight="1">
      <c r="A2052" s="2410" t="str">
        <f t="shared" si="38"/>
        <v>Variante</v>
      </c>
      <c r="B2052" s="2410" t="s">
        <v>6094</v>
      </c>
      <c r="C2052" s="2410" t="s">
        <v>6094</v>
      </c>
      <c r="D2052" s="2414" t="s">
        <v>6094</v>
      </c>
    </row>
    <row r="2053" spans="1:4" ht="12.75" customHeight="1">
      <c r="A2053" s="2410" t="str">
        <f t="shared" si="38"/>
        <v>Strasse, Hof</v>
      </c>
      <c r="B2053" s="2410" t="s">
        <v>11518</v>
      </c>
      <c r="C2053" s="2410" t="s">
        <v>11554</v>
      </c>
      <c r="D2053" s="2414" t="s">
        <v>8701</v>
      </c>
    </row>
    <row r="2054" spans="1:4" ht="12.75" customHeight="1">
      <c r="A2054" s="2410" t="str">
        <f t="shared" si="38"/>
        <v>Kanton</v>
      </c>
      <c r="B2054" s="2410" t="s">
        <v>3438</v>
      </c>
      <c r="C2054" s="2410" t="s">
        <v>5886</v>
      </c>
      <c r="D2054" s="2414" t="s">
        <v>2230</v>
      </c>
    </row>
    <row r="2055" spans="1:4" ht="12.75" customHeight="1">
      <c r="A2055" s="2410" t="str">
        <f t="shared" si="38"/>
        <v>PLZ, Ort</v>
      </c>
      <c r="B2055" s="2410" t="s">
        <v>11520</v>
      </c>
      <c r="C2055" s="2410" t="s">
        <v>11555</v>
      </c>
      <c r="D2055" s="2414" t="s">
        <v>8702</v>
      </c>
    </row>
    <row r="2056" spans="1:4" ht="12.75" customHeight="1">
      <c r="A2056" s="2410" t="str">
        <f t="shared" si="38"/>
        <v>Fax, E-Mail</v>
      </c>
      <c r="B2056" s="2410" t="s">
        <v>11522</v>
      </c>
      <c r="C2056" s="2410" t="s">
        <v>11556</v>
      </c>
      <c r="D2056" s="2414" t="s">
        <v>8487</v>
      </c>
    </row>
    <row r="2057" spans="1:4" ht="12.75" customHeight="1">
      <c r="A2057" s="2410" t="str">
        <f t="shared" ref="A2057:A2125" si="39">IF($A$2=1,B2057,IF($A$2=2,C2057,IF($A$2=3,IF(D2057="",C2057,D2057),"")))</f>
        <v>Telefon</v>
      </c>
      <c r="B2057" s="2410" t="s">
        <v>3439</v>
      </c>
      <c r="C2057" s="2410" t="s">
        <v>5885</v>
      </c>
      <c r="D2057" s="2414" t="s">
        <v>2229</v>
      </c>
    </row>
    <row r="2058" spans="1:4" ht="12.75" customHeight="1">
      <c r="A2058" s="2410" t="str">
        <f t="shared" si="39"/>
        <v>Handy</v>
      </c>
      <c r="B2058" s="2410" t="s">
        <v>4098</v>
      </c>
      <c r="C2058" s="2410" t="s">
        <v>4097</v>
      </c>
      <c r="D2058" s="2414" t="s">
        <v>8267</v>
      </c>
    </row>
    <row r="2059" spans="1:4" ht="12.75" customHeight="1">
      <c r="A2059" s="2410" t="str">
        <f t="shared" si="39"/>
        <v>Landw. Nutzfläche</v>
      </c>
      <c r="B2059" s="2410" t="s">
        <v>5619</v>
      </c>
      <c r="C2059" s="2410" t="s">
        <v>4096</v>
      </c>
      <c r="D2059" s="2414" t="s">
        <v>394</v>
      </c>
    </row>
    <row r="2060" spans="1:4" ht="12.75" customHeight="1">
      <c r="A2060" s="2410" t="str">
        <f t="shared" si="39"/>
        <v>Höhe über Meer</v>
      </c>
      <c r="B2060" s="2410" t="s">
        <v>1874</v>
      </c>
      <c r="C2060" s="2410" t="s">
        <v>4529</v>
      </c>
      <c r="D2060" s="2414" t="s">
        <v>2927</v>
      </c>
    </row>
    <row r="2061" spans="1:4" ht="12.75" customHeight="1">
      <c r="A2061" s="2410" t="str">
        <f t="shared" si="39"/>
        <v>Zoneneinteilung</v>
      </c>
      <c r="B2061" s="2410" t="s">
        <v>1820</v>
      </c>
      <c r="C2061" s="2410" t="s">
        <v>4532</v>
      </c>
      <c r="D2061" s="2414" t="s">
        <v>8489</v>
      </c>
    </row>
    <row r="2062" spans="1:4" ht="12.75" customHeight="1">
      <c r="A2062" s="2410" t="str">
        <f t="shared" si="39"/>
        <v>Talzone</v>
      </c>
      <c r="B2062" s="2410" t="s">
        <v>3966</v>
      </c>
      <c r="C2062" s="2410" t="s">
        <v>7115</v>
      </c>
      <c r="D2062" s="2414" t="s">
        <v>7116</v>
      </c>
    </row>
    <row r="2063" spans="1:4" ht="12.75" customHeight="1">
      <c r="A2063" s="2410" t="str">
        <f t="shared" si="39"/>
        <v>Hügelzone</v>
      </c>
      <c r="B2063" s="2410" t="s">
        <v>7185</v>
      </c>
      <c r="C2063" s="2410" t="s">
        <v>5818</v>
      </c>
      <c r="D2063" s="2414" t="s">
        <v>7117</v>
      </c>
    </row>
    <row r="2064" spans="1:4" ht="12.75" customHeight="1">
      <c r="A2064" s="2410" t="str">
        <f t="shared" si="39"/>
        <v>Bergzone I</v>
      </c>
      <c r="B2064" s="2410" t="s">
        <v>7118</v>
      </c>
      <c r="C2064" s="2410" t="s">
        <v>6334</v>
      </c>
      <c r="D2064" s="2414" t="s">
        <v>9310</v>
      </c>
    </row>
    <row r="2065" spans="1:4" ht="12.75" customHeight="1">
      <c r="A2065" s="2410" t="str">
        <f t="shared" si="39"/>
        <v>Bergzone II</v>
      </c>
      <c r="B2065" s="2410" t="s">
        <v>7119</v>
      </c>
      <c r="C2065" s="2410" t="s">
        <v>6335</v>
      </c>
      <c r="D2065" s="2414" t="s">
        <v>9311</v>
      </c>
    </row>
    <row r="2066" spans="1:4" ht="12.75" customHeight="1">
      <c r="A2066" s="2410" t="str">
        <f t="shared" si="39"/>
        <v>Bergzone III</v>
      </c>
      <c r="B2066" s="2410" t="s">
        <v>2412</v>
      </c>
      <c r="C2066" s="2410" t="s">
        <v>6336</v>
      </c>
      <c r="D2066" s="2414" t="s">
        <v>9312</v>
      </c>
    </row>
    <row r="2067" spans="1:4" ht="12.75" customHeight="1">
      <c r="A2067" s="2410" t="str">
        <f t="shared" si="39"/>
        <v>Bergzone IV</v>
      </c>
      <c r="B2067" s="2410" t="s">
        <v>2413</v>
      </c>
      <c r="C2067" s="2410" t="s">
        <v>6337</v>
      </c>
      <c r="D2067" s="2414" t="s">
        <v>9313</v>
      </c>
    </row>
    <row r="2068" spans="1:4" ht="12.75" customHeight="1">
      <c r="A2068" s="2410" t="str">
        <f t="shared" si="39"/>
        <v>Flächen im Ausland</v>
      </c>
      <c r="B2068" s="2410" t="s">
        <v>7492</v>
      </c>
      <c r="C2068" s="2410" t="s">
        <v>1928</v>
      </c>
      <c r="D2068" s="2414" t="s">
        <v>9314</v>
      </c>
    </row>
    <row r="2069" spans="1:4" ht="12.75" customHeight="1">
      <c r="A2069" s="2410" t="str">
        <f t="shared" si="39"/>
        <v>BFF-Fläche zu hoch</v>
      </c>
      <c r="B2069" s="2410" t="s">
        <v>5115</v>
      </c>
      <c r="C2069" s="2410" t="s">
        <v>7243</v>
      </c>
      <c r="D2069" s="2414" t="s">
        <v>9315</v>
      </c>
    </row>
    <row r="2070" spans="1:4" ht="12.75" customHeight="1">
      <c r="A2070" s="2410" t="str">
        <f t="shared" si="39"/>
        <v>Flächendifferenz von:</v>
      </c>
      <c r="B2070" s="2410" t="s">
        <v>849</v>
      </c>
      <c r="C2070" s="2410" t="s">
        <v>1569</v>
      </c>
      <c r="D2070" s="2414" t="s">
        <v>9316</v>
      </c>
    </row>
    <row r="2071" spans="1:4" ht="12.75" customHeight="1">
      <c r="A2071" s="2410" t="str">
        <f t="shared" si="39"/>
        <v>Produktionsform</v>
      </c>
      <c r="B2071" s="2410" t="s">
        <v>4212</v>
      </c>
      <c r="C2071" s="2410" t="s">
        <v>4530</v>
      </c>
      <c r="D2071" s="2414" t="s">
        <v>8436</v>
      </c>
    </row>
    <row r="2072" spans="1:4" ht="12.75" customHeight="1">
      <c r="A2072" s="2410" t="str">
        <f t="shared" si="39"/>
        <v>Ökonachweis: nicht erfüllt</v>
      </c>
      <c r="B2072" s="2410" t="s">
        <v>7266</v>
      </c>
      <c r="C2072" s="2410" t="s">
        <v>5586</v>
      </c>
      <c r="D2072" s="2414" t="s">
        <v>9317</v>
      </c>
    </row>
    <row r="2073" spans="1:4" ht="12.75" customHeight="1">
      <c r="A2073" s="2410" t="str">
        <f t="shared" si="39"/>
        <v>Ökonachweis: erfüllt</v>
      </c>
      <c r="B2073" s="2410" t="s">
        <v>1819</v>
      </c>
      <c r="C2073" s="2410" t="s">
        <v>7060</v>
      </c>
      <c r="D2073" s="2414" t="s">
        <v>9318</v>
      </c>
    </row>
    <row r="2074" spans="1:4" ht="12.75" customHeight="1">
      <c r="A2074" s="2410" t="str">
        <f t="shared" si="39"/>
        <v>Biologischer Landbau</v>
      </c>
      <c r="B2074" s="2410" t="s">
        <v>2697</v>
      </c>
      <c r="C2074" s="2410" t="s">
        <v>7061</v>
      </c>
      <c r="D2074" s="2414" t="s">
        <v>1746</v>
      </c>
    </row>
    <row r="2075" spans="1:4" ht="12.75" customHeight="1">
      <c r="A2075" s="2410" t="str">
        <f t="shared" si="39"/>
        <v>Gemeinschaften</v>
      </c>
      <c r="B2075" s="2410" t="s">
        <v>3099</v>
      </c>
      <c r="C2075" s="2410" t="s">
        <v>3388</v>
      </c>
      <c r="D2075" s="2414" t="s">
        <v>5795</v>
      </c>
    </row>
    <row r="2076" spans="1:4" ht="12.75" customHeight="1">
      <c r="A2076" s="2410" t="str">
        <f t="shared" si="39"/>
        <v>keine</v>
      </c>
      <c r="B2076" s="2410" t="s">
        <v>7267</v>
      </c>
      <c r="C2076" s="2410" t="s">
        <v>1485</v>
      </c>
      <c r="D2076" s="2414" t="s">
        <v>3997</v>
      </c>
    </row>
    <row r="2077" spans="1:4" ht="12.75" customHeight="1">
      <c r="A2077" s="2410" t="str">
        <f t="shared" si="39"/>
        <v>Gemeinschaft, ein Betrieb</v>
      </c>
      <c r="B2077" s="2410" t="s">
        <v>11557</v>
      </c>
      <c r="C2077" s="2410" t="s">
        <v>11558</v>
      </c>
      <c r="D2077" s="2414" t="s">
        <v>11204</v>
      </c>
    </row>
    <row r="2078" spans="1:4" ht="12.75" customHeight="1">
      <c r="A2078" s="2410" t="str">
        <f t="shared" si="39"/>
        <v>mit 2 Betrieben</v>
      </c>
      <c r="B2078" s="2410" t="s">
        <v>6196</v>
      </c>
      <c r="C2078" s="2410" t="s">
        <v>1486</v>
      </c>
      <c r="D2078" s="2414" t="s">
        <v>2335</v>
      </c>
    </row>
    <row r="2079" spans="1:4" ht="12.75" customHeight="1">
      <c r="A2079" s="2410" t="str">
        <f t="shared" si="39"/>
        <v>mit 3 Betrieben</v>
      </c>
      <c r="B2079" s="2410" t="s">
        <v>2698</v>
      </c>
      <c r="C2079" s="2410" t="s">
        <v>2886</v>
      </c>
      <c r="D2079" s="2414" t="s">
        <v>2336</v>
      </c>
    </row>
    <row r="2080" spans="1:4" ht="12.75" customHeight="1">
      <c r="A2080" s="2410" t="str">
        <f t="shared" si="39"/>
        <v>mit 4 Betrieben</v>
      </c>
      <c r="B2080" s="2410" t="s">
        <v>2699</v>
      </c>
      <c r="C2080" s="2410" t="s">
        <v>4640</v>
      </c>
      <c r="D2080" s="2414" t="s">
        <v>1594</v>
      </c>
    </row>
    <row r="2081" spans="1:4" ht="12.75" customHeight="1">
      <c r="A2081" s="2410" t="str">
        <f t="shared" si="39"/>
        <v>Berater, Beraterin</v>
      </c>
      <c r="B2081" s="2410" t="s">
        <v>11559</v>
      </c>
      <c r="C2081" s="2410" t="s">
        <v>1506</v>
      </c>
      <c r="D2081" s="2414" t="s">
        <v>1385</v>
      </c>
    </row>
    <row r="2082" spans="1:4" ht="12.75" customHeight="1">
      <c r="A2082" s="2410" t="str">
        <f t="shared" si="39"/>
        <v>Bemerkungen</v>
      </c>
      <c r="B2082" s="2410" t="s">
        <v>5345</v>
      </c>
      <c r="C2082" s="2410" t="s">
        <v>534</v>
      </c>
      <c r="D2082" s="2414" t="s">
        <v>2750</v>
      </c>
    </row>
    <row r="2083" spans="1:4" ht="12.75" customHeight="1">
      <c r="A2083" s="2410" t="str">
        <f t="shared" si="39"/>
        <v>Teil A: Grund- und Kraftfutterverzehr (Bedarf)</v>
      </c>
      <c r="B2083" s="2410" t="s">
        <v>1505</v>
      </c>
      <c r="C2083" s="2410" t="s">
        <v>3865</v>
      </c>
      <c r="D2083" s="2414" t="s">
        <v>9319</v>
      </c>
    </row>
    <row r="2084" spans="1:4" ht="12.75" customHeight="1">
      <c r="A2084" s="2410" t="str">
        <f t="shared" si="39"/>
        <v>Kraftfutterverbrauch tot. für MILCHKÜHE</v>
      </c>
      <c r="B2084" s="3421" t="s">
        <v>12200</v>
      </c>
      <c r="C2084" s="3421" t="s">
        <v>12203</v>
      </c>
      <c r="D2084" s="3420" t="s">
        <v>12204</v>
      </c>
    </row>
    <row r="2085" spans="1:4" ht="12.75" customHeight="1">
      <c r="A2085" s="2410" t="str">
        <f t="shared" si="39"/>
        <v>auf Ganzjahresbetrieb</v>
      </c>
      <c r="B2085" s="3421" t="s">
        <v>12201</v>
      </c>
      <c r="C2085" s="3421" t="s">
        <v>12202</v>
      </c>
      <c r="D2085" s="3420" t="s">
        <v>12205</v>
      </c>
    </row>
    <row r="2086" spans="1:4" ht="12.75" customHeight="1">
      <c r="A2086" s="2410" t="str">
        <f t="shared" si="39"/>
        <v>Kraftfutterverbrauch während Sömmerung zu hoch!</v>
      </c>
      <c r="B2086" s="2410" t="s">
        <v>3613</v>
      </c>
      <c r="C2086" s="2410" t="s">
        <v>3612</v>
      </c>
      <c r="D2086" s="2424" t="s">
        <v>9320</v>
      </c>
    </row>
    <row r="2087" spans="1:4" ht="12.75" customHeight="1">
      <c r="A2087" s="2410" t="str">
        <f t="shared" si="39"/>
        <v>Kraftfutterverz. für Tierkategorie in 1. Zeile</v>
      </c>
      <c r="B2087" s="2410" t="s">
        <v>4325</v>
      </c>
      <c r="C2087" s="2410" t="s">
        <v>6600</v>
      </c>
      <c r="D2087" s="2424" t="s">
        <v>9321</v>
      </c>
    </row>
    <row r="2088" spans="1:4">
      <c r="A2088" s="2410" t="str">
        <f t="shared" si="39"/>
        <v>Eingegebene Menge entspricht nicht der Menge in Suisse-Bilanz!</v>
      </c>
      <c r="B2088" s="2410" t="s">
        <v>4873</v>
      </c>
      <c r="C2088" s="2410" t="s">
        <v>349</v>
      </c>
      <c r="D2088" s="2424" t="s">
        <v>9322</v>
      </c>
    </row>
    <row r="2089" spans="1:4">
      <c r="A2089" s="2410" t="str">
        <f t="shared" si="39"/>
        <v>Eingegebene Mastdaten entsprechen nicht den Daten in Suisse-Bilanz!</v>
      </c>
      <c r="B2089" s="2410" t="s">
        <v>7772</v>
      </c>
      <c r="C2089" s="2410" t="s">
        <v>349</v>
      </c>
      <c r="D2089" s="2424" t="s">
        <v>9322</v>
      </c>
    </row>
    <row r="2090" spans="1:4" ht="12.75" customHeight="1">
      <c r="A2090" s="2410" t="str">
        <f t="shared" si="39"/>
        <v>dt/Jahr</v>
      </c>
      <c r="B2090" s="2410" t="s">
        <v>6383</v>
      </c>
      <c r="C2090" s="2412" t="s">
        <v>1054</v>
      </c>
      <c r="D2090" s="2414" t="s">
        <v>8711</v>
      </c>
    </row>
    <row r="2091" spans="1:4" ht="12.75" customHeight="1">
      <c r="A2091" s="2410" t="str">
        <f t="shared" si="39"/>
        <v>kg/Tier/Jahr</v>
      </c>
      <c r="B2091" s="2410" t="s">
        <v>630</v>
      </c>
      <c r="C2091" s="2412" t="s">
        <v>631</v>
      </c>
      <c r="D2091" s="2414" t="s">
        <v>8712</v>
      </c>
    </row>
    <row r="2092" spans="1:4" ht="12.75" customHeight="1">
      <c r="A2092" s="2410" t="str">
        <f t="shared" si="39"/>
        <v>entspricht</v>
      </c>
      <c r="B2092" s="2410" t="s">
        <v>4177</v>
      </c>
      <c r="C2092" s="2412" t="s">
        <v>4178</v>
      </c>
      <c r="D2092" s="2424" t="s">
        <v>9323</v>
      </c>
    </row>
    <row r="2093" spans="1:4" ht="12.75" customHeight="1">
      <c r="A2093" s="2410" t="str">
        <f t="shared" si="39"/>
        <v>Alle Milchkühe im Laufstall?</v>
      </c>
      <c r="B2093" s="2410" t="s">
        <v>7705</v>
      </c>
      <c r="C2093" s="2410" t="s">
        <v>8269</v>
      </c>
      <c r="D2093" s="2414" t="s">
        <v>8710</v>
      </c>
    </row>
    <row r="2094" spans="1:4" ht="12.75" customHeight="1">
      <c r="A2094" s="2410" t="str">
        <f t="shared" si="39"/>
        <v>Alles Jungvieh im Laufstall?</v>
      </c>
      <c r="B2094" s="2410" t="s">
        <v>7785</v>
      </c>
      <c r="C2094" s="2410" t="s">
        <v>8270</v>
      </c>
      <c r="D2094" s="2414" t="s">
        <v>8713</v>
      </c>
    </row>
    <row r="2095" spans="1:4" ht="12.75" customHeight="1">
      <c r="A2095" s="2410" t="str">
        <f t="shared" si="39"/>
        <v>ja</v>
      </c>
      <c r="B2095" s="2410" t="s">
        <v>4356</v>
      </c>
      <c r="C2095" s="2410" t="s">
        <v>5639</v>
      </c>
      <c r="D2095" s="2414" t="s">
        <v>1741</v>
      </c>
    </row>
    <row r="2096" spans="1:4" ht="12.75" customHeight="1">
      <c r="A2096" s="2410" t="str">
        <f t="shared" si="39"/>
        <v>nein</v>
      </c>
      <c r="B2096" s="2410" t="s">
        <v>3274</v>
      </c>
      <c r="C2096" s="2410" t="s">
        <v>5640</v>
      </c>
      <c r="D2096" s="2414" t="s">
        <v>54</v>
      </c>
    </row>
    <row r="2097" spans="1:4" ht="12.75" customHeight="1">
      <c r="A2097" s="2410" t="str">
        <f t="shared" si="39"/>
        <v>Rindviehmast, über 160-tägig</v>
      </c>
      <c r="B2097" s="2410" t="s">
        <v>7719</v>
      </c>
      <c r="C2097" s="2410" t="s">
        <v>8260</v>
      </c>
      <c r="D2097" s="2414" t="s">
        <v>9324</v>
      </c>
    </row>
    <row r="2098" spans="1:4" ht="12.75" customHeight="1">
      <c r="A2098" s="2410" t="str">
        <f t="shared" si="39"/>
        <v>TZW in g</v>
      </c>
      <c r="B2098" s="2410" t="s">
        <v>7706</v>
      </c>
      <c r="C2098" s="2410" t="s">
        <v>8271</v>
      </c>
      <c r="D2098" s="2414" t="s">
        <v>8715</v>
      </c>
    </row>
    <row r="2099" spans="1:4" ht="12.75" customHeight="1">
      <c r="A2099" s="2410" t="str">
        <f t="shared" si="39"/>
        <v>Ausstall-LG in kg</v>
      </c>
      <c r="B2099" s="2410" t="s">
        <v>7707</v>
      </c>
      <c r="C2099" s="2410" t="s">
        <v>8272</v>
      </c>
      <c r="D2099" s="2414" t="s">
        <v>8716</v>
      </c>
    </row>
    <row r="2100" spans="1:4" ht="12.75" customHeight="1">
      <c r="A2100" s="2410" t="str">
        <f t="shared" si="39"/>
        <v>Zu den Erläuterungen</v>
      </c>
      <c r="B2100" s="2410" t="s">
        <v>202</v>
      </c>
      <c r="C2100" s="2410" t="s">
        <v>203</v>
      </c>
      <c r="D2100" s="2414" t="s">
        <v>9325</v>
      </c>
    </row>
    <row r="2101" spans="1:4" ht="12.75" customHeight="1">
      <c r="A2101" s="2410" t="str">
        <f t="shared" si="39"/>
        <v>Zurück zur Bilanz</v>
      </c>
      <c r="B2101" s="2410" t="s">
        <v>6344</v>
      </c>
      <c r="C2101" s="2410" t="s">
        <v>2134</v>
      </c>
      <c r="D2101" s="2414" t="s">
        <v>9326</v>
      </c>
    </row>
    <row r="2102" spans="1:4" ht="12.75" customHeight="1">
      <c r="A2102" s="2410" t="str">
        <f t="shared" si="39"/>
        <v>Tierart bzw. Tierkategorie</v>
      </c>
      <c r="B2102" s="2410" t="s">
        <v>6309</v>
      </c>
      <c r="C2102" s="2410" t="s">
        <v>4188</v>
      </c>
      <c r="D2102" s="2414" t="s">
        <v>8557</v>
      </c>
    </row>
    <row r="2103" spans="1:4" ht="12.75" customHeight="1">
      <c r="A2103" s="2410" t="str">
        <f t="shared" si="39"/>
        <v>Einheit</v>
      </c>
      <c r="B2103" s="2410" t="s">
        <v>6392</v>
      </c>
      <c r="C2103" s="2410" t="s">
        <v>6215</v>
      </c>
      <c r="D2103" s="2414" t="s">
        <v>1418</v>
      </c>
    </row>
    <row r="2104" spans="1:4" ht="12.75" customHeight="1">
      <c r="A2104" s="2410" t="str">
        <f t="shared" si="39"/>
        <v>Anzahl</v>
      </c>
      <c r="B2104" s="2410" t="s">
        <v>7044</v>
      </c>
      <c r="C2104" s="2410" t="s">
        <v>1348</v>
      </c>
      <c r="D2104" s="2414" t="s">
        <v>3773</v>
      </c>
    </row>
    <row r="2105" spans="1:4" ht="12.75" customHeight="1">
      <c r="A2105" s="2410" t="str">
        <f t="shared" si="39"/>
        <v>Abzug</v>
      </c>
      <c r="B2105" s="2410" t="s">
        <v>66</v>
      </c>
      <c r="C2105" s="2410" t="s">
        <v>2503</v>
      </c>
      <c r="D2105" s="2414" t="s">
        <v>9327</v>
      </c>
    </row>
    <row r="2106" spans="1:4" ht="12.75" customHeight="1">
      <c r="A2106" s="2410" t="str">
        <f t="shared" si="39"/>
        <v>/ Zu-</v>
      </c>
      <c r="B2106" s="2410" t="s">
        <v>3155</v>
      </c>
      <c r="C2106" s="2410" t="s">
        <v>6333</v>
      </c>
      <c r="D2106" s="2414" t="s">
        <v>9328</v>
      </c>
    </row>
    <row r="2107" spans="1:4" ht="12.75" customHeight="1">
      <c r="A2107" s="2410" t="str">
        <f t="shared" si="39"/>
        <v>schlag</v>
      </c>
      <c r="B2107" s="2410" t="s">
        <v>7027</v>
      </c>
      <c r="C2107" s="2410"/>
      <c r="D2107" s="2414"/>
    </row>
    <row r="2108" spans="1:4" ht="12.75" customHeight="1">
      <c r="A2108" s="2410" t="str">
        <f t="shared" si="39"/>
        <v>Tage</v>
      </c>
      <c r="B2108" s="2410" t="s">
        <v>6497</v>
      </c>
      <c r="C2108" s="2410" t="s">
        <v>223</v>
      </c>
      <c r="D2108" s="2414" t="s">
        <v>8564</v>
      </c>
    </row>
    <row r="2109" spans="1:4" ht="12.75" customHeight="1">
      <c r="A2109" s="2410" t="str">
        <f t="shared" si="39"/>
        <v>Anzahl</v>
      </c>
      <c r="B2109" s="2410" t="s">
        <v>7044</v>
      </c>
      <c r="C2109" s="2410" t="s">
        <v>1348</v>
      </c>
      <c r="D2109" s="2414" t="s">
        <v>3773</v>
      </c>
    </row>
    <row r="2110" spans="1:4" ht="12.75" customHeight="1">
      <c r="A2110" s="2410" t="str">
        <f t="shared" si="39"/>
        <v>korri-</v>
      </c>
      <c r="B2110" s="2410" t="s">
        <v>1342</v>
      </c>
      <c r="C2110" s="2410" t="s">
        <v>359</v>
      </c>
      <c r="D2110" s="2414" t="s">
        <v>1613</v>
      </c>
    </row>
    <row r="2111" spans="1:4" ht="12.75" customHeight="1">
      <c r="A2111" s="2410" t="str">
        <f t="shared" si="39"/>
        <v>giert</v>
      </c>
      <c r="B2111" s="2410" t="s">
        <v>6498</v>
      </c>
      <c r="C2111" s="2410"/>
      <c r="D2111" s="2414" t="s">
        <v>1614</v>
      </c>
    </row>
    <row r="2112" spans="1:4" ht="12.75" customHeight="1">
      <c r="A2112" s="2410" t="str">
        <f t="shared" si="39"/>
        <v>Grundfutter-</v>
      </c>
      <c r="B2112" s="2410" t="s">
        <v>1562</v>
      </c>
      <c r="C2112" s="2410" t="s">
        <v>4087</v>
      </c>
      <c r="D2112" s="2414" t="s">
        <v>9329</v>
      </c>
    </row>
    <row r="2113" spans="1:4" ht="12.75" customHeight="1">
      <c r="A2113" s="2410" t="str">
        <f t="shared" si="39"/>
        <v>verzehr</v>
      </c>
      <c r="B2113" s="2410" t="s">
        <v>2365</v>
      </c>
      <c r="C2113" s="2410" t="s">
        <v>2717</v>
      </c>
      <c r="D2113" s="2414" t="s">
        <v>8452</v>
      </c>
    </row>
    <row r="2114" spans="1:4" ht="12.75" customHeight="1">
      <c r="A2114" s="2410" t="str">
        <f t="shared" si="39"/>
        <v>pro Jahr</v>
      </c>
      <c r="B2114" s="2410" t="s">
        <v>6502</v>
      </c>
      <c r="C2114" s="2410" t="s">
        <v>4958</v>
      </c>
      <c r="D2114" s="2414" t="s">
        <v>7429</v>
      </c>
    </row>
    <row r="2115" spans="1:4" ht="12.75" customHeight="1">
      <c r="A2115" s="2410" t="str">
        <f t="shared" si="39"/>
        <v>dt FS</v>
      </c>
      <c r="B2115" s="2410" t="s">
        <v>3485</v>
      </c>
      <c r="C2115" s="2410" t="s">
        <v>188</v>
      </c>
      <c r="D2115" s="2414" t="s">
        <v>1401</v>
      </c>
    </row>
    <row r="2116" spans="1:4" ht="12.75" customHeight="1">
      <c r="A2116" s="2410" t="str">
        <f t="shared" si="39"/>
        <v>total</v>
      </c>
      <c r="B2116" s="2410" t="s">
        <v>4333</v>
      </c>
      <c r="C2116" s="2410" t="s">
        <v>4333</v>
      </c>
      <c r="D2116" s="2414" t="s">
        <v>6553</v>
      </c>
    </row>
    <row r="2117" spans="1:4" ht="12.75" customHeight="1">
      <c r="A2117" s="2410" t="str">
        <f t="shared" si="39"/>
        <v>dt TS</v>
      </c>
      <c r="B2117" s="2410" t="s">
        <v>2639</v>
      </c>
      <c r="C2117" s="2410" t="s">
        <v>6533</v>
      </c>
      <c r="D2117" s="2414" t="s">
        <v>5879</v>
      </c>
    </row>
    <row r="2118" spans="1:4" ht="12.75" customHeight="1">
      <c r="A2118" s="2410" t="str">
        <f t="shared" si="39"/>
        <v>Kraftfutter-</v>
      </c>
      <c r="B2118" s="2410" t="s">
        <v>2249</v>
      </c>
      <c r="C2118" s="2410" t="s">
        <v>4087</v>
      </c>
      <c r="D2118" s="2414" t="s">
        <v>9329</v>
      </c>
    </row>
    <row r="2119" spans="1:4" ht="12.75" customHeight="1">
      <c r="A2119" s="2410" t="str">
        <f t="shared" si="39"/>
        <v>verzehr</v>
      </c>
      <c r="B2119" s="2410" t="s">
        <v>2365</v>
      </c>
      <c r="C2119" s="2410" t="s">
        <v>2248</v>
      </c>
      <c r="D2119" s="2414" t="s">
        <v>9330</v>
      </c>
    </row>
    <row r="2120" spans="1:4" ht="12.75" customHeight="1">
      <c r="A2120" s="2410" t="str">
        <f t="shared" si="39"/>
        <v>pro Einh.</v>
      </c>
      <c r="B2120" s="2410" t="s">
        <v>2247</v>
      </c>
      <c r="C2120" s="2410" t="s">
        <v>7262</v>
      </c>
      <c r="D2120" s="2414" t="s">
        <v>2333</v>
      </c>
    </row>
    <row r="2121" spans="1:4" ht="12.75" customHeight="1">
      <c r="A2121" s="2410" t="str">
        <f t="shared" si="39"/>
        <v>kg FS</v>
      </c>
      <c r="B2121" s="2410" t="s">
        <v>5139</v>
      </c>
      <c r="C2121" s="2410" t="s">
        <v>5138</v>
      </c>
      <c r="D2121" s="2414" t="s">
        <v>9331</v>
      </c>
    </row>
    <row r="2122" spans="1:4" ht="12.75" customHeight="1">
      <c r="A2122" s="2410" t="str">
        <f t="shared" si="39"/>
        <v>dt</v>
      </c>
      <c r="B2122" s="2410" t="s">
        <v>345</v>
      </c>
      <c r="C2122" s="2410" t="s">
        <v>345</v>
      </c>
      <c r="D2122" s="2414" t="s">
        <v>8277</v>
      </c>
    </row>
    <row r="2123" spans="1:4" ht="12.75" customHeight="1">
      <c r="A2123" s="2410" t="str">
        <f t="shared" si="39"/>
        <v>Sömmerungstage</v>
      </c>
      <c r="B2123" s="2410" t="s">
        <v>3992</v>
      </c>
      <c r="C2123" s="2410" t="s">
        <v>5449</v>
      </c>
      <c r="D2123" s="2414" t="s">
        <v>2334</v>
      </c>
    </row>
    <row r="2124" spans="1:4" ht="12.75" customHeight="1">
      <c r="A2124" s="2410" t="str">
        <f t="shared" si="39"/>
        <v>Anzahl / Stück</v>
      </c>
      <c r="B2124" s="2410" t="s">
        <v>4862</v>
      </c>
      <c r="C2124" s="2410" t="s">
        <v>4863</v>
      </c>
      <c r="D2124" s="2414" t="s">
        <v>9332</v>
      </c>
    </row>
    <row r="2125" spans="1:4" ht="12.75" customHeight="1">
      <c r="A2125" s="2410" t="str">
        <f t="shared" si="39"/>
        <v>Anzahl</v>
      </c>
      <c r="B2125" s="2410" t="s">
        <v>7044</v>
      </c>
      <c r="C2125" s="2410" t="s">
        <v>5260</v>
      </c>
      <c r="D2125" s="2414" t="s">
        <v>3773</v>
      </c>
    </row>
    <row r="2126" spans="1:4" ht="12.75" customHeight="1">
      <c r="A2126" s="2410" t="str">
        <f t="shared" ref="A2126:A2145" si="40">IF($A$2=1,B2126,IF($A$2=2,C2126,IF($A$2=3,IF(D2126="",C2126,D2126),"")))</f>
        <v>Tiere</v>
      </c>
      <c r="B2126" s="2410" t="s">
        <v>3064</v>
      </c>
      <c r="C2126" s="2410" t="s">
        <v>3993</v>
      </c>
      <c r="D2126" s="2414" t="s">
        <v>9070</v>
      </c>
    </row>
    <row r="2127" spans="1:4" ht="12.75" customHeight="1">
      <c r="A2127" s="2410" t="str">
        <f t="shared" si="40"/>
        <v>Tage</v>
      </c>
      <c r="B2127" s="2410" t="s">
        <v>6497</v>
      </c>
      <c r="C2127" s="2410" t="s">
        <v>3994</v>
      </c>
      <c r="D2127" s="2414" t="s">
        <v>8564</v>
      </c>
    </row>
    <row r="2128" spans="1:4" ht="12.75" customHeight="1">
      <c r="A2128" s="2410" t="str">
        <f t="shared" si="40"/>
        <v>Total</v>
      </c>
      <c r="B2128" s="2410" t="s">
        <v>4802</v>
      </c>
      <c r="C2128" s="2410" t="s">
        <v>4802</v>
      </c>
      <c r="D2128" s="2414" t="s">
        <v>6340</v>
      </c>
    </row>
    <row r="2129" spans="1:4" ht="12.75" customHeight="1">
      <c r="A2129" s="2410" t="str">
        <f t="shared" si="40"/>
        <v>kg TS</v>
      </c>
      <c r="B2129" s="2410" t="s">
        <v>6311</v>
      </c>
      <c r="C2129" s="2410" t="s">
        <v>4957</v>
      </c>
      <c r="D2129" s="2414" t="s">
        <v>7427</v>
      </c>
    </row>
    <row r="2130" spans="1:4" ht="12.75" customHeight="1">
      <c r="A2130" s="2410" t="str">
        <f t="shared" si="40"/>
        <v>pro Tag</v>
      </c>
      <c r="B2130" s="2410" t="s">
        <v>5898</v>
      </c>
      <c r="C2130" s="2410" t="s">
        <v>360</v>
      </c>
      <c r="D2130" s="2414" t="s">
        <v>9333</v>
      </c>
    </row>
    <row r="2131" spans="1:4" ht="12.75" customHeight="1">
      <c r="A2131" s="2410" t="str">
        <f t="shared" si="40"/>
        <v>Verzehr während Sömmerung</v>
      </c>
      <c r="B2131" s="2410" t="s">
        <v>3991</v>
      </c>
      <c r="C2131" s="2410" t="s">
        <v>2118</v>
      </c>
      <c r="D2131" s="2414" t="s">
        <v>9334</v>
      </c>
    </row>
    <row r="2132" spans="1:4" ht="12.75" customHeight="1">
      <c r="A2132" s="2410" t="str">
        <f t="shared" si="40"/>
        <v>Grundfutter</v>
      </c>
      <c r="B2132" s="2410" t="s">
        <v>4682</v>
      </c>
      <c r="C2132" s="2410" t="s">
        <v>4667</v>
      </c>
      <c r="D2132" s="2414" t="s">
        <v>9335</v>
      </c>
    </row>
    <row r="2133" spans="1:4" ht="12.75" customHeight="1">
      <c r="A2133" s="2410" t="str">
        <f t="shared" si="40"/>
        <v>Kraftfutter</v>
      </c>
      <c r="B2133" s="2410" t="s">
        <v>1374</v>
      </c>
      <c r="C2133" s="2410" t="s">
        <v>1660</v>
      </c>
      <c r="D2133" s="2414" t="s">
        <v>9336</v>
      </c>
    </row>
    <row r="2134" spans="1:4" ht="12.75" customHeight="1">
      <c r="A2134" s="2410" t="str">
        <f t="shared" si="40"/>
        <v>Standard, dt</v>
      </c>
      <c r="B2134" s="2410" t="s">
        <v>11062</v>
      </c>
      <c r="C2134" s="2410" t="s">
        <v>11063</v>
      </c>
      <c r="D2134" s="2414" t="s">
        <v>11064</v>
      </c>
    </row>
    <row r="2135" spans="1:4" ht="12.75" customHeight="1">
      <c r="A2135" s="2410" t="str">
        <f t="shared" si="40"/>
        <v>RGVE-Faktor</v>
      </c>
      <c r="B2135" s="2410" t="s">
        <v>6573</v>
      </c>
      <c r="C2135" s="2410" t="s">
        <v>3981</v>
      </c>
      <c r="D2135" s="2414" t="s">
        <v>3775</v>
      </c>
    </row>
    <row r="2136" spans="1:4" ht="12.75" customHeight="1">
      <c r="A2136" s="2410">
        <f t="shared" si="40"/>
        <v>0</v>
      </c>
      <c r="B2136" s="2410"/>
      <c r="C2136" s="2410" t="s">
        <v>135</v>
      </c>
      <c r="D2136" s="2414" t="s">
        <v>3783</v>
      </c>
    </row>
    <row r="2137" spans="1:4" ht="12.75" customHeight="1">
      <c r="A2137" s="2410" t="str">
        <f t="shared" si="40"/>
        <v>pro</v>
      </c>
      <c r="B2137" s="2410" t="s">
        <v>5303</v>
      </c>
      <c r="C2137" s="2410" t="s">
        <v>6921</v>
      </c>
      <c r="D2137" s="2414" t="s">
        <v>9072</v>
      </c>
    </row>
    <row r="2138" spans="1:4" ht="12.75" customHeight="1">
      <c r="A2138" s="2410" t="str">
        <f t="shared" si="40"/>
        <v>Einheit</v>
      </c>
      <c r="B2138" s="2410" t="s">
        <v>6392</v>
      </c>
      <c r="C2138" s="2410" t="s">
        <v>3980</v>
      </c>
      <c r="D2138" s="2414" t="s">
        <v>1418</v>
      </c>
    </row>
    <row r="2139" spans="1:4" ht="12.75" customHeight="1">
      <c r="A2139" s="2410" t="str">
        <f t="shared" si="40"/>
        <v>total</v>
      </c>
      <c r="B2139" s="2410" t="s">
        <v>4333</v>
      </c>
      <c r="C2139" s="2410" t="s">
        <v>4333</v>
      </c>
      <c r="D2139" s="2414" t="s">
        <v>6340</v>
      </c>
    </row>
    <row r="2140" spans="1:4" ht="12.75" customHeight="1">
      <c r="A2140" s="2410" t="str">
        <f t="shared" si="40"/>
        <v>RGVE</v>
      </c>
      <c r="B2140" s="2410" t="s">
        <v>2457</v>
      </c>
      <c r="C2140" s="2410" t="s">
        <v>135</v>
      </c>
      <c r="D2140" s="2414" t="s">
        <v>3783</v>
      </c>
    </row>
    <row r="2141" spans="1:4" ht="12.75" customHeight="1">
      <c r="A2141" s="2410" t="str">
        <f t="shared" si="40"/>
        <v>Raufutterverzehrer mit Kraftfutter</v>
      </c>
      <c r="B2141" s="2410" t="s">
        <v>6572</v>
      </c>
      <c r="C2141" s="2410" t="s">
        <v>6571</v>
      </c>
      <c r="D2141" s="2414" t="s">
        <v>9337</v>
      </c>
    </row>
    <row r="2142" spans="1:4" ht="12.75" customHeight="1">
      <c r="A2142" s="2410" t="str">
        <f t="shared" si="40"/>
        <v>Rindvieh</v>
      </c>
      <c r="B2142" s="2410" t="s">
        <v>2588</v>
      </c>
      <c r="C2142" s="2410" t="s">
        <v>712</v>
      </c>
      <c r="D2142" s="2414" t="s">
        <v>2218</v>
      </c>
    </row>
    <row r="2143" spans="1:4" ht="12.75" customHeight="1">
      <c r="A2143" s="2410" t="str">
        <f t="shared" si="40"/>
        <v>Ø Milchmenge:</v>
      </c>
      <c r="B2143" s="2410" t="s">
        <v>2351</v>
      </c>
      <c r="C2143" s="2410" t="s">
        <v>710</v>
      </c>
      <c r="D2143" s="2414" t="s">
        <v>8573</v>
      </c>
    </row>
    <row r="2144" spans="1:4" ht="12.75" customHeight="1">
      <c r="A2144" s="2410" t="str">
        <f t="shared" si="40"/>
        <v>Milchkühe</v>
      </c>
      <c r="B2144" s="2410" t="s">
        <v>2350</v>
      </c>
      <c r="C2144" s="2410" t="s">
        <v>6570</v>
      </c>
      <c r="D2144" s="2414" t="s">
        <v>8572</v>
      </c>
    </row>
    <row r="2145" spans="1:4" ht="12.75" customHeight="1">
      <c r="A2145" s="2410" t="str">
        <f t="shared" si="40"/>
        <v>andere Kühe</v>
      </c>
      <c r="B2145" s="2410" t="s">
        <v>1470</v>
      </c>
      <c r="C2145" s="2410" t="s">
        <v>6569</v>
      </c>
      <c r="D2145" s="2414" t="s">
        <v>9338</v>
      </c>
    </row>
    <row r="2146" spans="1:4" ht="12.75" customHeight="1">
      <c r="A2146" s="2410" t="str">
        <f>IF($A$2=1,B2146,IF($A$2=2,C2146,IF($A$2=3,IF(D2146="",C2146,D2146),"")))</f>
        <v>Mutterkühe schwer, &gt;= 600 kg</v>
      </c>
      <c r="B2146" s="2410" t="s">
        <v>8201</v>
      </c>
      <c r="C2146" s="2410" t="s">
        <v>6568</v>
      </c>
      <c r="D2146" s="2414" t="s">
        <v>9339</v>
      </c>
    </row>
    <row r="2147" spans="1:4" ht="12.75" customHeight="1">
      <c r="A2147" s="2410" t="str">
        <f t="shared" ref="A2147:A2209" si="41">IF($A$2=1,B2147,IF($A$2=2,C2147,IF($A$2=3,IF(D2147="",C2147,D2147),"")))</f>
        <v>Mutterkühe leicht, 450 kg</v>
      </c>
      <c r="B2147" s="2410" t="s">
        <v>8202</v>
      </c>
      <c r="C2147" s="2410" t="s">
        <v>5080</v>
      </c>
      <c r="D2147" s="2414" t="s">
        <v>9340</v>
      </c>
    </row>
    <row r="2148" spans="1:4" ht="12.75" customHeight="1">
      <c r="A2148" s="2410" t="str">
        <f t="shared" si="41"/>
        <v>Ammenkühe 2 Kälber pro Jahr, ohne Kälber</v>
      </c>
      <c r="B2148" s="2410" t="s">
        <v>11560</v>
      </c>
      <c r="C2148" s="2410" t="s">
        <v>1570</v>
      </c>
      <c r="D2148" s="2414" t="s">
        <v>9341</v>
      </c>
    </row>
    <row r="2149" spans="1:4" ht="12.75" customHeight="1">
      <c r="A2149" s="2410" t="str">
        <f t="shared" si="41"/>
        <v>Jungvieh, 0 bis 1-jährig</v>
      </c>
      <c r="B2149" s="2410" t="s">
        <v>2119</v>
      </c>
      <c r="C2149" s="2410" t="s">
        <v>6956</v>
      </c>
      <c r="D2149" s="2414" t="s">
        <v>8991</v>
      </c>
    </row>
    <row r="2150" spans="1:4" ht="12.75" customHeight="1">
      <c r="A2150" s="2410" t="str">
        <f t="shared" si="41"/>
        <v>Jungvieh, 1 bis 2-jährig</v>
      </c>
      <c r="B2150" s="2410" t="s">
        <v>198</v>
      </c>
      <c r="C2150" s="2410" t="s">
        <v>6955</v>
      </c>
      <c r="D2150" s="2414" t="s">
        <v>8992</v>
      </c>
    </row>
    <row r="2151" spans="1:4" ht="12.75" customHeight="1">
      <c r="A2151" s="2410" t="str">
        <f t="shared" si="41"/>
        <v>Jungvieh, über 2-jährig</v>
      </c>
      <c r="B2151" s="2410" t="s">
        <v>7744</v>
      </c>
      <c r="C2151" s="2410" t="s">
        <v>7745</v>
      </c>
      <c r="D2151" s="2414" t="s">
        <v>8993</v>
      </c>
    </row>
    <row r="2152" spans="1:4" ht="12.75" customHeight="1">
      <c r="A2152" s="2410" t="str">
        <f t="shared" si="41"/>
        <v>Mastkälber, 50-200 kg</v>
      </c>
      <c r="B2152" s="2410" t="s">
        <v>7740</v>
      </c>
      <c r="C2152" s="2410" t="s">
        <v>1459</v>
      </c>
      <c r="D2152" s="2414" t="s">
        <v>9342</v>
      </c>
    </row>
    <row r="2153" spans="1:4" ht="12.75" customHeight="1">
      <c r="A2153" s="2410" t="str">
        <f t="shared" si="41"/>
        <v>Mutterkuhkälber leicht, bis 200 kg SG</v>
      </c>
      <c r="B2153" s="2410" t="s">
        <v>7713</v>
      </c>
      <c r="C2153" s="2410" t="s">
        <v>8273</v>
      </c>
      <c r="D2153" s="2414" t="s">
        <v>9343</v>
      </c>
    </row>
    <row r="2154" spans="1:4" ht="12.75" customHeight="1">
      <c r="A2154" s="2410" t="str">
        <f t="shared" si="41"/>
        <v>Mutterkuhkälber mittel, 200 - 250 kg SG</v>
      </c>
      <c r="B2154" s="2410" t="s">
        <v>7714</v>
      </c>
      <c r="C2154" s="2410" t="s">
        <v>8274</v>
      </c>
      <c r="D2154" s="2414" t="s">
        <v>9344</v>
      </c>
    </row>
    <row r="2155" spans="1:4" ht="12.75" customHeight="1">
      <c r="A2155" s="2410" t="str">
        <f t="shared" si="41"/>
        <v>Mutterkuhkälber schwer, über 250 kg SG</v>
      </c>
      <c r="B2155" s="2410" t="s">
        <v>7712</v>
      </c>
      <c r="C2155" s="2410" t="s">
        <v>8275</v>
      </c>
      <c r="D2155" s="2414" t="s">
        <v>9345</v>
      </c>
    </row>
    <row r="2156" spans="1:4" ht="12.75" customHeight="1">
      <c r="A2156" s="2410" t="str">
        <f t="shared" si="41"/>
        <v>Rindviehmast intensiv, 65-520 kg</v>
      </c>
      <c r="B2156" s="2410" t="s">
        <v>2304</v>
      </c>
      <c r="C2156" s="2410" t="s">
        <v>2303</v>
      </c>
      <c r="D2156" s="2414" t="s">
        <v>9346</v>
      </c>
    </row>
    <row r="2157" spans="1:4" ht="12.75" customHeight="1">
      <c r="A2157" s="2410" t="str">
        <f t="shared" si="41"/>
        <v>Rindviehmast &lt; 160 Tage</v>
      </c>
      <c r="B2157" s="2410" t="s">
        <v>5426</v>
      </c>
      <c r="C2157" s="2410" t="s">
        <v>8178</v>
      </c>
      <c r="D2157" s="2414" t="s">
        <v>9347</v>
      </c>
    </row>
    <row r="2158" spans="1:4" ht="12.75" customHeight="1">
      <c r="A2158" s="2410" t="str">
        <f t="shared" si="41"/>
        <v>Rindviehmast intensiv &gt; 160 Tage</v>
      </c>
      <c r="B2158" s="2410" t="s">
        <v>5424</v>
      </c>
      <c r="C2158" s="2410" t="s">
        <v>8192</v>
      </c>
      <c r="D2158" s="2414" t="s">
        <v>9348</v>
      </c>
    </row>
    <row r="2159" spans="1:4" ht="12.75" customHeight="1">
      <c r="A2159" s="2410" t="str">
        <f t="shared" si="41"/>
        <v>Rindviehmast Weidemast &gt; 160 Tage</v>
      </c>
      <c r="B2159" s="2410" t="s">
        <v>5425</v>
      </c>
      <c r="C2159" s="2410" t="s">
        <v>8193</v>
      </c>
      <c r="D2159" s="2414" t="s">
        <v>9349</v>
      </c>
    </row>
    <row r="2160" spans="1:4" ht="12.75" customHeight="1">
      <c r="A2160" s="2410" t="str">
        <f t="shared" si="41"/>
        <v>Rindviehmast, intensive Ausmast</v>
      </c>
      <c r="B2160" s="2410" t="s">
        <v>2978</v>
      </c>
      <c r="C2160" s="2410" t="s">
        <v>8200</v>
      </c>
      <c r="D2160" s="2414" t="s">
        <v>9350</v>
      </c>
    </row>
    <row r="2161" spans="1:4" ht="12.75" customHeight="1">
      <c r="A2161" s="2410" t="str">
        <f t="shared" si="41"/>
        <v>Zuchtstier</v>
      </c>
      <c r="B2161" s="2410" t="s">
        <v>3725</v>
      </c>
      <c r="C2161" s="2410" t="s">
        <v>3724</v>
      </c>
      <c r="D2161" s="2414" t="s">
        <v>9351</v>
      </c>
    </row>
    <row r="2162" spans="1:4" ht="12.75" customHeight="1">
      <c r="A2162" s="2410" t="str">
        <f t="shared" si="41"/>
        <v>Raufutterverzehrer ohne Kraftfutter, gem. GMF</v>
      </c>
      <c r="B2162" s="2410" t="s">
        <v>8205</v>
      </c>
      <c r="C2162" s="2410" t="s">
        <v>3723</v>
      </c>
      <c r="D2162" s="2414" t="s">
        <v>9352</v>
      </c>
    </row>
    <row r="2163" spans="1:4" ht="12.75" customHeight="1">
      <c r="A2163" s="2410" t="str">
        <f t="shared" si="41"/>
        <v>Weitere raufutterverzehrende Tiere</v>
      </c>
      <c r="B2163" s="2410" t="s">
        <v>6951</v>
      </c>
      <c r="C2163" s="2410" t="s">
        <v>5367</v>
      </c>
      <c r="D2163" s="2414" t="s">
        <v>8648</v>
      </c>
    </row>
    <row r="2164" spans="1:4" ht="12.75" customHeight="1">
      <c r="A2164" s="2410" t="str">
        <f t="shared" si="41"/>
        <v>Zuchtstute inkl. Fohlen</v>
      </c>
      <c r="B2164" s="2410" t="s">
        <v>2022</v>
      </c>
      <c r="C2164" s="2410" t="s">
        <v>2195</v>
      </c>
      <c r="D2164" s="2414" t="s">
        <v>9353</v>
      </c>
    </row>
    <row r="2165" spans="1:4" ht="12.75" customHeight="1">
      <c r="A2165" s="2410" t="str">
        <f t="shared" si="41"/>
        <v>Stute inkl. Fohlen, Hafer als KF, max. 700 kg</v>
      </c>
      <c r="B2165" s="2410" t="s">
        <v>8203</v>
      </c>
      <c r="C2165" s="2410" t="s">
        <v>8204</v>
      </c>
      <c r="D2165" s="2414" t="s">
        <v>9354</v>
      </c>
    </row>
    <row r="2166" spans="1:4" ht="12.75" customHeight="1">
      <c r="A2166" s="2410" t="str">
        <f t="shared" si="41"/>
        <v>Equiden &gt; 900 Tage, &gt; 148 cm</v>
      </c>
      <c r="B2166" s="2410" t="s">
        <v>6490</v>
      </c>
      <c r="C2166" s="2410" t="s">
        <v>1837</v>
      </c>
      <c r="D2166" s="2414" t="s">
        <v>9355</v>
      </c>
    </row>
    <row r="2167" spans="1:4" ht="12.75" customHeight="1">
      <c r="A2167" s="2410" t="str">
        <f t="shared" si="41"/>
        <v>Fohlen 0.5 bis 3-jährig</v>
      </c>
      <c r="B2167" s="2410" t="s">
        <v>5728</v>
      </c>
      <c r="C2167" s="2410" t="s">
        <v>2506</v>
      </c>
      <c r="D2167" s="2414" t="s">
        <v>9356</v>
      </c>
    </row>
    <row r="2168" spans="1:4" ht="12.75" customHeight="1">
      <c r="A2168" s="2410" t="str">
        <f t="shared" si="41"/>
        <v>Maultiere, Maulesel jeden Alters</v>
      </c>
      <c r="B2168" s="2410" t="s">
        <v>599</v>
      </c>
      <c r="C2168" s="2410" t="s">
        <v>1831</v>
      </c>
      <c r="D2168" s="2414" t="s">
        <v>9357</v>
      </c>
    </row>
    <row r="2169" spans="1:4" ht="12.75" customHeight="1">
      <c r="A2169" s="2410" t="str">
        <f t="shared" si="41"/>
        <v>Ponys, Kleinpferde und Esel</v>
      </c>
      <c r="B2169" s="2410" t="s">
        <v>3854</v>
      </c>
      <c r="C2169" s="2410" t="s">
        <v>1797</v>
      </c>
      <c r="D2169" s="2414" t="s">
        <v>11205</v>
      </c>
    </row>
    <row r="2170" spans="1:4" ht="12.75" customHeight="1">
      <c r="A2170" s="2410" t="str">
        <f t="shared" si="41"/>
        <v>Ziegenplatz, inkl. Juntiere und Anteil Bock</v>
      </c>
      <c r="B2170" s="2410" t="s">
        <v>8196</v>
      </c>
      <c r="C2170" s="2410" t="s">
        <v>4665</v>
      </c>
      <c r="D2170" s="2414" t="s">
        <v>9358</v>
      </c>
    </row>
    <row r="2171" spans="1:4" ht="12.75" customHeight="1">
      <c r="A2171" s="2410" t="str">
        <f t="shared" si="41"/>
        <v>Schafplatz, inkl. Jungtiere und Anteil Bock</v>
      </c>
      <c r="B2171" s="2410" t="s">
        <v>8197</v>
      </c>
      <c r="C2171" s="2410" t="s">
        <v>1165</v>
      </c>
      <c r="D2171" s="2414" t="s">
        <v>9359</v>
      </c>
    </row>
    <row r="2172" spans="1:4" ht="12.75" customHeight="1">
      <c r="A2172" s="2410" t="str">
        <f t="shared" si="41"/>
        <v>Weidemastlamm, -gitzi</v>
      </c>
      <c r="B2172" s="2410" t="s">
        <v>5243</v>
      </c>
      <c r="C2172" s="2410" t="s">
        <v>3876</v>
      </c>
      <c r="D2172" s="2414" t="s">
        <v>9360</v>
      </c>
    </row>
    <row r="2173" spans="1:4" ht="12.75" customHeight="1">
      <c r="A2173" s="2410" t="str">
        <f t="shared" si="41"/>
        <v>Milchschafe, inkl.Jungtiere</v>
      </c>
      <c r="B2173" s="2410" t="s">
        <v>8198</v>
      </c>
      <c r="C2173" s="2410" t="s">
        <v>3875</v>
      </c>
      <c r="D2173" s="2414" t="s">
        <v>9361</v>
      </c>
    </row>
    <row r="2174" spans="1:4" ht="12.75" customHeight="1">
      <c r="A2174" s="2410" t="str">
        <f t="shared" si="41"/>
        <v>Damhirsche inkl. Jungtiere, 1 Einheit=2 Tiere</v>
      </c>
      <c r="B2174" s="2410" t="s">
        <v>3874</v>
      </c>
      <c r="C2174" s="2410" t="s">
        <v>5836</v>
      </c>
      <c r="D2174" s="2414" t="s">
        <v>9362</v>
      </c>
    </row>
    <row r="2175" spans="1:4" ht="12.75" customHeight="1">
      <c r="A2175" s="2410" t="str">
        <f t="shared" si="41"/>
        <v>Rothirsche inkl. Jungtiere, 1 Einheit=2 Tiere</v>
      </c>
      <c r="B2175" s="2410" t="s">
        <v>2804</v>
      </c>
      <c r="C2175" s="2410" t="s">
        <v>6674</v>
      </c>
      <c r="D2175" s="2414" t="s">
        <v>9363</v>
      </c>
    </row>
    <row r="2176" spans="1:4" ht="12.75" customHeight="1">
      <c r="A2176" s="2410" t="str">
        <f t="shared" si="41"/>
        <v>Wapiti inkl. Jungtiere, 1 Einheit=2 Tiere</v>
      </c>
      <c r="B2176" s="2410" t="s">
        <v>2380</v>
      </c>
      <c r="C2176" s="2410" t="s">
        <v>2379</v>
      </c>
      <c r="D2176" s="2414" t="s">
        <v>9364</v>
      </c>
    </row>
    <row r="2177" spans="1:4" ht="12.75" customHeight="1">
      <c r="A2177" s="2410" t="str">
        <f t="shared" si="41"/>
        <v>Bisons über 900-tägig</v>
      </c>
      <c r="B2177" s="2410" t="s">
        <v>5443</v>
      </c>
      <c r="C2177" s="2410" t="s">
        <v>5459</v>
      </c>
      <c r="D2177" s="2414" t="s">
        <v>9019</v>
      </c>
    </row>
    <row r="2178" spans="1:4" ht="12.75" customHeight="1">
      <c r="A2178" s="2410" t="str">
        <f t="shared" si="41"/>
        <v>Bisons bis 900-tägig, Zucht u. Mast</v>
      </c>
      <c r="B2178" s="2410" t="s">
        <v>8199</v>
      </c>
      <c r="C2178" s="2410" t="s">
        <v>5423</v>
      </c>
      <c r="D2178" s="2414" t="s">
        <v>9365</v>
      </c>
    </row>
    <row r="2179" spans="1:4" ht="12.75" customHeight="1">
      <c r="A2179" s="2410" t="str">
        <f t="shared" si="41"/>
        <v>Lamas über 2-jährig</v>
      </c>
      <c r="B2179" s="2410" t="s">
        <v>5454</v>
      </c>
      <c r="C2179" s="2410" t="s">
        <v>2378</v>
      </c>
      <c r="D2179" s="2414" t="s">
        <v>8186</v>
      </c>
    </row>
    <row r="2180" spans="1:4" ht="12.75" customHeight="1">
      <c r="A2180" s="2410" t="str">
        <f t="shared" si="41"/>
        <v>Lamas unter 2-jährig</v>
      </c>
      <c r="B2180" s="2410" t="s">
        <v>5455</v>
      </c>
      <c r="C2180" s="2410" t="s">
        <v>5370</v>
      </c>
      <c r="D2180" s="2414" t="s">
        <v>8175</v>
      </c>
    </row>
    <row r="2181" spans="1:4" ht="12.75" customHeight="1">
      <c r="A2181" s="2410" t="str">
        <f t="shared" si="41"/>
        <v>Alpakas über 2-jährig</v>
      </c>
      <c r="B2181" s="2410" t="s">
        <v>5456</v>
      </c>
      <c r="C2181" s="2410" t="s">
        <v>5369</v>
      </c>
      <c r="D2181" s="2414" t="s">
        <v>8188</v>
      </c>
    </row>
    <row r="2182" spans="1:4" ht="12.75" customHeight="1">
      <c r="A2182" s="2410" t="str">
        <f t="shared" si="41"/>
        <v>Alpakas unter 2-jährig</v>
      </c>
      <c r="B2182" s="2410" t="s">
        <v>6329</v>
      </c>
      <c r="C2182" s="2410" t="s">
        <v>5368</v>
      </c>
      <c r="D2182" s="2414" t="s">
        <v>8177</v>
      </c>
    </row>
    <row r="2183" spans="1:4" ht="12.75" customHeight="1">
      <c r="A2183" s="2410" t="str">
        <f t="shared" si="41"/>
        <v>Übrige Tierkategorien mit GF-Verzehr</v>
      </c>
      <c r="B2183" s="2410" t="s">
        <v>3180</v>
      </c>
      <c r="C2183" s="2410" t="s">
        <v>5367</v>
      </c>
      <c r="D2183" s="2414" t="s">
        <v>8648</v>
      </c>
    </row>
    <row r="2184" spans="1:4" ht="12.75" customHeight="1">
      <c r="A2184" s="2410" t="str">
        <f t="shared" si="41"/>
        <v xml:space="preserve">davon Wiesen- </v>
      </c>
      <c r="B2184" s="2410" t="s">
        <v>5146</v>
      </c>
      <c r="C2184" s="2410" t="s">
        <v>5148</v>
      </c>
      <c r="D2184" s="2414" t="s">
        <v>9366</v>
      </c>
    </row>
    <row r="2185" spans="1:4" ht="12.75" customHeight="1">
      <c r="A2185" s="2410" t="str">
        <f t="shared" si="41"/>
        <v>&amp; Weidefutter</v>
      </c>
      <c r="B2185" s="2410" t="s">
        <v>5147</v>
      </c>
      <c r="C2185" s="2410" t="s">
        <v>3687</v>
      </c>
      <c r="D2185" s="2414" t="s">
        <v>9367</v>
      </c>
    </row>
    <row r="2186" spans="1:4" ht="12.75" customHeight="1">
      <c r="A2186" s="2410" t="str">
        <f t="shared" si="41"/>
        <v>Kaninchen: Zibben inkl. Jungtiere bis ca. 35 Tage</v>
      </c>
      <c r="B2186" s="2410" t="s">
        <v>5432</v>
      </c>
      <c r="C2186" s="2410" t="s">
        <v>8109</v>
      </c>
      <c r="D2186" s="2414" t="s">
        <v>9368</v>
      </c>
    </row>
    <row r="2187" spans="1:4" ht="12.75" customHeight="1">
      <c r="A2187" s="2410" t="str">
        <f t="shared" si="41"/>
        <v>Kaninchen: Jungtiere ab ca. 35 Tagen</v>
      </c>
      <c r="B2187" s="2410" t="s">
        <v>7177</v>
      </c>
      <c r="C2187" s="2410" t="s">
        <v>3221</v>
      </c>
      <c r="D2187" s="2414" t="s">
        <v>9023</v>
      </c>
    </row>
    <row r="2188" spans="1:4" ht="12.75" customHeight="1">
      <c r="A2188" s="2410" t="str">
        <f t="shared" si="41"/>
        <v>Strausse &gt; 13 Monate</v>
      </c>
      <c r="B2188" s="2410" t="s">
        <v>767</v>
      </c>
      <c r="C2188" s="2410" t="s">
        <v>766</v>
      </c>
      <c r="D2188" s="2414" t="s">
        <v>9369</v>
      </c>
    </row>
    <row r="2189" spans="1:4" ht="12.75" customHeight="1">
      <c r="A2189" s="2410" t="str">
        <f t="shared" si="41"/>
        <v>Strausse &lt; 13 Monate</v>
      </c>
      <c r="B2189" s="2410" t="s">
        <v>765</v>
      </c>
      <c r="C2189" s="2410" t="s">
        <v>764</v>
      </c>
      <c r="D2189" s="2414" t="s">
        <v>9370</v>
      </c>
    </row>
    <row r="2190" spans="1:4" ht="12.75" customHeight="1">
      <c r="A2190" s="2410" t="str">
        <f t="shared" si="41"/>
        <v>Zuchtschweine inkl. Ferkel</v>
      </c>
      <c r="B2190" s="2410" t="s">
        <v>6331</v>
      </c>
      <c r="C2190" s="2410" t="s">
        <v>1586</v>
      </c>
      <c r="D2190" s="2414" t="s">
        <v>11136</v>
      </c>
    </row>
    <row r="2191" spans="1:4" ht="12.75" customHeight="1">
      <c r="A2191" s="2410" t="str">
        <f t="shared" si="41"/>
        <v xml:space="preserve">Mastschweine &gt; 26 kg LG, Remonten </v>
      </c>
      <c r="B2191" s="2410" t="s">
        <v>588</v>
      </c>
      <c r="C2191" s="2410" t="s">
        <v>11561</v>
      </c>
      <c r="D2191" s="2414" t="s">
        <v>11206</v>
      </c>
    </row>
    <row r="2192" spans="1:4" ht="12.75" customHeight="1">
      <c r="A2192" s="2410" t="str">
        <f t="shared" si="41"/>
        <v>Zuchteber</v>
      </c>
      <c r="B2192" s="2410" t="s">
        <v>6332</v>
      </c>
      <c r="C2192" s="2410" t="s">
        <v>3954</v>
      </c>
      <c r="D2192" s="2414" t="s">
        <v>9025</v>
      </c>
    </row>
    <row r="2193" spans="1:4" ht="12.75" customHeight="1">
      <c r="A2193" s="2410" t="str">
        <f t="shared" si="41"/>
        <v>Zuchtschweine, säugend</v>
      </c>
      <c r="B2193" s="2410" t="s">
        <v>5570</v>
      </c>
      <c r="C2193" s="2410" t="s">
        <v>3955</v>
      </c>
      <c r="D2193" s="2414" t="s">
        <v>10689</v>
      </c>
    </row>
    <row r="2194" spans="1:4" ht="12.75" customHeight="1">
      <c r="A2194" s="2410" t="str">
        <f t="shared" si="41"/>
        <v>Zuchtsauen über 6 Mte., nicht säugend</v>
      </c>
      <c r="B2194" s="2410" t="s">
        <v>3254</v>
      </c>
      <c r="C2194" s="2410" t="s">
        <v>8189</v>
      </c>
      <c r="D2194" s="2414" t="s">
        <v>11181</v>
      </c>
    </row>
    <row r="2195" spans="1:4" ht="12.75" customHeight="1">
      <c r="A2195" s="2410" t="str">
        <f t="shared" si="41"/>
        <v xml:space="preserve">Ferkel abgesetzt </v>
      </c>
      <c r="B2195" s="2410" t="s">
        <v>6140</v>
      </c>
      <c r="C2195" s="2410" t="s">
        <v>3956</v>
      </c>
      <c r="D2195" s="2414" t="s">
        <v>9024</v>
      </c>
    </row>
    <row r="2196" spans="1:4" ht="12.75" customHeight="1">
      <c r="A2196" s="2410" t="str">
        <f t="shared" si="41"/>
        <v>Zuchtschweine, säugend, pro Umtrieb</v>
      </c>
      <c r="B2196" s="2410" t="s">
        <v>763</v>
      </c>
      <c r="C2196" s="2410" t="s">
        <v>762</v>
      </c>
      <c r="D2196" s="2414" t="s">
        <v>10637</v>
      </c>
    </row>
    <row r="2197" spans="1:4" ht="12.75" customHeight="1">
      <c r="A2197" s="2410" t="str">
        <f t="shared" si="41"/>
        <v>Zuchteber</v>
      </c>
      <c r="B2197" s="2410" t="s">
        <v>6332</v>
      </c>
      <c r="C2197" s="2410" t="s">
        <v>761</v>
      </c>
      <c r="D2197" s="2414" t="s">
        <v>9025</v>
      </c>
    </row>
    <row r="2198" spans="1:4" ht="12.75" customHeight="1">
      <c r="A2198" s="2410" t="str">
        <f t="shared" si="41"/>
        <v>Ferkel abgesetzt bis 26-30 kg</v>
      </c>
      <c r="B2198" s="2410" t="s">
        <v>4012</v>
      </c>
      <c r="C2198" s="2410" t="s">
        <v>4013</v>
      </c>
      <c r="D2198" s="2414" t="s">
        <v>11207</v>
      </c>
    </row>
    <row r="2199" spans="1:4" ht="12.75" customHeight="1">
      <c r="A2199" s="2410" t="str">
        <f t="shared" si="41"/>
        <v>Ferkel abgesetzt bis 26-30 kg</v>
      </c>
      <c r="B2199" s="2410" t="s">
        <v>4012</v>
      </c>
      <c r="C2199" s="2410" t="s">
        <v>4013</v>
      </c>
      <c r="D2199" s="2414" t="s">
        <v>11207</v>
      </c>
    </row>
    <row r="2200" spans="1:4" ht="12.75" customHeight="1">
      <c r="A2200" s="2410" t="str">
        <f t="shared" si="41"/>
        <v>Nachweis nötig!</v>
      </c>
      <c r="B2200" s="2410" t="s">
        <v>1441</v>
      </c>
      <c r="C2200" s="2410" t="s">
        <v>350</v>
      </c>
      <c r="D2200" s="2414" t="s">
        <v>5398</v>
      </c>
    </row>
    <row r="2201" spans="1:4" ht="12.75" customHeight="1">
      <c r="A2201" s="2410" t="str">
        <f t="shared" si="41"/>
        <v>GF-Verzehr zu hoch!</v>
      </c>
      <c r="B2201" s="2410" t="s">
        <v>1440</v>
      </c>
      <c r="C2201" s="2410" t="s">
        <v>6995</v>
      </c>
      <c r="D2201" s="2414" t="s">
        <v>5399</v>
      </c>
    </row>
    <row r="2202" spans="1:4" ht="25.5">
      <c r="A2202" s="2410" t="str">
        <f t="shared" si="41"/>
        <v>Wiesen- und Weidenfutter kann nicht höher sein als GF-Verzehr!</v>
      </c>
      <c r="B2202" s="2410" t="s">
        <v>6288</v>
      </c>
      <c r="C2202" s="2410" t="s">
        <v>4962</v>
      </c>
      <c r="D2202" s="2414" t="s">
        <v>9373</v>
      </c>
    </row>
    <row r="2203" spans="1:4" ht="12.75" customHeight="1">
      <c r="A2203" s="2410" t="str">
        <f t="shared" si="41"/>
        <v>Ganzjahresbetrieb</v>
      </c>
      <c r="B2203" s="2410" t="s">
        <v>4683</v>
      </c>
      <c r="C2203" s="2410" t="s">
        <v>7016</v>
      </c>
      <c r="D2203" s="2414" t="s">
        <v>9374</v>
      </c>
    </row>
    <row r="2204" spans="1:4" ht="12.75" customHeight="1">
      <c r="A2204" s="2410" t="str">
        <f t="shared" si="41"/>
        <v>A1: Grundfutterverzehr aller Tiere</v>
      </c>
      <c r="B2204" s="2410" t="s">
        <v>1654</v>
      </c>
      <c r="C2204" s="2410" t="s">
        <v>1653</v>
      </c>
      <c r="D2204" s="2414" t="s">
        <v>9375</v>
      </c>
    </row>
    <row r="2205" spans="1:4" ht="12.75" customHeight="1">
      <c r="A2205" s="2410" t="str">
        <f t="shared" si="41"/>
        <v>A2: Grundfutterverzehr Raufutterverzehrer</v>
      </c>
      <c r="B2205" s="2410" t="s">
        <v>746</v>
      </c>
      <c r="C2205" s="2410" t="s">
        <v>745</v>
      </c>
      <c r="D2205" s="2414" t="s">
        <v>11208</v>
      </c>
    </row>
    <row r="2206" spans="1:4" ht="12.75" customHeight="1">
      <c r="A2206" s="2410" t="str">
        <f t="shared" si="41"/>
        <v>A3: Wiesen-, Weidefutterverzehr übrige Tiere</v>
      </c>
      <c r="B2206" s="2410" t="s">
        <v>11562</v>
      </c>
      <c r="C2206" s="2410" t="s">
        <v>11563</v>
      </c>
      <c r="D2206" s="2414" t="s">
        <v>9376</v>
      </c>
    </row>
    <row r="2207" spans="1:4" ht="24" customHeight="1">
      <c r="A2207" s="2410" t="str">
        <f t="shared" si="41"/>
        <v>A4: Kraftfutterverzehr der berechtigten Kategorien</v>
      </c>
      <c r="B2207" s="2410" t="s">
        <v>5826</v>
      </c>
      <c r="C2207" s="2410" t="s">
        <v>5825</v>
      </c>
      <c r="D2207" s="2414" t="s">
        <v>9377</v>
      </c>
    </row>
    <row r="2208" spans="1:4" ht="12.75" customHeight="1">
      <c r="A2208" s="2410" t="str">
        <f t="shared" si="41"/>
        <v>A5: Gesamtverzehr der Raufutterverzehrer</v>
      </c>
      <c r="B2208" s="2410" t="s">
        <v>6723</v>
      </c>
      <c r="C2208" s="2410" t="s">
        <v>6722</v>
      </c>
      <c r="D2208" s="2414" t="s">
        <v>11209</v>
      </c>
    </row>
    <row r="2209" spans="1:4" ht="12.75" customHeight="1">
      <c r="A2209" s="2410" t="str">
        <f t="shared" si="41"/>
        <v>Sömmerung</v>
      </c>
      <c r="B2209" s="2410" t="s">
        <v>6349</v>
      </c>
      <c r="C2209" s="2410" t="s">
        <v>5044</v>
      </c>
      <c r="D2209" s="2414" t="s">
        <v>1384</v>
      </c>
    </row>
    <row r="2210" spans="1:4" ht="12.75" customHeight="1">
      <c r="A2210" s="2410" t="str">
        <f t="shared" ref="A2210:A2260" si="42">IF($A$2=1,B2210,IF($A$2=2,C2210,IF($A$2=3,IF(D2210="",C2210,D2210),"")))</f>
        <v>A6: Grundfutterverzehr Raufutterverzehr</v>
      </c>
      <c r="B2210" s="2410" t="s">
        <v>2320</v>
      </c>
      <c r="C2210" s="2410" t="s">
        <v>5233</v>
      </c>
      <c r="D2210" s="2414" t="s">
        <v>11210</v>
      </c>
    </row>
    <row r="2211" spans="1:4" ht="24" customHeight="1">
      <c r="A2211" s="2410" t="str">
        <f t="shared" si="42"/>
        <v>A7: Kraftfutterverzehr berechtigte Kategorien</v>
      </c>
      <c r="B2211" s="2410" t="s">
        <v>2321</v>
      </c>
      <c r="C2211" s="2410" t="s">
        <v>7015</v>
      </c>
      <c r="D2211" s="2414" t="s">
        <v>9378</v>
      </c>
    </row>
    <row r="2212" spans="1:4" ht="12.75" customHeight="1">
      <c r="A2212" s="2410" t="str">
        <f t="shared" si="42"/>
        <v>A8: Sömmerungstage gemäss AniCalc (TVD-Auszug)</v>
      </c>
      <c r="B2212" s="2410" t="s">
        <v>1143</v>
      </c>
      <c r="C2212" s="2410" t="s">
        <v>8276</v>
      </c>
      <c r="D2212" s="2414" t="s">
        <v>5830</v>
      </c>
    </row>
    <row r="2213" spans="1:4" ht="12.75" customHeight="1">
      <c r="A2213" s="2410" t="str">
        <f t="shared" si="42"/>
        <v>Tage</v>
      </c>
      <c r="B2213" s="3327" t="s">
        <v>6497</v>
      </c>
      <c r="C2213" s="3327" t="s">
        <v>223</v>
      </c>
      <c r="D2213" s="3326" t="s">
        <v>649</v>
      </c>
    </row>
    <row r="2214" spans="1:4" ht="12.75" customHeight="1">
      <c r="A2214" s="2410">
        <f t="shared" si="42"/>
        <v>0</v>
      </c>
      <c r="B2214" s="2410"/>
      <c r="C2214" s="2416" t="s">
        <v>6342</v>
      </c>
      <c r="D2214" s="2414" t="s">
        <v>5797</v>
      </c>
    </row>
    <row r="2215" spans="1:4" ht="12.75" customHeight="1">
      <c r="A2215" s="2410" t="str">
        <f t="shared" si="42"/>
        <v>Heimtier</v>
      </c>
      <c r="B2215" s="2410" t="s">
        <v>6721</v>
      </c>
      <c r="C2215" s="2416" t="s">
        <v>6317</v>
      </c>
      <c r="D2215" s="2414" t="s">
        <v>9379</v>
      </c>
    </row>
    <row r="2216" spans="1:4" ht="12.75" customHeight="1">
      <c r="A2216" s="2410" t="str">
        <f t="shared" si="42"/>
        <v xml:space="preserve">gemäss </v>
      </c>
      <c r="B2216" s="2410" t="s">
        <v>322</v>
      </c>
      <c r="C2216" s="2416" t="s">
        <v>6318</v>
      </c>
      <c r="D2216" s="2414" t="s">
        <v>9380</v>
      </c>
    </row>
    <row r="2217" spans="1:4" ht="12.75" customHeight="1">
      <c r="A2217" s="2410" t="str">
        <f t="shared" si="42"/>
        <v>TAMV Art. 15</v>
      </c>
      <c r="B2217" s="2410" t="s">
        <v>321</v>
      </c>
      <c r="C2217" s="2416" t="s">
        <v>6319</v>
      </c>
      <c r="D2217" s="2414" t="s">
        <v>11211</v>
      </c>
    </row>
    <row r="2218" spans="1:4" ht="12.75" customHeight="1">
      <c r="A2218" s="2410" t="str">
        <f t="shared" si="42"/>
        <v>Teil B: Grundfutterproduktion</v>
      </c>
      <c r="B2218" s="2410" t="s">
        <v>6720</v>
      </c>
      <c r="C2218" s="2410" t="s">
        <v>3269</v>
      </c>
      <c r="D2218" s="2414" t="s">
        <v>9381</v>
      </c>
    </row>
    <row r="2219" spans="1:4" ht="12.75" customHeight="1">
      <c r="A2219" s="2410" t="str">
        <f t="shared" si="42"/>
        <v>Grundfutterbilanz ist nicht ausgeglichen!</v>
      </c>
      <c r="B2219" s="2410" t="s">
        <v>3268</v>
      </c>
      <c r="C2219" s="2410" t="s">
        <v>7205</v>
      </c>
      <c r="D2219" s="2424" t="s">
        <v>9382</v>
      </c>
    </row>
    <row r="2220" spans="1:4" ht="12.75" customHeight="1">
      <c r="A2220" s="2410" t="str">
        <f t="shared" si="42"/>
        <v>Stand.</v>
      </c>
      <c r="B2220" s="2410" t="s">
        <v>3267</v>
      </c>
      <c r="C2220" s="2410" t="s">
        <v>3238</v>
      </c>
      <c r="D2220" s="2414" t="s">
        <v>5878</v>
      </c>
    </row>
    <row r="2221" spans="1:4" ht="12.75" customHeight="1">
      <c r="A2221" s="2410" t="str">
        <f t="shared" si="42"/>
        <v>Ertrag</v>
      </c>
      <c r="B2221" s="2410" t="s">
        <v>4260</v>
      </c>
      <c r="C2221" s="2410" t="s">
        <v>3266</v>
      </c>
      <c r="D2221" s="2414" t="s">
        <v>3266</v>
      </c>
    </row>
    <row r="2222" spans="1:4" ht="12.75" customHeight="1">
      <c r="A2222" s="2410" t="str">
        <f t="shared" si="42"/>
        <v>Ertrag</v>
      </c>
      <c r="B2222" s="2410" t="s">
        <v>4260</v>
      </c>
      <c r="C2222" s="2410" t="s">
        <v>3238</v>
      </c>
      <c r="D2222" s="2414" t="s">
        <v>5878</v>
      </c>
    </row>
    <row r="2223" spans="1:4" ht="12.75" customHeight="1">
      <c r="A2223" s="2410" t="str">
        <f t="shared" si="42"/>
        <v>Fläche</v>
      </c>
      <c r="B2223" s="2410" t="s">
        <v>5348</v>
      </c>
      <c r="C2223" s="2410" t="s">
        <v>1697</v>
      </c>
      <c r="D2223" s="2414" t="s">
        <v>2757</v>
      </c>
    </row>
    <row r="2224" spans="1:4" ht="12.75" customHeight="1">
      <c r="A2224" s="2410" t="str">
        <f t="shared" si="42"/>
        <v>dt TS/ha</v>
      </c>
      <c r="B2224" s="2410" t="s">
        <v>3265</v>
      </c>
      <c r="C2224" s="2410" t="s">
        <v>3264</v>
      </c>
      <c r="D2224" s="2414" t="s">
        <v>8760</v>
      </c>
    </row>
    <row r="2225" spans="1:4" ht="12.75" customHeight="1">
      <c r="A2225" s="2410" t="str">
        <f t="shared" si="42"/>
        <v>Menge</v>
      </c>
      <c r="B2225" s="2410" t="s">
        <v>5418</v>
      </c>
      <c r="C2225" s="2410" t="s">
        <v>3263</v>
      </c>
      <c r="D2225" s="2414" t="s">
        <v>2271</v>
      </c>
    </row>
    <row r="2226" spans="1:4" ht="12.75" customHeight="1">
      <c r="A2226" s="2410" t="str">
        <f t="shared" si="42"/>
        <v>dt TS</v>
      </c>
      <c r="B2226" s="2410" t="s">
        <v>2639</v>
      </c>
      <c r="C2226" s="2410" t="s">
        <v>6533</v>
      </c>
      <c r="D2226" s="2414" t="s">
        <v>5879</v>
      </c>
    </row>
    <row r="2227" spans="1:4" ht="12.75" customHeight="1">
      <c r="A2227" s="2410" t="str">
        <f t="shared" si="42"/>
        <v>1 = Verkauf</v>
      </c>
      <c r="B2227" s="2410" t="s">
        <v>3262</v>
      </c>
      <c r="C2227" s="2410" t="s">
        <v>3261</v>
      </c>
      <c r="D2227" s="2414" t="s">
        <v>9383</v>
      </c>
    </row>
    <row r="2228" spans="1:4" ht="12.75" customHeight="1">
      <c r="A2228" s="2410" t="str">
        <f t="shared" si="42"/>
        <v>2 = Zukauf</v>
      </c>
      <c r="B2228" s="2410" t="s">
        <v>3260</v>
      </c>
      <c r="C2228" s="2410" t="s">
        <v>3259</v>
      </c>
      <c r="D2228" s="2414" t="s">
        <v>9384</v>
      </c>
    </row>
    <row r="2229" spans="1:4" ht="12.75" customHeight="1">
      <c r="A2229" s="2410" t="str">
        <f t="shared" si="42"/>
        <v>3 = ausserhalb FF</v>
      </c>
      <c r="B2229" s="2410" t="s">
        <v>3258</v>
      </c>
      <c r="C2229" s="2410" t="s">
        <v>6269</v>
      </c>
      <c r="D2229" s="2414" t="s">
        <v>9385</v>
      </c>
    </row>
    <row r="2230" spans="1:4" ht="12.75" customHeight="1">
      <c r="A2230" s="2410" t="str">
        <f t="shared" si="42"/>
        <v>Ganzpflanzenmais, Silomais</v>
      </c>
      <c r="B2230" s="2410" t="s">
        <v>1868</v>
      </c>
      <c r="C2230" s="2410" t="s">
        <v>11564</v>
      </c>
      <c r="D2230" s="2414" t="s">
        <v>11212</v>
      </c>
    </row>
    <row r="2231" spans="1:4" ht="12.75" customHeight="1">
      <c r="A2231" s="2410" t="str">
        <f t="shared" si="42"/>
        <v>Ganzpflanzen-Sorghum</v>
      </c>
      <c r="B2231" s="2410" t="s">
        <v>7778</v>
      </c>
      <c r="C2231" s="2410" t="s">
        <v>7779</v>
      </c>
      <c r="D2231" s="2414" t="s">
        <v>11125</v>
      </c>
    </row>
    <row r="2232" spans="1:4" ht="12.75" customHeight="1">
      <c r="A2232" s="2410" t="str">
        <f t="shared" si="42"/>
        <v>Futterrüben, ohne Blätter</v>
      </c>
      <c r="B2232" s="2410" t="s">
        <v>7638</v>
      </c>
      <c r="C2232" s="2410" t="s">
        <v>7639</v>
      </c>
      <c r="D2232" s="2414" t="s">
        <v>8766</v>
      </c>
    </row>
    <row r="2233" spans="1:4" ht="12.75" customHeight="1">
      <c r="A2233" s="2410" t="str">
        <f t="shared" si="42"/>
        <v>Getreide-Silage</v>
      </c>
      <c r="B2233" s="2410" t="s">
        <v>5437</v>
      </c>
      <c r="C2233" s="2410" t="s">
        <v>5439</v>
      </c>
      <c r="D2233" s="2414" t="s">
        <v>8278</v>
      </c>
    </row>
    <row r="2234" spans="1:4" ht="12.75" customHeight="1">
      <c r="A2234" s="2410" t="str">
        <f t="shared" si="42"/>
        <v>Getreide-Silage mit Leguminosen</v>
      </c>
      <c r="B2234" s="2410" t="s">
        <v>5438</v>
      </c>
      <c r="C2234" s="2410" t="s">
        <v>5440</v>
      </c>
      <c r="D2234" s="2414" t="s">
        <v>9405</v>
      </c>
    </row>
    <row r="2235" spans="1:4" ht="12.75" customHeight="1">
      <c r="A2235" s="2410" t="str">
        <f t="shared" si="42"/>
        <v>Grünmais, Zweitkultur</v>
      </c>
      <c r="B2235" s="2410" t="s">
        <v>7637</v>
      </c>
      <c r="C2235" s="2410" t="s">
        <v>7640</v>
      </c>
      <c r="D2235" s="2414" t="s">
        <v>8779</v>
      </c>
    </row>
    <row r="2236" spans="1:4" ht="12.75" customHeight="1">
      <c r="A2236" s="2410" t="str">
        <f t="shared" si="42"/>
        <v>Ganzpflanzen-Sorghum, Zweitkultur</v>
      </c>
      <c r="B2236" s="2410" t="s">
        <v>7780</v>
      </c>
      <c r="C2236" s="2410" t="s">
        <v>7781</v>
      </c>
      <c r="D2236" s="2414" t="s">
        <v>11127</v>
      </c>
    </row>
    <row r="2237" spans="1:4" ht="12.75" customHeight="1">
      <c r="A2237" s="2410" t="str">
        <f t="shared" si="42"/>
        <v>Verfüttertes Stroh, nur betriebseigenes</v>
      </c>
      <c r="B2237" s="2410" t="s">
        <v>7656</v>
      </c>
      <c r="C2237" s="2410" t="s">
        <v>7593</v>
      </c>
      <c r="D2237" s="2414" t="s">
        <v>9386</v>
      </c>
    </row>
    <row r="2238" spans="1:4" ht="12.75" customHeight="1">
      <c r="A2238" s="2410" t="str">
        <f t="shared" si="42"/>
        <v>Verfütterte Rübenblätter, nur betriebseigene</v>
      </c>
      <c r="B2238" s="2410" t="s">
        <v>7655</v>
      </c>
      <c r="C2238" s="2410" t="s">
        <v>3518</v>
      </c>
      <c r="D2238" s="2414" t="s">
        <v>9387</v>
      </c>
    </row>
    <row r="2239" spans="1:4" ht="12.75" customHeight="1">
      <c r="A2239" s="2410" t="str">
        <f t="shared" si="42"/>
        <v>Zwischenfutter, Aeugstlen, Frühjahrsschnitt vor Umbruch</v>
      </c>
      <c r="B2239" s="2410" t="s">
        <v>3517</v>
      </c>
      <c r="C2239" s="2410" t="s">
        <v>7654</v>
      </c>
      <c r="D2239" s="2414" t="s">
        <v>11213</v>
      </c>
    </row>
    <row r="2240" spans="1:4" ht="12.75" customHeight="1">
      <c r="A2240" s="2410" t="str">
        <f t="shared" si="42"/>
        <v>Samenproduktion: Leguminosen Reinbestand</v>
      </c>
      <c r="B2240" s="2410" t="s">
        <v>1880</v>
      </c>
      <c r="C2240" s="2410" t="s">
        <v>430</v>
      </c>
      <c r="D2240" s="2414" t="s">
        <v>8770</v>
      </c>
    </row>
    <row r="2241" spans="1:4" ht="12.75" customHeight="1">
      <c r="A2241" s="2410" t="str">
        <f t="shared" si="42"/>
        <v>Samenproduktion: Gras Reinbestand</v>
      </c>
      <c r="B2241" s="2410" t="s">
        <v>431</v>
      </c>
      <c r="C2241" s="2410" t="s">
        <v>880</v>
      </c>
      <c r="D2241" s="2414" t="s">
        <v>8771</v>
      </c>
    </row>
    <row r="2242" spans="1:4" ht="12.75" customHeight="1">
      <c r="A2242" s="2410" t="str">
        <f t="shared" si="42"/>
        <v>Extensive Wiesen</v>
      </c>
      <c r="B2242" s="2410" t="s">
        <v>5669</v>
      </c>
      <c r="C2242" s="2410" t="s">
        <v>5435</v>
      </c>
      <c r="D2242" s="2414" t="s">
        <v>8772</v>
      </c>
    </row>
    <row r="2243" spans="1:4" ht="12.75" customHeight="1">
      <c r="A2243" s="2410" t="str">
        <f t="shared" si="42"/>
        <v>Übrige Wiesen mit Düngeverbot</v>
      </c>
      <c r="B2243" s="2410" t="s">
        <v>3795</v>
      </c>
      <c r="C2243" s="2410" t="s">
        <v>1592</v>
      </c>
      <c r="D2243" s="2414" t="s">
        <v>8530</v>
      </c>
    </row>
    <row r="2244" spans="1:4" ht="12.75" customHeight="1">
      <c r="A2244" s="2410" t="str">
        <f t="shared" si="42"/>
        <v>Extensive Weiden, Waldweiden</v>
      </c>
      <c r="B2244" s="2410" t="s">
        <v>3394</v>
      </c>
      <c r="C2244" s="2410" t="s">
        <v>5436</v>
      </c>
      <c r="D2244" s="2414" t="s">
        <v>8773</v>
      </c>
    </row>
    <row r="2245" spans="1:4" ht="12.75" customHeight="1">
      <c r="A2245" s="2410" t="str">
        <f t="shared" si="42"/>
        <v>Wiesen und Weiden</v>
      </c>
      <c r="B2245" s="2410" t="s">
        <v>5408</v>
      </c>
      <c r="C2245" s="2410" t="s">
        <v>5407</v>
      </c>
      <c r="D2245" s="2414" t="s">
        <v>9388</v>
      </c>
    </row>
    <row r="2246" spans="1:4" ht="12.75" customHeight="1">
      <c r="A2246" s="2410" t="str">
        <f t="shared" si="42"/>
        <v>wenig intensiv, 1-3 Nutzungen</v>
      </c>
      <c r="B2246" s="2410" t="s">
        <v>7657</v>
      </c>
      <c r="C2246" s="2410" t="s">
        <v>7660</v>
      </c>
      <c r="D2246" s="2414" t="s">
        <v>9389</v>
      </c>
    </row>
    <row r="2247" spans="1:4" ht="12.75" customHeight="1">
      <c r="A2247" s="2410" t="str">
        <f t="shared" si="42"/>
        <v>mittelintensiv, 1-5 Nutzungen</v>
      </c>
      <c r="B2247" s="2410" t="s">
        <v>7658</v>
      </c>
      <c r="C2247" s="2410" t="s">
        <v>7661</v>
      </c>
      <c r="D2247" s="2414" t="s">
        <v>9390</v>
      </c>
    </row>
    <row r="2248" spans="1:4" ht="12.75" customHeight="1">
      <c r="A2248" s="2410" t="str">
        <f t="shared" si="42"/>
        <v>intensive, 2-6 Nutzungen</v>
      </c>
      <c r="B2248" s="2410" t="s">
        <v>7659</v>
      </c>
      <c r="C2248" s="2410" t="s">
        <v>7662</v>
      </c>
      <c r="D2248" s="2414" t="s">
        <v>9391</v>
      </c>
    </row>
    <row r="2249" spans="1:4" ht="12.75" customHeight="1">
      <c r="A2249" s="2410" t="str">
        <f t="shared" si="42"/>
        <v>Grundfutterbilanz ist nicht ausgeglichen!</v>
      </c>
      <c r="B2249" s="2410" t="s">
        <v>3268</v>
      </c>
      <c r="C2249" s="2410" t="s">
        <v>7205</v>
      </c>
      <c r="D2249" s="2414" t="s">
        <v>9382</v>
      </c>
    </row>
    <row r="2250" spans="1:4" ht="12.75" customHeight="1">
      <c r="A2250" s="2410" t="str">
        <f t="shared" si="42"/>
        <v>Grünfläche</v>
      </c>
      <c r="B2250" s="2410" t="s">
        <v>7309</v>
      </c>
      <c r="C2250" s="2410" t="s">
        <v>7308</v>
      </c>
      <c r="D2250" s="2414" t="s">
        <v>6357</v>
      </c>
    </row>
    <row r="2251" spans="1:4" ht="12.75" customHeight="1">
      <c r="A2251" s="2410" t="str">
        <f t="shared" si="42"/>
        <v>Zwischenfutterfläche</v>
      </c>
      <c r="B2251" s="2410" t="s">
        <v>7307</v>
      </c>
      <c r="C2251" s="2410" t="s">
        <v>7306</v>
      </c>
      <c r="D2251" s="2414" t="s">
        <v>9392</v>
      </c>
    </row>
    <row r="2252" spans="1:4" ht="12.75" customHeight="1">
      <c r="A2252" s="2410" t="str">
        <f t="shared" si="42"/>
        <v>B1: Grundfutterproduktion total</v>
      </c>
      <c r="B2252" s="2410" t="s">
        <v>6066</v>
      </c>
      <c r="C2252" s="2410" t="s">
        <v>6065</v>
      </c>
      <c r="D2252" s="2414" t="s">
        <v>9393</v>
      </c>
    </row>
    <row r="2253" spans="1:4" ht="12.75" customHeight="1">
      <c r="A2253" s="2410" t="str">
        <f t="shared" si="42"/>
        <v>B2: Grundfutterproduktion Wiesen und Weiden</v>
      </c>
      <c r="B2253" s="2410" t="s">
        <v>6064</v>
      </c>
      <c r="C2253" s="2410" t="s">
        <v>6063</v>
      </c>
      <c r="D2253" s="2414" t="s">
        <v>9394</v>
      </c>
    </row>
    <row r="2254" spans="1:4" ht="12.75" customHeight="1">
      <c r="A2254" s="2410" t="str">
        <f t="shared" si="42"/>
        <v>B3: Grundfutterproduktion übrige</v>
      </c>
      <c r="B2254" s="2410" t="s">
        <v>6062</v>
      </c>
      <c r="C2254" s="2410" t="s">
        <v>6061</v>
      </c>
      <c r="D2254" s="2414" t="s">
        <v>9395</v>
      </c>
    </row>
    <row r="2255" spans="1:4" ht="12.75" customHeight="1">
      <c r="A2255" s="2410" t="str">
        <f t="shared" si="42"/>
        <v>Maximalertrag ist überschritten!</v>
      </c>
      <c r="B2255" s="2410" t="s">
        <v>6060</v>
      </c>
      <c r="C2255" s="2410" t="s">
        <v>7120</v>
      </c>
      <c r="D2255" s="2414" t="s">
        <v>9396</v>
      </c>
    </row>
    <row r="2256" spans="1:4" ht="12.75" customHeight="1">
      <c r="A2256" s="2410">
        <f t="shared" si="42"/>
        <v>0</v>
      </c>
      <c r="B2256" s="2410"/>
      <c r="C2256" s="2410"/>
      <c r="D2256" s="2414"/>
    </row>
    <row r="2257" spans="1:4" ht="12.75" customHeight="1">
      <c r="A2257" s="2410" t="str">
        <f t="shared" si="42"/>
        <v>Angaben für Mindesttierbesatz</v>
      </c>
      <c r="B2257" s="2410" t="s">
        <v>6423</v>
      </c>
      <c r="C2257" s="2410" t="s">
        <v>6424</v>
      </c>
      <c r="D2257" s="2414" t="s">
        <v>9397</v>
      </c>
    </row>
    <row r="2258" spans="1:4" ht="12.75" customHeight="1">
      <c r="A2258" s="2410" t="str">
        <f t="shared" si="42"/>
        <v>Dauergrünland</v>
      </c>
      <c r="B2258" s="2410" t="s">
        <v>1318</v>
      </c>
      <c r="C2258" s="2410" t="s">
        <v>444</v>
      </c>
      <c r="D2258" s="2414" t="s">
        <v>9398</v>
      </c>
    </row>
    <row r="2259" spans="1:4" ht="12.75" customHeight="1">
      <c r="A2259" s="2410" t="str">
        <f t="shared" si="42"/>
        <v>Kunstwiesen</v>
      </c>
      <c r="B2259" s="2410" t="s">
        <v>304</v>
      </c>
      <c r="C2259" s="2410" t="s">
        <v>2373</v>
      </c>
      <c r="D2259" s="2414" t="s">
        <v>9399</v>
      </c>
    </row>
    <row r="2260" spans="1:4" ht="12.75" customHeight="1">
      <c r="A2260" s="2410" t="str">
        <f t="shared" si="42"/>
        <v>BFF</v>
      </c>
      <c r="B2260" s="2410" t="s">
        <v>4440</v>
      </c>
      <c r="C2260" s="2410" t="s">
        <v>4439</v>
      </c>
      <c r="D2260" s="2414" t="s">
        <v>4439</v>
      </c>
    </row>
    <row r="2261" spans="1:4" ht="12.75" customHeight="1">
      <c r="A2261" s="2410" t="str">
        <f t="shared" ref="A2261:A2332" si="43">IF($A$2=1,B2261,IF($A$2=2,C2261,IF($A$2=3,IF(D2261="",C2261,D2261),"")))</f>
        <v>Flächendifferenz von:</v>
      </c>
      <c r="B2261" s="2410" t="s">
        <v>849</v>
      </c>
      <c r="C2261" s="2410" t="s">
        <v>1569</v>
      </c>
      <c r="D2261" s="2414" t="s">
        <v>9316</v>
      </c>
    </row>
    <row r="2262" spans="1:4" ht="12.75" customHeight="1">
      <c r="A2262" s="2410">
        <f t="shared" si="43"/>
        <v>0</v>
      </c>
      <c r="B2262" s="2410"/>
      <c r="C2262" s="2410"/>
      <c r="D2262" s="2414"/>
    </row>
    <row r="2263" spans="1:4" ht="12.75" customHeight="1">
      <c r="A2263" s="2410" t="str">
        <f t="shared" si="43"/>
        <v>Teil C: Zu- und Wegfuhr Grundfutter</v>
      </c>
      <c r="B2263" s="2410" t="s">
        <v>244</v>
      </c>
      <c r="C2263" s="2410" t="s">
        <v>11565</v>
      </c>
      <c r="D2263" s="2414" t="s">
        <v>9400</v>
      </c>
    </row>
    <row r="2264" spans="1:4" ht="12.75" customHeight="1">
      <c r="A2264" s="2410" t="str">
        <f t="shared" si="43"/>
        <v>Grundfutterverzehr auf dem Betrieb</v>
      </c>
      <c r="B2264" s="2410" t="s">
        <v>4002</v>
      </c>
      <c r="C2264" s="2410" t="s">
        <v>2530</v>
      </c>
      <c r="D2264" s="2414" t="s">
        <v>9401</v>
      </c>
    </row>
    <row r="2265" spans="1:4" ht="12.75" customHeight="1">
      <c r="A2265" s="2410" t="str">
        <f t="shared" si="43"/>
        <v>Zu- und Wegfuhr von Grundfutter und Grundfutterproduktion ausserhalb der Futterfläche (FF)</v>
      </c>
      <c r="B2265" s="2410" t="s">
        <v>2910</v>
      </c>
      <c r="C2265" s="2410" t="s">
        <v>3688</v>
      </c>
      <c r="D2265" s="2414" t="s">
        <v>8741</v>
      </c>
    </row>
    <row r="2266" spans="1:4" ht="12.75" customHeight="1">
      <c r="A2266" s="2410" t="str">
        <f t="shared" si="43"/>
        <v>Grundfuttertyp</v>
      </c>
      <c r="B2266" s="2410" t="s">
        <v>5094</v>
      </c>
      <c r="C2266" s="2410" t="s">
        <v>5093</v>
      </c>
      <c r="D2266" s="2414" t="s">
        <v>9402</v>
      </c>
    </row>
    <row r="2267" spans="1:4" ht="12.75" customHeight="1">
      <c r="A2267" s="2410" t="str">
        <f t="shared" si="43"/>
        <v>Menge</v>
      </c>
      <c r="B2267" s="2410" t="s">
        <v>5418</v>
      </c>
      <c r="C2267" s="2410" t="s">
        <v>3429</v>
      </c>
      <c r="D2267" s="2414" t="s">
        <v>2271</v>
      </c>
    </row>
    <row r="2268" spans="1:4" ht="12.75" customHeight="1">
      <c r="A2268" s="2410" t="str">
        <f t="shared" si="43"/>
        <v>dt</v>
      </c>
      <c r="B2268" s="2410" t="s">
        <v>345</v>
      </c>
      <c r="C2268" s="2410" t="s">
        <v>345</v>
      </c>
      <c r="D2268" s="2414" t="s">
        <v>8277</v>
      </c>
    </row>
    <row r="2269" spans="1:4" ht="12.75" customHeight="1">
      <c r="A2269" s="2410" t="str">
        <f t="shared" si="43"/>
        <v>%</v>
      </c>
      <c r="B2269" s="2410" t="s">
        <v>1512</v>
      </c>
      <c r="C2269" s="2410" t="s">
        <v>5092</v>
      </c>
      <c r="D2269" s="2414" t="s">
        <v>1512</v>
      </c>
    </row>
    <row r="2270" spans="1:4" ht="12.75" customHeight="1">
      <c r="A2270" s="2410" t="str">
        <f t="shared" si="43"/>
        <v>TS</v>
      </c>
      <c r="B2270" s="2410" t="s">
        <v>4261</v>
      </c>
      <c r="C2270" s="2410" t="s">
        <v>1077</v>
      </c>
      <c r="D2270" s="2414" t="s">
        <v>2756</v>
      </c>
    </row>
    <row r="2271" spans="1:4" ht="12.75" customHeight="1">
      <c r="A2271" s="2410" t="str">
        <f t="shared" si="43"/>
        <v>Code</v>
      </c>
      <c r="B2271" s="2410" t="s">
        <v>5782</v>
      </c>
      <c r="C2271" s="2410" t="s">
        <v>5782</v>
      </c>
      <c r="D2271" s="2414" t="s">
        <v>1400</v>
      </c>
    </row>
    <row r="2272" spans="1:4" ht="12.75" customHeight="1">
      <c r="A2272" s="2410" t="str">
        <f t="shared" si="43"/>
        <v>Wegfuhr</v>
      </c>
      <c r="B2272" s="2410" t="s">
        <v>2912</v>
      </c>
      <c r="C2272" s="2410" t="s">
        <v>186</v>
      </c>
      <c r="D2272" s="2414" t="s">
        <v>8743</v>
      </c>
    </row>
    <row r="2273" spans="1:4" ht="12.75" customHeight="1">
      <c r="A2273" s="2410" t="str">
        <f t="shared" si="43"/>
        <v>dt TS</v>
      </c>
      <c r="B2273" s="2410" t="s">
        <v>2639</v>
      </c>
      <c r="C2273" s="2410" t="s">
        <v>6533</v>
      </c>
      <c r="D2273" s="2414" t="s">
        <v>5879</v>
      </c>
    </row>
    <row r="2274" spans="1:4" ht="12.75" customHeight="1">
      <c r="A2274" s="2410" t="str">
        <f t="shared" si="43"/>
        <v>dt FS</v>
      </c>
      <c r="B2274" s="2410" t="s">
        <v>3485</v>
      </c>
      <c r="C2274" s="2410" t="s">
        <v>188</v>
      </c>
      <c r="D2274" s="2414" t="s">
        <v>8742</v>
      </c>
    </row>
    <row r="2275" spans="1:4" ht="12.75" customHeight="1">
      <c r="A2275" s="2410" t="str">
        <f t="shared" si="43"/>
        <v>TS</v>
      </c>
      <c r="B2275" s="2410" t="s">
        <v>4261</v>
      </c>
      <c r="C2275" s="2410" t="s">
        <v>189</v>
      </c>
      <c r="D2275" s="2414" t="s">
        <v>8498</v>
      </c>
    </row>
    <row r="2276" spans="1:4" ht="12.75" customHeight="1">
      <c r="A2276" s="2410" t="str">
        <f t="shared" si="43"/>
        <v>Zufuhr</v>
      </c>
      <c r="B2276" s="2410" t="s">
        <v>2913</v>
      </c>
      <c r="C2276" s="2410" t="s">
        <v>187</v>
      </c>
      <c r="D2276" s="2414" t="s">
        <v>8744</v>
      </c>
    </row>
    <row r="2277" spans="1:4" ht="12.75" customHeight="1">
      <c r="A2277" s="2410" t="str">
        <f t="shared" si="43"/>
        <v>ausser FF</v>
      </c>
      <c r="B2277" s="2410" t="s">
        <v>1076</v>
      </c>
      <c r="C2277" s="2410" t="s">
        <v>1075</v>
      </c>
      <c r="D2277" s="2414" t="s">
        <v>1402</v>
      </c>
    </row>
    <row r="2278" spans="1:4" ht="12.75" customHeight="1">
      <c r="A2278" s="2410" t="str">
        <f t="shared" si="43"/>
        <v>dt TS)</v>
      </c>
      <c r="B2278" s="2410" t="s">
        <v>3228</v>
      </c>
      <c r="C2278" s="2410" t="s">
        <v>4676</v>
      </c>
      <c r="D2278" s="2414" t="s">
        <v>1403</v>
      </c>
    </row>
    <row r="2279" spans="1:4" ht="12.75" customHeight="1">
      <c r="A2279" s="2410" t="str">
        <f t="shared" si="43"/>
        <v>Gras</v>
      </c>
      <c r="B2279" s="2410" t="s">
        <v>1074</v>
      </c>
      <c r="C2279" s="2410" t="s">
        <v>1073</v>
      </c>
      <c r="D2279" s="2414" t="s">
        <v>9403</v>
      </c>
    </row>
    <row r="2280" spans="1:4" ht="12.75" customHeight="1">
      <c r="A2280" s="2410" t="str">
        <f t="shared" si="43"/>
        <v>Grassilage</v>
      </c>
      <c r="B2280" s="2410" t="s">
        <v>2499</v>
      </c>
      <c r="C2280" s="2410" t="s">
        <v>5144</v>
      </c>
      <c r="D2280" s="2414" t="s">
        <v>8916</v>
      </c>
    </row>
    <row r="2281" spans="1:4" ht="12.75" customHeight="1">
      <c r="A2281" s="2410" t="str">
        <f t="shared" si="43"/>
        <v>Graswürfel</v>
      </c>
      <c r="B2281" s="2410" t="s">
        <v>1072</v>
      </c>
      <c r="C2281" s="2410" t="s">
        <v>7663</v>
      </c>
      <c r="D2281" s="2414" t="s">
        <v>9404</v>
      </c>
    </row>
    <row r="2282" spans="1:4" ht="12.75" customHeight="1">
      <c r="A2282" s="2410" t="str">
        <f t="shared" si="43"/>
        <v>Dürrfutter</v>
      </c>
      <c r="B2282" s="2410" t="s">
        <v>5017</v>
      </c>
      <c r="C2282" s="2410" t="s">
        <v>1071</v>
      </c>
      <c r="D2282" s="2414" t="s">
        <v>3745</v>
      </c>
    </row>
    <row r="2283" spans="1:4" ht="12.75" customHeight="1">
      <c r="A2283" s="2410" t="str">
        <f t="shared" si="43"/>
        <v>Dürrfutter, "nährstoffarm"</v>
      </c>
      <c r="B2283" s="2410" t="s">
        <v>5018</v>
      </c>
      <c r="C2283" s="2410" t="s">
        <v>1070</v>
      </c>
      <c r="D2283" s="2414" t="s">
        <v>8748</v>
      </c>
    </row>
    <row r="2284" spans="1:4" ht="12.75" customHeight="1">
      <c r="A2284" s="2410" t="str">
        <f t="shared" si="43"/>
        <v>Getreide-Silage</v>
      </c>
      <c r="B2284" s="2410" t="s">
        <v>5437</v>
      </c>
      <c r="C2284" s="2410" t="s">
        <v>5439</v>
      </c>
      <c r="D2284" s="2414" t="s">
        <v>8278</v>
      </c>
    </row>
    <row r="2285" spans="1:4" ht="12.75" customHeight="1">
      <c r="A2285" s="2410" t="str">
        <f t="shared" si="43"/>
        <v>Getreide-Silage mit Leguminosen</v>
      </c>
      <c r="B2285" s="2410" t="s">
        <v>5438</v>
      </c>
      <c r="C2285" s="2410" t="s">
        <v>5440</v>
      </c>
      <c r="D2285" s="2414" t="s">
        <v>9405</v>
      </c>
    </row>
    <row r="2286" spans="1:4" ht="12.75" customHeight="1">
      <c r="A2286" s="2410" t="str">
        <f t="shared" si="43"/>
        <v>Silomais</v>
      </c>
      <c r="B2286" s="2410" t="s">
        <v>1024</v>
      </c>
      <c r="C2286" s="2410" t="s">
        <v>5644</v>
      </c>
      <c r="D2286" s="2414" t="s">
        <v>2040</v>
      </c>
    </row>
    <row r="2287" spans="1:4" ht="12.75" customHeight="1">
      <c r="A2287" s="2410" t="str">
        <f t="shared" si="43"/>
        <v>Grünmais</v>
      </c>
      <c r="B2287" s="2410" t="s">
        <v>2172</v>
      </c>
      <c r="C2287" s="2410" t="s">
        <v>6242</v>
      </c>
      <c r="D2287" s="2414" t="s">
        <v>11214</v>
      </c>
    </row>
    <row r="2288" spans="1:4" ht="12.75" customHeight="1">
      <c r="A2288" s="2410" t="str">
        <f t="shared" si="43"/>
        <v>Mais Ganzpflanzenwürfel</v>
      </c>
      <c r="B2288" s="2410" t="s">
        <v>4395</v>
      </c>
      <c r="C2288" s="2410" t="s">
        <v>7666</v>
      </c>
      <c r="D2288" s="2414" t="s">
        <v>11215</v>
      </c>
    </row>
    <row r="2289" spans="1:4" ht="12.75" customHeight="1">
      <c r="A2289" s="2410" t="str">
        <f t="shared" si="43"/>
        <v>CCM, für Rindviehmast</v>
      </c>
      <c r="B2289" s="2410" t="s">
        <v>7664</v>
      </c>
      <c r="C2289" s="2410" t="s">
        <v>7665</v>
      </c>
      <c r="D2289" s="2414" t="s">
        <v>9407</v>
      </c>
    </row>
    <row r="2290" spans="1:4" ht="12.75" customHeight="1">
      <c r="A2290" s="2410" t="str">
        <f t="shared" si="43"/>
        <v>Ganzpflanzen-Sorghum</v>
      </c>
      <c r="B2290" s="2410" t="s">
        <v>7778</v>
      </c>
      <c r="C2290" s="2410" t="s">
        <v>7779</v>
      </c>
      <c r="D2290" s="2414" t="s">
        <v>11125</v>
      </c>
    </row>
    <row r="2291" spans="1:4" ht="12.75" customHeight="1">
      <c r="A2291" s="2410" t="str">
        <f t="shared" si="43"/>
        <v>Ganzpflanzen-Sorghum, Zweitkultur</v>
      </c>
      <c r="B2291" s="2410" t="s">
        <v>7780</v>
      </c>
      <c r="C2291" s="2410" t="s">
        <v>7781</v>
      </c>
      <c r="D2291" s="2414" t="s">
        <v>11127</v>
      </c>
    </row>
    <row r="2292" spans="1:4" ht="12.75" customHeight="1">
      <c r="A2292" s="2410" t="str">
        <f t="shared" si="43"/>
        <v>Futterrüben</v>
      </c>
      <c r="B2292" s="2410" t="s">
        <v>56</v>
      </c>
      <c r="C2292" s="2410" t="s">
        <v>5806</v>
      </c>
      <c r="D2292" s="2414" t="s">
        <v>5199</v>
      </c>
    </row>
    <row r="2293" spans="1:4" ht="12.75" customHeight="1">
      <c r="A2293" s="2410" t="str">
        <f t="shared" si="43"/>
        <v>Zuckerrüben</v>
      </c>
      <c r="B2293" s="2410" t="s">
        <v>4799</v>
      </c>
      <c r="C2293" s="2410" t="s">
        <v>5805</v>
      </c>
      <c r="D2293" s="2414" t="s">
        <v>8493</v>
      </c>
    </row>
    <row r="2294" spans="1:4" ht="12.75" customHeight="1">
      <c r="A2294" s="2410" t="str">
        <f t="shared" si="43"/>
        <v>Zuckerrübenschnitzel, frisch</v>
      </c>
      <c r="B2294" s="2410" t="s">
        <v>5804</v>
      </c>
      <c r="C2294" s="2410" t="s">
        <v>5803</v>
      </c>
      <c r="D2294" s="2414" t="s">
        <v>1404</v>
      </c>
    </row>
    <row r="2295" spans="1:4" ht="12.75" customHeight="1">
      <c r="A2295" s="2410" t="str">
        <f t="shared" si="43"/>
        <v>Zuckerrübenschnitzel, siliert</v>
      </c>
      <c r="B2295" s="2410" t="s">
        <v>5802</v>
      </c>
      <c r="C2295" s="2410" t="s">
        <v>5801</v>
      </c>
      <c r="D2295" s="2414" t="s">
        <v>3333</v>
      </c>
    </row>
    <row r="2296" spans="1:4" ht="12.75" customHeight="1">
      <c r="A2296" s="2410" t="str">
        <f t="shared" si="43"/>
        <v>Zuckerrübenschnitzel, getrocknet</v>
      </c>
      <c r="B2296" s="2410" t="s">
        <v>6257</v>
      </c>
      <c r="C2296" s="2410" t="s">
        <v>6256</v>
      </c>
      <c r="D2296" s="2414" t="s">
        <v>3800</v>
      </c>
    </row>
    <row r="2297" spans="1:4" ht="12.75" customHeight="1">
      <c r="A2297" s="2410" t="str">
        <f t="shared" si="43"/>
        <v>Rübenblätter</v>
      </c>
      <c r="B2297" s="2410" t="s">
        <v>3476</v>
      </c>
      <c r="C2297" s="2410" t="s">
        <v>3475</v>
      </c>
      <c r="D2297" s="2414" t="s">
        <v>3801</v>
      </c>
    </row>
    <row r="2298" spans="1:4" ht="12.75" customHeight="1">
      <c r="A2298" s="2410" t="str">
        <f t="shared" si="43"/>
        <v>Kartoffeln</v>
      </c>
      <c r="B2298" s="2410" t="s">
        <v>5700</v>
      </c>
      <c r="C2298" s="2410" t="s">
        <v>3474</v>
      </c>
      <c r="D2298" s="2414" t="s">
        <v>8667</v>
      </c>
    </row>
    <row r="2299" spans="1:4" ht="12.75" customHeight="1">
      <c r="A2299" s="2410" t="str">
        <f t="shared" si="43"/>
        <v>Chicorée-Wurzeln</v>
      </c>
      <c r="B2299" s="2410" t="s">
        <v>3644</v>
      </c>
      <c r="C2299" s="2410" t="s">
        <v>6830</v>
      </c>
      <c r="D2299" s="2414" t="s">
        <v>9408</v>
      </c>
    </row>
    <row r="2300" spans="1:4" ht="12.75" customHeight="1">
      <c r="A2300" s="2410" t="str">
        <f t="shared" si="43"/>
        <v>Abgang Obst-, Gemüseverwertung</v>
      </c>
      <c r="B2300" s="2410" t="s">
        <v>1215</v>
      </c>
      <c r="C2300" s="2410" t="s">
        <v>1216</v>
      </c>
      <c r="D2300" s="2414" t="s">
        <v>9409</v>
      </c>
    </row>
    <row r="2301" spans="1:4" ht="12.75" customHeight="1">
      <c r="A2301" s="2410" t="str">
        <f t="shared" si="43"/>
        <v>Biertreber, frisch oder siliert</v>
      </c>
      <c r="B2301" s="2410" t="s">
        <v>1209</v>
      </c>
      <c r="C2301" s="2410" t="s">
        <v>1210</v>
      </c>
      <c r="D2301" s="2414" t="s">
        <v>9410</v>
      </c>
    </row>
    <row r="2302" spans="1:4" ht="12.75" customHeight="1">
      <c r="A2302" s="2410" t="str">
        <f t="shared" si="43"/>
        <v>Zukauf von Stroh zur Verfütterung</v>
      </c>
      <c r="B2302" s="2410" t="s">
        <v>5554</v>
      </c>
      <c r="C2302" s="2410" t="s">
        <v>2936</v>
      </c>
      <c r="D2302" s="2414" t="s">
        <v>8750</v>
      </c>
    </row>
    <row r="2303" spans="1:4" ht="12.75" customHeight="1">
      <c r="A2303" s="2410" t="str">
        <f t="shared" si="43"/>
        <v>Biertreber, getrocknet</v>
      </c>
      <c r="B2303" s="2410" t="s">
        <v>1211</v>
      </c>
      <c r="C2303" s="2410" t="s">
        <v>1212</v>
      </c>
      <c r="D2303" s="2414" t="s">
        <v>8749</v>
      </c>
    </row>
    <row r="2304" spans="1:4" ht="12.75" customHeight="1">
      <c r="A2304" s="2410" t="str">
        <f t="shared" si="43"/>
        <v>Nebenprodukte Trocken- und Schälmüllerei</v>
      </c>
      <c r="B2304" s="2410" t="s">
        <v>1213</v>
      </c>
      <c r="C2304" s="2410" t="s">
        <v>1214</v>
      </c>
      <c r="D2304" s="2414" t="s">
        <v>9411</v>
      </c>
    </row>
    <row r="2305" spans="1:4" ht="12.75" customHeight="1">
      <c r="A2305" s="2410" t="str">
        <f t="shared" si="43"/>
        <v>C1: Total Wegfuhr Wiesen und Weidefutter</v>
      </c>
      <c r="B2305" s="2410" t="s">
        <v>2935</v>
      </c>
      <c r="C2305" s="2410" t="s">
        <v>4032</v>
      </c>
      <c r="D2305" s="2414" t="s">
        <v>9412</v>
      </c>
    </row>
    <row r="2306" spans="1:4" ht="12.75" customHeight="1">
      <c r="A2306" s="2410" t="str">
        <f t="shared" si="43"/>
        <v>C2: Total Wegfuhr übrige Grundfutter</v>
      </c>
      <c r="B2306" s="2410" t="s">
        <v>1892</v>
      </c>
      <c r="C2306" s="2410" t="s">
        <v>1891</v>
      </c>
      <c r="D2306" s="2414" t="s">
        <v>9413</v>
      </c>
    </row>
    <row r="2307" spans="1:4" ht="12.75" customHeight="1">
      <c r="A2307" s="2410" t="str">
        <f t="shared" si="43"/>
        <v>C3: Total Zufuhr Wiesen- und Weidefutter</v>
      </c>
      <c r="B2307" s="2410" t="s">
        <v>4220</v>
      </c>
      <c r="C2307" s="2410" t="s">
        <v>3214</v>
      </c>
      <c r="D2307" s="2414" t="s">
        <v>9414</v>
      </c>
    </row>
    <row r="2308" spans="1:4" ht="12.75" customHeight="1">
      <c r="A2308" s="2410" t="str">
        <f t="shared" si="43"/>
        <v>C4: Total Zufuhr übrige Grundfutter</v>
      </c>
      <c r="B2308" s="2410" t="s">
        <v>3104</v>
      </c>
      <c r="C2308" s="2410" t="s">
        <v>4133</v>
      </c>
      <c r="D2308" s="2414" t="s">
        <v>9415</v>
      </c>
    </row>
    <row r="2309" spans="1:4" ht="12.75" customHeight="1">
      <c r="A2309" s="2410" t="str">
        <f t="shared" si="43"/>
        <v>C5: Grundfutterproduktion ausserhalb der Futterfläche</v>
      </c>
      <c r="B2309" s="2410" t="s">
        <v>4132</v>
      </c>
      <c r="C2309" s="2410" t="s">
        <v>2395</v>
      </c>
      <c r="D2309" s="2414" t="s">
        <v>9416</v>
      </c>
    </row>
    <row r="2310" spans="1:4" ht="12.75" customHeight="1">
      <c r="A2310" s="2410" t="str">
        <f t="shared" si="43"/>
        <v>C6: Total Zufuhr Nebenprodukte aus Lebensmittelverarbeitung</v>
      </c>
      <c r="B2310" s="2410" t="s">
        <v>1207</v>
      </c>
      <c r="C2310" s="2410" t="s">
        <v>1208</v>
      </c>
      <c r="D2310" s="2414" t="s">
        <v>9417</v>
      </c>
    </row>
    <row r="2311" spans="1:4" ht="12.75" customHeight="1">
      <c r="A2311" s="2410" t="str">
        <f t="shared" si="43"/>
        <v>Total Netto-Grundfutterbedarf</v>
      </c>
      <c r="B2311" s="2410" t="s">
        <v>6417</v>
      </c>
      <c r="C2311" s="2410" t="s">
        <v>2581</v>
      </c>
      <c r="D2311" s="2414" t="s">
        <v>8754</v>
      </c>
    </row>
    <row r="2312" spans="1:4" ht="24" customHeight="1">
      <c r="A2312" s="2410" t="str">
        <f t="shared" si="43"/>
        <v>C7: Zuzüglich Lagerungs- und Krippenverluste, 0-5 % vom Netto-Grundfutterbedarf</v>
      </c>
      <c r="B2312" s="2785" t="s">
        <v>11894</v>
      </c>
      <c r="C2312" s="2785" t="s">
        <v>11895</v>
      </c>
      <c r="D2312" s="2780" t="s">
        <v>11896</v>
      </c>
    </row>
    <row r="2313" spans="1:4" ht="24" customHeight="1">
      <c r="A2313" s="2410" t="str">
        <f t="shared" si="43"/>
        <v>C8: Fehlerbereich der Grundfutterbilanz: 0 - 5 % vom Netto-Grundfutterbedarf</v>
      </c>
      <c r="B2313" s="2785" t="s">
        <v>11897</v>
      </c>
      <c r="C2313" s="2785" t="s">
        <v>11898</v>
      </c>
      <c r="D2313" s="2780" t="s">
        <v>11899</v>
      </c>
    </row>
    <row r="2314" spans="1:4" ht="12.75" customHeight="1">
      <c r="A2314" s="2410" t="str">
        <f t="shared" si="43"/>
        <v>Total auf der Futterfläche zu produzierendes Grundfutter (GFprod)</v>
      </c>
      <c r="B2314" s="2410" t="s">
        <v>685</v>
      </c>
      <c r="C2314" s="2410" t="s">
        <v>2551</v>
      </c>
      <c r="D2314" s="2414" t="s">
        <v>8755</v>
      </c>
    </row>
    <row r="2315" spans="1:4" ht="12.75" customHeight="1">
      <c r="A2315" s="2410" t="str">
        <f t="shared" si="43"/>
        <v>C1 und C2 entsprechen nicht den Mengen in der Suisse-Bilanz!</v>
      </c>
      <c r="B2315" s="2410" t="s">
        <v>4874</v>
      </c>
      <c r="C2315" s="2410" t="s">
        <v>6253</v>
      </c>
      <c r="D2315" s="2424" t="s">
        <v>9418</v>
      </c>
    </row>
    <row r="2316" spans="1:4" ht="12.75" customHeight="1">
      <c r="A2316" s="2410" t="str">
        <f t="shared" si="43"/>
        <v>C3 und C4 entsprechen nicht den Mengen in der Suisse-Bilanz!</v>
      </c>
      <c r="B2316" s="2410" t="s">
        <v>201</v>
      </c>
      <c r="C2316" s="2410" t="s">
        <v>3564</v>
      </c>
      <c r="D2316" s="2424" t="s">
        <v>9419</v>
      </c>
    </row>
    <row r="2317" spans="1:4" ht="12.75" customHeight="1">
      <c r="A2317" s="2410" t="str">
        <f t="shared" si="43"/>
        <v>C5 entspricht nicht der Menge in der Suisse-Bilanz!</v>
      </c>
      <c r="B2317" s="2410" t="s">
        <v>3448</v>
      </c>
      <c r="C2317" s="2410" t="s">
        <v>5099</v>
      </c>
      <c r="D2317" s="2424" t="s">
        <v>9420</v>
      </c>
    </row>
    <row r="2318" spans="1:4" ht="12.75" customHeight="1">
      <c r="A2318" s="2410" t="str">
        <f t="shared" si="43"/>
        <v>Verluste und Fehlerbereich stimmen nicht</v>
      </c>
      <c r="B2318" s="2410" t="s">
        <v>454</v>
      </c>
      <c r="C2318" s="2410" t="s">
        <v>2713</v>
      </c>
      <c r="D2318" s="2424" t="s">
        <v>9421</v>
      </c>
    </row>
    <row r="2319" spans="1:4" ht="12.75" customHeight="1">
      <c r="A2319" s="2410" t="str">
        <f t="shared" si="43"/>
        <v>mit den Angaben in der Suisse-Bilanz überein!</v>
      </c>
      <c r="B2319" s="2410" t="s">
        <v>2712</v>
      </c>
      <c r="C2319" s="2410" t="s">
        <v>5100</v>
      </c>
      <c r="D2319" s="2424" t="s">
        <v>9422</v>
      </c>
    </row>
    <row r="2320" spans="1:4" ht="12.75" customHeight="1">
      <c r="A2320" s="2410" t="str">
        <f t="shared" si="43"/>
        <v>Teil D: Bilanz</v>
      </c>
      <c r="B2320" s="2410" t="s">
        <v>4051</v>
      </c>
      <c r="C2320" s="2410" t="s">
        <v>4050</v>
      </c>
      <c r="D2320" s="2414" t="s">
        <v>9423</v>
      </c>
    </row>
    <row r="2321" spans="1:4" ht="12.75" customHeight="1">
      <c r="A2321" s="2410" t="str">
        <f t="shared" si="43"/>
        <v>Gesamtverzehr</v>
      </c>
      <c r="B2321" s="2410" t="s">
        <v>7348</v>
      </c>
      <c r="C2321" s="2410" t="s">
        <v>7347</v>
      </c>
      <c r="D2321" s="2414" t="s">
        <v>8908</v>
      </c>
    </row>
    <row r="2322" spans="1:4" ht="12.75" customHeight="1">
      <c r="A2322" s="2410" t="str">
        <f t="shared" si="43"/>
        <v>[+] Verluste und Fehlerbereich</v>
      </c>
      <c r="B2322" s="2410" t="s">
        <v>7346</v>
      </c>
      <c r="C2322" s="2410" t="s">
        <v>7345</v>
      </c>
      <c r="D2322" s="2414" t="s">
        <v>605</v>
      </c>
    </row>
    <row r="2323" spans="1:4" ht="12.75" customHeight="1">
      <c r="A2323" s="2410" t="str">
        <f t="shared" si="43"/>
        <v>[+] Verzehr während Sömmerung</v>
      </c>
      <c r="B2323" s="2410" t="s">
        <v>7018</v>
      </c>
      <c r="C2323" s="2410" t="s">
        <v>7017</v>
      </c>
      <c r="D2323" s="2414" t="s">
        <v>9424</v>
      </c>
    </row>
    <row r="2324" spans="1:4" ht="12.75" customHeight="1">
      <c r="A2324" s="2410" t="str">
        <f t="shared" si="43"/>
        <v>Produktion</v>
      </c>
      <c r="B2324" s="2410" t="s">
        <v>7344</v>
      </c>
      <c r="C2324" s="2410" t="s">
        <v>3606</v>
      </c>
      <c r="D2324" s="2414" t="s">
        <v>606</v>
      </c>
    </row>
    <row r="2325" spans="1:4" ht="12.75" customHeight="1">
      <c r="A2325" s="2410" t="str">
        <f t="shared" si="43"/>
        <v>[+] Zufuhr</v>
      </c>
      <c r="B2325" s="2410" t="s">
        <v>7343</v>
      </c>
      <c r="C2325" s="2410" t="s">
        <v>7342</v>
      </c>
      <c r="D2325" s="2414" t="s">
        <v>9425</v>
      </c>
    </row>
    <row r="2326" spans="1:4" ht="12.75" customHeight="1">
      <c r="A2326" s="2410" t="str">
        <f t="shared" si="43"/>
        <v>[+] Futter während Sömmerung</v>
      </c>
      <c r="B2326" s="2410" t="s">
        <v>7019</v>
      </c>
      <c r="C2326" s="2410" t="s">
        <v>7020</v>
      </c>
      <c r="D2326" s="2414" t="s">
        <v>9426</v>
      </c>
    </row>
    <row r="2327" spans="1:4" ht="12.75" customHeight="1">
      <c r="A2327" s="2410" t="str">
        <f t="shared" si="43"/>
        <v>[-] Wegfuhr</v>
      </c>
      <c r="B2327" s="2410" t="s">
        <v>11339</v>
      </c>
      <c r="C2327" s="2410" t="s">
        <v>5793</v>
      </c>
      <c r="D2327" s="2414" t="s">
        <v>9427</v>
      </c>
    </row>
    <row r="2328" spans="1:4" ht="12.75" customHeight="1">
      <c r="A2328" s="2410" t="str">
        <f t="shared" si="43"/>
        <v>[-] Grundfutter übrige Tiere</v>
      </c>
      <c r="B2328" s="2410" t="s">
        <v>11340</v>
      </c>
      <c r="C2328" s="2410" t="s">
        <v>5717</v>
      </c>
      <c r="D2328" s="2414" t="s">
        <v>9428</v>
      </c>
    </row>
    <row r="2329" spans="1:4" ht="12.75" customHeight="1">
      <c r="A2329" s="2410" t="str">
        <f t="shared" si="43"/>
        <v xml:space="preserve">Bilanz                                      </v>
      </c>
      <c r="B2329" s="2410" t="s">
        <v>5006</v>
      </c>
      <c r="C2329" s="2410" t="s">
        <v>3193</v>
      </c>
      <c r="D2329" s="2414" t="s">
        <v>4654</v>
      </c>
    </row>
    <row r="2330" spans="1:4" ht="12.75" customHeight="1">
      <c r="A2330" s="2410" t="str">
        <f t="shared" si="43"/>
        <v>Mindestanteile an Ration</v>
      </c>
      <c r="B2330" s="2410" t="s">
        <v>3192</v>
      </c>
      <c r="C2330" s="2410" t="s">
        <v>3191</v>
      </c>
      <c r="D2330" s="2414" t="s">
        <v>11036</v>
      </c>
    </row>
    <row r="2331" spans="1:4" ht="12.75" customHeight="1">
      <c r="A2331" s="2410">
        <f t="shared" si="43"/>
        <v>0</v>
      </c>
      <c r="B2331" s="2410"/>
      <c r="C2331" s="2410"/>
      <c r="D2331" s="2780" t="s">
        <v>11900</v>
      </c>
    </row>
    <row r="2332" spans="1:4" ht="12.75" customHeight="1">
      <c r="A2332" s="2410" t="str">
        <f t="shared" si="43"/>
        <v>Nebenprodukte und Kraftfutter</v>
      </c>
      <c r="B2332" s="2410" t="s">
        <v>6053</v>
      </c>
      <c r="C2332" s="2410" t="s">
        <v>8256</v>
      </c>
      <c r="D2332" s="2414" t="s">
        <v>6054</v>
      </c>
    </row>
    <row r="2333" spans="1:4" ht="12.75" customHeight="1">
      <c r="A2333" s="2410" t="str">
        <f t="shared" ref="A2333:A2400" si="44">IF($A$2=1,B2333,IF($A$2=2,C2333,IF($A$2=3,IF(D2333="",C2333,D2333),"")))</f>
        <v>Total</v>
      </c>
      <c r="B2333" s="2410" t="s">
        <v>4802</v>
      </c>
      <c r="C2333" s="2410" t="s">
        <v>3190</v>
      </c>
      <c r="D2333" s="2414" t="s">
        <v>3062</v>
      </c>
    </row>
    <row r="2334" spans="1:4" ht="12.75" customHeight="1">
      <c r="A2334" s="2410" t="str">
        <f t="shared" si="44"/>
        <v>Bedarf</v>
      </c>
      <c r="B2334" s="2410" t="s">
        <v>4153</v>
      </c>
      <c r="C2334" s="2410" t="s">
        <v>2281</v>
      </c>
      <c r="D2334" s="2414" t="s">
        <v>9429</v>
      </c>
    </row>
    <row r="2335" spans="1:4" ht="12.75" customHeight="1">
      <c r="A2335" s="2410" t="str">
        <f t="shared" si="44"/>
        <v>Wiesen- und</v>
      </c>
      <c r="B2335" s="2410" t="s">
        <v>7007</v>
      </c>
      <c r="C2335" s="2410" t="s">
        <v>7006</v>
      </c>
      <c r="D2335" s="2414" t="s">
        <v>9430</v>
      </c>
    </row>
    <row r="2336" spans="1:4" ht="12.75" customHeight="1">
      <c r="A2336" s="2410" t="str">
        <f t="shared" si="44"/>
        <v>Weidefutter</v>
      </c>
      <c r="B2336" s="2410" t="s">
        <v>4670</v>
      </c>
      <c r="C2336" s="2410" t="s">
        <v>4669</v>
      </c>
      <c r="D2336" s="2414" t="s">
        <v>9431</v>
      </c>
    </row>
    <row r="2337" spans="1:4" ht="12.75" customHeight="1">
      <c r="A2337" s="2410" t="str">
        <f t="shared" si="44"/>
        <v>Übriges Grundfutter</v>
      </c>
      <c r="B2337" s="2410" t="s">
        <v>4668</v>
      </c>
      <c r="C2337" s="2410" t="s">
        <v>1202</v>
      </c>
      <c r="D2337" s="2414" t="s">
        <v>9432</v>
      </c>
    </row>
    <row r="2338" spans="1:4" ht="12.75" customHeight="1">
      <c r="A2338" s="2410" t="str">
        <f t="shared" si="44"/>
        <v>Rau- und Saftfutter</v>
      </c>
      <c r="B2338" s="2410" t="s">
        <v>1203</v>
      </c>
      <c r="C2338" s="2410" t="s">
        <v>1206</v>
      </c>
      <c r="D2338" s="2414" t="s">
        <v>9433</v>
      </c>
    </row>
    <row r="2339" spans="1:4" ht="12.75" customHeight="1">
      <c r="A2339" s="2410" t="str">
        <f t="shared" si="44"/>
        <v>Nebenprodukte</v>
      </c>
      <c r="B2339" s="2410" t="s">
        <v>1204</v>
      </c>
      <c r="C2339" s="2410" t="s">
        <v>1205</v>
      </c>
      <c r="D2339" s="2414" t="s">
        <v>9434</v>
      </c>
    </row>
    <row r="2340" spans="1:4" ht="12.75" customHeight="1">
      <c r="A2340" s="2410" t="str">
        <f t="shared" si="44"/>
        <v>Kraftfutter</v>
      </c>
      <c r="B2340" s="2410" t="s">
        <v>1374</v>
      </c>
      <c r="C2340" s="2410" t="s">
        <v>4560</v>
      </c>
      <c r="D2340" s="2414" t="s">
        <v>9435</v>
      </c>
    </row>
    <row r="2341" spans="1:4" ht="12.75" customHeight="1">
      <c r="A2341" s="2410" t="str">
        <f t="shared" si="44"/>
        <v>Nebenprodukte und Kraftfutter</v>
      </c>
      <c r="B2341" s="2410" t="s">
        <v>6053</v>
      </c>
      <c r="C2341" s="2410" t="s">
        <v>6055</v>
      </c>
      <c r="D2341" s="2414" t="s">
        <v>6054</v>
      </c>
    </row>
    <row r="2342" spans="1:4" ht="12.75" customHeight="1">
      <c r="A2342" s="2410" t="str">
        <f t="shared" si="44"/>
        <v>(A4+A7 in TS)</v>
      </c>
      <c r="B2342" s="2410" t="s">
        <v>4729</v>
      </c>
      <c r="C2342" s="2410" t="s">
        <v>4730</v>
      </c>
      <c r="D2342" s="2414" t="s">
        <v>9436</v>
      </c>
    </row>
    <row r="2343" spans="1:4" ht="12.75" customHeight="1">
      <c r="A2343" s="2410" t="str">
        <f t="shared" si="44"/>
        <v>RGVE/ha Grünl.</v>
      </c>
      <c r="B2343" s="2410" t="s">
        <v>2092</v>
      </c>
      <c r="C2343" s="2410" t="s">
        <v>4666</v>
      </c>
      <c r="D2343" s="2414" t="s">
        <v>9437</v>
      </c>
    </row>
    <row r="2344" spans="1:4" ht="12.75" customHeight="1">
      <c r="A2344" s="2410" t="str">
        <f t="shared" si="44"/>
        <v>Vorhandener Tierbesatz (RGVE/ha Grünfläche)</v>
      </c>
      <c r="B2344" s="2410" t="s">
        <v>2282</v>
      </c>
      <c r="C2344" s="2410" t="s">
        <v>3410</v>
      </c>
      <c r="D2344" s="2424" t="s">
        <v>9438</v>
      </c>
    </row>
    <row r="2345" spans="1:4" ht="12.75" customHeight="1">
      <c r="A2345" s="2410" t="str">
        <f t="shared" si="44"/>
        <v>Erfüllung der Mindestanteile der Ration</v>
      </c>
      <c r="B2345" s="2410" t="s">
        <v>7333</v>
      </c>
      <c r="C2345" s="2410" t="s">
        <v>6717</v>
      </c>
      <c r="D2345" s="2414" t="s">
        <v>9439</v>
      </c>
    </row>
    <row r="2346" spans="1:4" ht="24" customHeight="1">
      <c r="A2346" s="2410" t="str">
        <f t="shared" si="44"/>
        <v>Erforderlicher Mindesttierbesatz (RGVE/ha Grünfläche) für 100 % der GMF-Beiträge</v>
      </c>
      <c r="B2346" s="2410" t="s">
        <v>1986</v>
      </c>
      <c r="C2346" s="2781" t="s">
        <v>11901</v>
      </c>
      <c r="D2346" s="2780" t="s">
        <v>11902</v>
      </c>
    </row>
    <row r="2347" spans="1:4" ht="12.75" customHeight="1">
      <c r="A2347" s="2410" t="str">
        <f t="shared" si="44"/>
        <v>Wichtiger Hinweis:</v>
      </c>
      <c r="B2347" s="2410" t="s">
        <v>6172</v>
      </c>
      <c r="C2347" s="2410" t="s">
        <v>3825</v>
      </c>
      <c r="D2347" s="2414" t="s">
        <v>9440</v>
      </c>
    </row>
    <row r="2348" spans="1:4" ht="12.75" customHeight="1">
      <c r="A2348" s="2410" t="str">
        <f t="shared" si="44"/>
        <v>Diese Futterbilanz ist vom Bundesamt für Landwirtschaft noch nicht zertifiziert.</v>
      </c>
      <c r="B2348" s="2410" t="s">
        <v>2151</v>
      </c>
      <c r="C2348" s="2410" t="s">
        <v>4715</v>
      </c>
      <c r="D2348" s="2414" t="s">
        <v>9441</v>
      </c>
    </row>
    <row r="2349" spans="1:4" ht="12.75" customHeight="1">
      <c r="A2349" s="2410" t="str">
        <f t="shared" si="44"/>
        <v xml:space="preserve">Sie kann nicht als Nachweis für die Einhaltung der Bedingungen </v>
      </c>
      <c r="B2349" s="2410" t="s">
        <v>3824</v>
      </c>
      <c r="C2349" s="2410" t="s">
        <v>44</v>
      </c>
      <c r="D2349" s="2414" t="s">
        <v>9442</v>
      </c>
    </row>
    <row r="2350" spans="1:4" ht="12.75" customHeight="1">
      <c r="A2350" s="2410" t="str">
        <f t="shared" si="44"/>
        <v>für die GMF-Beiträge verwendet werden.</v>
      </c>
      <c r="B2350" s="2410" t="s">
        <v>2150</v>
      </c>
      <c r="C2350" s="2410" t="s">
        <v>45</v>
      </c>
      <c r="D2350" s="2414" t="s">
        <v>9443</v>
      </c>
    </row>
    <row r="2351" spans="1:4" ht="12.75" customHeight="1">
      <c r="A2351" s="2410" t="str">
        <f t="shared" si="44"/>
        <v xml:space="preserve">Die gültige Version finden Sie unter: www.focus-ap-pa.ch </v>
      </c>
      <c r="B2351" s="2410" t="s">
        <v>1394</v>
      </c>
      <c r="C2351" s="2410" t="s">
        <v>7547</v>
      </c>
      <c r="D2351" s="2414" t="s">
        <v>9444</v>
      </c>
    </row>
    <row r="2352" spans="1:4" ht="12.75" customHeight="1">
      <c r="A2352" s="2410" t="str">
        <f t="shared" si="44"/>
        <v>Faktor für Ansatz (= RGVE eff. / RGVE min.), falls Mindesttierbesatz erreicht, Faktor = 1</v>
      </c>
      <c r="B2352" s="2410" t="s">
        <v>3425</v>
      </c>
      <c r="C2352" s="2781" t="s">
        <v>11903</v>
      </c>
      <c r="D2352" s="2424" t="s">
        <v>9445</v>
      </c>
    </row>
    <row r="2353" spans="1:4" ht="12.75" customHeight="1">
      <c r="A2353" s="2410" t="str">
        <f t="shared" si="44"/>
        <v>Mindesttierbesatz nicht erfüllt</v>
      </c>
      <c r="B2353" s="2410" t="s">
        <v>6258</v>
      </c>
      <c r="C2353" s="2410" t="s">
        <v>1356</v>
      </c>
      <c r="D2353" s="2424" t="s">
        <v>9446</v>
      </c>
    </row>
    <row r="2354" spans="1:4" ht="12.75" customHeight="1">
      <c r="A2354" s="2410" t="str">
        <f t="shared" si="44"/>
        <v>Fehler in Grundfutterbilanz</v>
      </c>
      <c r="B2354" s="2410" t="s">
        <v>8352</v>
      </c>
      <c r="C2354" s="2410" t="s">
        <v>8353</v>
      </c>
      <c r="D2354" s="2424" t="s">
        <v>9447</v>
      </c>
    </row>
    <row r="2355" spans="1:4" ht="12.75" customHeight="1">
      <c r="A2355" s="2410" t="str">
        <f t="shared" si="44"/>
        <v>ja</v>
      </c>
      <c r="B2355" s="2410" t="s">
        <v>4356</v>
      </c>
      <c r="C2355" s="2410" t="s">
        <v>5639</v>
      </c>
      <c r="D2355" s="2414" t="s">
        <v>1741</v>
      </c>
    </row>
    <row r="2356" spans="1:4" ht="12.75" customHeight="1">
      <c r="A2356" s="2410" t="str">
        <f t="shared" si="44"/>
        <v>nein</v>
      </c>
      <c r="B2356" s="2410" t="s">
        <v>3274</v>
      </c>
      <c r="C2356" s="2410" t="s">
        <v>5640</v>
      </c>
      <c r="D2356" s="2414" t="s">
        <v>1744</v>
      </c>
    </row>
    <row r="2357" spans="1:4" ht="24" customHeight="1">
      <c r="A2357" s="2410" t="str">
        <f t="shared" si="44"/>
        <v>Die Herstellerin der Software oder die Beratung übernehmen keine Verantwortung, für Schäden, die aus der Nutzung der Software entstehen.</v>
      </c>
      <c r="B2357" s="2410" t="s">
        <v>1355</v>
      </c>
      <c r="C2357" s="2410" t="s">
        <v>4783</v>
      </c>
      <c r="D2357" s="2414" t="s">
        <v>9448</v>
      </c>
    </row>
    <row r="2358" spans="1:4" ht="24" customHeight="1">
      <c r="A2358" s="2410" t="str">
        <f t="shared" si="44"/>
        <v>Dieses Instrument dient als Nachweis für die Erfüllung der Anforderungen an die Futterbilanz für das Programm der GMF.</v>
      </c>
      <c r="B2358" s="2410" t="s">
        <v>5133</v>
      </c>
      <c r="C2358" s="2410" t="s">
        <v>8279</v>
      </c>
      <c r="D2358" s="2414" t="s">
        <v>9449</v>
      </c>
    </row>
    <row r="2359" spans="1:4" ht="12.75" customHeight="1">
      <c r="A2359" s="2410" t="str">
        <f t="shared" si="44"/>
        <v>Ort und Datum:</v>
      </c>
      <c r="B2359" s="2410" t="s">
        <v>6710</v>
      </c>
      <c r="C2359" s="2410" t="s">
        <v>6709</v>
      </c>
      <c r="D2359" s="2414" t="s">
        <v>9450</v>
      </c>
    </row>
    <row r="2360" spans="1:4" ht="12.75" customHeight="1">
      <c r="A2360" s="2410" t="str">
        <f t="shared" si="44"/>
        <v>Unterschrift:</v>
      </c>
      <c r="B2360" s="2410" t="s">
        <v>6708</v>
      </c>
      <c r="C2360" s="2410" t="s">
        <v>5783</v>
      </c>
      <c r="D2360" s="2414" t="s">
        <v>2752</v>
      </c>
    </row>
    <row r="2361" spans="1:4" ht="12.75" customHeight="1">
      <c r="A2361" s="2410" t="str">
        <f t="shared" si="44"/>
        <v>Informationsteil</v>
      </c>
      <c r="B2361" s="2410" t="s">
        <v>5129</v>
      </c>
      <c r="C2361" s="2410" t="s">
        <v>5961</v>
      </c>
      <c r="D2361" s="2414" t="s">
        <v>7349</v>
      </c>
    </row>
    <row r="2362" spans="1:4" ht="24" customHeight="1">
      <c r="A2362" s="2410" t="str">
        <f t="shared" si="44"/>
        <v xml:space="preserve">Die Berechnung des massgebenden Tierbesatzes für die Futterbilanz 2024 basiert auf dem effektiven </v>
      </c>
      <c r="B2362" s="2410" t="str">
        <f>"Die Berechnung des massgebenden Tierbesatzes für die Futterbilanz "&amp; Q!GültigAbErntejahr &amp; " basiert auf dem effektiven "</f>
        <v xml:space="preserve">Die Berechnung des massgebenden Tierbesatzes für die Futterbilanz 2024 basiert auf dem effektiven </v>
      </c>
      <c r="C2362" s="2410" t="str">
        <f>"Le calcul de la charge effective en bétail pour le bilan fourrager " &amp; Q!GültigAbErntejahr &amp; " s’appuie sur les effectifs déterminants"</f>
        <v>Le calcul de la charge effective en bétail pour le bilan fourrager 2024 s’appuie sur les effectifs déterminants</v>
      </c>
      <c r="D2362" s="2780" t="s">
        <v>11965</v>
      </c>
    </row>
    <row r="2363" spans="1:4" ht="24" customHeight="1">
      <c r="A2363" s="2410" t="str">
        <f t="shared" si="44"/>
        <v xml:space="preserve">Tierbestand in der Periode vom 1.1. bis zum 31.12.2024. Weil dieser zur Zeit noch nicht bekannt ist, </v>
      </c>
      <c r="B2363" s="2410" t="str">
        <f>"Tierbestand in der Periode vom 1.1. bis zum 31.12."  &amp; Q!GültigAbErntejahr &amp; ". Weil dieser zur Zeit noch nicht bekannt ist, "</f>
        <v xml:space="preserve">Tierbestand in der Periode vom 1.1. bis zum 31.12.2024. Weil dieser zur Zeit noch nicht bekannt ist, </v>
      </c>
      <c r="C2363" s="2410" t="str">
        <f xml:space="preserve"> "d’animaux pour la période 1.1. – 31.12." &amp; Q!GültigAbErntejahr &amp; " . Comme ces derniers ne sont pas encore connus, le montant"</f>
        <v>d’animaux pour la période 1.1. – 31.12.2024 . Comme ces derniers ne sont pas encore connus, le montant</v>
      </c>
      <c r="D2363" s="2414" t="str">
        <f>"effettive del periodo 1.1. – 31.12. " &amp; Q!GültigAbErntejahr &amp; " . Siccome questi dati non sono ancora noti, l'importo"</f>
        <v>effettive del periodo 1.1. – 31.12. 2024 . Siccome questi dati non sono ancora noti, l'importo</v>
      </c>
    </row>
    <row r="2364" spans="1:4" ht="12.75" customHeight="1">
      <c r="A2364" s="2410" t="str">
        <f t="shared" si="44"/>
        <v>ist die Höhe der Beiträge nur eine Schätzung.</v>
      </c>
      <c r="B2364" s="2410" t="s">
        <v>352</v>
      </c>
      <c r="C2364" s="2410" t="s">
        <v>353</v>
      </c>
      <c r="D2364" s="2414" t="s">
        <v>9451</v>
      </c>
    </row>
    <row r="2365" spans="1:4" ht="12.75" customHeight="1">
      <c r="A2365" s="2410" t="str">
        <f t="shared" si="44"/>
        <v>RGVE effektiv auf dem Betrieb</v>
      </c>
      <c r="B2365" s="2410" t="s">
        <v>354</v>
      </c>
      <c r="C2365" s="2410" t="s">
        <v>355</v>
      </c>
      <c r="D2365" s="2414" t="s">
        <v>9452</v>
      </c>
    </row>
    <row r="2366" spans="1:4" ht="12.75" customHeight="1">
      <c r="A2366" s="2410" t="str">
        <f t="shared" si="44"/>
        <v>Effektiver Mindesttierbesatz (RGVE/ha Grünfläche)</v>
      </c>
      <c r="B2366" s="2410" t="s">
        <v>356</v>
      </c>
      <c r="C2366" s="2410" t="s">
        <v>357</v>
      </c>
      <c r="D2366" s="2414" t="s">
        <v>11216</v>
      </c>
    </row>
    <row r="2367" spans="1:4" ht="12.75" customHeight="1">
      <c r="A2367" s="2410" t="str">
        <f t="shared" si="44"/>
        <v>Erfüllung des Anteils … an der Ration</v>
      </c>
      <c r="B2367" s="2410" t="s">
        <v>7280</v>
      </c>
      <c r="C2367" s="2410" t="s">
        <v>5874</v>
      </c>
      <c r="D2367" s="2414" t="s">
        <v>9453</v>
      </c>
    </row>
    <row r="2368" spans="1:4" ht="12.75" customHeight="1">
      <c r="A2368" s="2410" t="str">
        <f t="shared" si="44"/>
        <v xml:space="preserve">  - Wiesen- und Weidefutter</v>
      </c>
      <c r="B2368" s="2410" t="s">
        <v>4474</v>
      </c>
      <c r="C2368" s="2410" t="s">
        <v>1577</v>
      </c>
      <c r="D2368" s="2414" t="s">
        <v>9454</v>
      </c>
    </row>
    <row r="2369" spans="1:4" ht="12.75" customHeight="1">
      <c r="A2369" s="2410" t="str">
        <f t="shared" si="44"/>
        <v xml:space="preserve">  - übriges Grundfutter</v>
      </c>
      <c r="B2369" s="2410" t="s">
        <v>93</v>
      </c>
      <c r="C2369" s="2410" t="s">
        <v>94</v>
      </c>
      <c r="D2369" s="2414" t="s">
        <v>9455</v>
      </c>
    </row>
    <row r="2370" spans="1:4" ht="12.75" customHeight="1">
      <c r="A2370" s="2410" t="str">
        <f t="shared" si="44"/>
        <v xml:space="preserve">  - Kraftfutter</v>
      </c>
      <c r="B2370" s="2410" t="s">
        <v>95</v>
      </c>
      <c r="C2370" s="2410" t="s">
        <v>96</v>
      </c>
      <c r="D2370" s="2414" t="s">
        <v>9456</v>
      </c>
    </row>
    <row r="2371" spans="1:4" ht="12.75" customHeight="1">
      <c r="A2371" s="2410" t="str">
        <f t="shared" si="44"/>
        <v xml:space="preserve">  - Kraftfutter und Nebenprodukte</v>
      </c>
      <c r="B2371" s="2410" t="str">
        <f>B2370 &amp; " und " &amp; Texte!B2339</f>
        <v xml:space="preserve">  - Kraftfutter und Nebenprodukte</v>
      </c>
      <c r="C2371" s="2410" t="s">
        <v>5267</v>
      </c>
      <c r="D2371" s="2414" t="s">
        <v>9457</v>
      </c>
    </row>
    <row r="2372" spans="1:4" ht="12.75" customHeight="1">
      <c r="A2372" s="2410" t="str">
        <f t="shared" si="44"/>
        <v>Erfüllung des Mindesttierbesatzes für</v>
      </c>
      <c r="B2372" s="2410" t="s">
        <v>2665</v>
      </c>
      <c r="C2372" s="2410" t="s">
        <v>6642</v>
      </c>
      <c r="D2372" s="2414" t="s">
        <v>9458</v>
      </c>
    </row>
    <row r="2373" spans="1:4" ht="12.75" customHeight="1">
      <c r="A2373" s="2410" t="str">
        <f t="shared" si="44"/>
        <v>% der GMF-Beiträge</v>
      </c>
      <c r="B2373" s="2410" t="s">
        <v>6643</v>
      </c>
      <c r="C2373" s="2410" t="s">
        <v>6716</v>
      </c>
      <c r="D2373" s="2414" t="s">
        <v>9459</v>
      </c>
    </row>
    <row r="2374" spans="1:4" ht="12.75" customHeight="1">
      <c r="A2374" s="2410" t="str">
        <f t="shared" si="44"/>
        <v xml:space="preserve">das entspricht etwa </v>
      </c>
      <c r="B2374" s="2410" t="s">
        <v>5703</v>
      </c>
      <c r="C2374" s="2410" t="s">
        <v>5704</v>
      </c>
      <c r="D2374" s="2414" t="s">
        <v>1299</v>
      </c>
    </row>
    <row r="2375" spans="1:4" ht="12.75" customHeight="1">
      <c r="A2375" s="2410" t="str">
        <f t="shared" si="44"/>
        <v xml:space="preserve">Sie erhalten die Beiträge </v>
      </c>
      <c r="B2375" s="2410" t="s">
        <v>6755</v>
      </c>
      <c r="C2375" s="2410" t="s">
        <v>6756</v>
      </c>
      <c r="D2375" s="2414" t="s">
        <v>9460</v>
      </c>
    </row>
    <row r="2376" spans="1:4" ht="12.75" customHeight="1">
      <c r="A2376" s="2410" t="str">
        <f t="shared" si="44"/>
        <v>teilweise</v>
      </c>
      <c r="B2376" s="2410" t="s">
        <v>6757</v>
      </c>
      <c r="C2376" s="2410" t="s">
        <v>6758</v>
      </c>
      <c r="D2376" s="2414" t="s">
        <v>9461</v>
      </c>
    </row>
    <row r="2377" spans="1:4" ht="12.75" customHeight="1">
      <c r="A2377" s="2410" t="str">
        <f t="shared" si="44"/>
        <v>vollständig</v>
      </c>
      <c r="B2377" s="2410" t="s">
        <v>120</v>
      </c>
      <c r="C2377" s="2410" t="s">
        <v>121</v>
      </c>
      <c r="D2377" s="2414" t="s">
        <v>9462</v>
      </c>
    </row>
    <row r="2378" spans="1:4" ht="12.75" customHeight="1">
      <c r="A2378" s="2410" t="str">
        <f t="shared" si="44"/>
        <v>nein</v>
      </c>
      <c r="B2378" s="2410" t="s">
        <v>3274</v>
      </c>
      <c r="C2378" s="2410" t="s">
        <v>5640</v>
      </c>
      <c r="D2378" s="2414" t="s">
        <v>1744</v>
      </c>
    </row>
    <row r="2379" spans="1:4" ht="12.75" customHeight="1">
      <c r="A2379" s="2410" t="str">
        <f t="shared" si="44"/>
        <v>ja</v>
      </c>
      <c r="B2379" s="2410" t="s">
        <v>4356</v>
      </c>
      <c r="C2379" s="2410" t="s">
        <v>5639</v>
      </c>
      <c r="D2379" s="2414" t="s">
        <v>1741</v>
      </c>
    </row>
    <row r="2380" spans="1:4" ht="12.75" customHeight="1">
      <c r="A2380" s="2410" t="str">
        <f t="shared" si="44"/>
        <v>Ihre Beiträge können nicht berechnet werden</v>
      </c>
      <c r="B2380" s="2410" t="s">
        <v>122</v>
      </c>
      <c r="C2380" s="2410" t="s">
        <v>123</v>
      </c>
      <c r="D2380" s="2414" t="s">
        <v>9463</v>
      </c>
    </row>
    <row r="2381" spans="1:4" ht="12.75" customHeight="1">
      <c r="A2381" s="2410" t="str">
        <f t="shared" si="44"/>
        <v>Bitte tragen Sie die Anzahl RGVE Ihres Betriebes ein</v>
      </c>
      <c r="B2381" s="2410" t="s">
        <v>124</v>
      </c>
      <c r="C2381" s="2410" t="s">
        <v>4252</v>
      </c>
      <c r="D2381" s="2414" t="s">
        <v>9464</v>
      </c>
    </row>
    <row r="2382" spans="1:4" ht="12.75" customHeight="1">
      <c r="A2382" s="2410" t="str">
        <f t="shared" si="44"/>
        <v>Sie erhalten KEINE Beiträge</v>
      </c>
      <c r="B2382" s="2410" t="s">
        <v>4253</v>
      </c>
      <c r="C2382" s="2410" t="s">
        <v>4254</v>
      </c>
      <c r="D2382" s="2414" t="s">
        <v>9465</v>
      </c>
    </row>
    <row r="2383" spans="1:4" ht="12.75" customHeight="1">
      <c r="A2383" s="2410" t="str">
        <f t="shared" si="44"/>
        <v>Erfüllung der Anteile (Gras, Kraftfutter) der Ration</v>
      </c>
      <c r="B2383" s="2410" t="s">
        <v>656</v>
      </c>
      <c r="C2383" s="2410" t="s">
        <v>679</v>
      </c>
      <c r="D2383" s="2414" t="s">
        <v>9466</v>
      </c>
    </row>
    <row r="2384" spans="1:4" ht="12.75" customHeight="1">
      <c r="A2384" s="2410">
        <f t="shared" si="44"/>
        <v>0</v>
      </c>
      <c r="B2384" s="2410"/>
      <c r="C2384" s="2410"/>
      <c r="D2384" s="2414"/>
    </row>
    <row r="2385" spans="1:4" ht="12.75" customHeight="1">
      <c r="A2385" s="2410" t="str">
        <f t="shared" si="44"/>
        <v>Tiernormen</v>
      </c>
      <c r="B2385" s="2410" t="s">
        <v>1564</v>
      </c>
      <c r="C2385" s="2410" t="s">
        <v>1563</v>
      </c>
      <c r="D2385" s="2414" t="s">
        <v>9467</v>
      </c>
    </row>
    <row r="2386" spans="1:4" ht="12.75" customHeight="1">
      <c r="A2386" s="2410" t="str">
        <f t="shared" si="44"/>
        <v>Tierkategorie</v>
      </c>
      <c r="B2386" s="2410" t="s">
        <v>853</v>
      </c>
      <c r="C2386" s="2410" t="s">
        <v>4188</v>
      </c>
      <c r="D2386" s="2414" t="s">
        <v>8557</v>
      </c>
    </row>
    <row r="2387" spans="1:4" ht="12.75" customHeight="1">
      <c r="A2387" s="2410" t="str">
        <f t="shared" si="44"/>
        <v>Einheit</v>
      </c>
      <c r="B2387" s="2410" t="s">
        <v>6392</v>
      </c>
      <c r="C2387" s="2410" t="s">
        <v>6215</v>
      </c>
      <c r="D2387" s="2414" t="s">
        <v>1418</v>
      </c>
    </row>
    <row r="2388" spans="1:4" ht="12.75" customHeight="1">
      <c r="A2388" s="2410" t="str">
        <f t="shared" si="44"/>
        <v>Grundfutter-</v>
      </c>
      <c r="B2388" s="2410" t="s">
        <v>1562</v>
      </c>
      <c r="C2388" s="2410" t="s">
        <v>4087</v>
      </c>
      <c r="D2388" s="2414" t="s">
        <v>9329</v>
      </c>
    </row>
    <row r="2389" spans="1:4" ht="12.75" customHeight="1">
      <c r="A2389" s="2410" t="str">
        <f t="shared" si="44"/>
        <v>verzehr</v>
      </c>
      <c r="B2389" s="2410" t="s">
        <v>2365</v>
      </c>
      <c r="C2389" s="2410" t="s">
        <v>2364</v>
      </c>
      <c r="D2389" s="2414" t="s">
        <v>8452</v>
      </c>
    </row>
    <row r="2390" spans="1:4" ht="12.75" customHeight="1">
      <c r="A2390" s="2410" t="str">
        <f t="shared" si="44"/>
        <v>TS/Tag</v>
      </c>
      <c r="B2390" s="2410" t="s">
        <v>2363</v>
      </c>
      <c r="C2390" s="2410" t="s">
        <v>2362</v>
      </c>
      <c r="D2390" s="2414" t="s">
        <v>8280</v>
      </c>
    </row>
    <row r="2391" spans="1:4" ht="12.75" customHeight="1">
      <c r="A2391" s="2410" t="str">
        <f t="shared" si="44"/>
        <v>TS/Jahr</v>
      </c>
      <c r="B2391" s="2410" t="s">
        <v>2361</v>
      </c>
      <c r="C2391" s="2410" t="s">
        <v>2360</v>
      </c>
      <c r="D2391" s="2414" t="s">
        <v>8281</v>
      </c>
    </row>
    <row r="2392" spans="1:4" ht="12.75" customHeight="1">
      <c r="A2392" s="2410" t="str">
        <f t="shared" si="44"/>
        <v>GVE</v>
      </c>
      <c r="B2392" s="2410" t="s">
        <v>6685</v>
      </c>
      <c r="C2392" s="2410" t="s">
        <v>3981</v>
      </c>
      <c r="D2392" s="2414" t="s">
        <v>199</v>
      </c>
    </row>
    <row r="2393" spans="1:4" ht="12.75" customHeight="1">
      <c r="A2393" s="2410" t="str">
        <f t="shared" si="44"/>
        <v>Faktoren</v>
      </c>
      <c r="B2393" s="2410" t="s">
        <v>2359</v>
      </c>
      <c r="C2393" s="2410" t="s">
        <v>3184</v>
      </c>
      <c r="D2393" s="2414" t="s">
        <v>5816</v>
      </c>
    </row>
    <row r="2394" spans="1:4" ht="12.75" customHeight="1">
      <c r="A2394" s="2410" t="str">
        <f t="shared" si="44"/>
        <v>Einheit</v>
      </c>
      <c r="B2394" s="2410" t="s">
        <v>6392</v>
      </c>
      <c r="C2394" s="2410" t="s">
        <v>3980</v>
      </c>
      <c r="D2394" s="2414" t="s">
        <v>1418</v>
      </c>
    </row>
    <row r="2395" spans="1:4" ht="12.75" customHeight="1">
      <c r="A2395" s="2410" t="str">
        <f t="shared" si="44"/>
        <v>100 Pl.</v>
      </c>
      <c r="B2395" s="2410" t="s">
        <v>5537</v>
      </c>
      <c r="C2395" s="2410" t="s">
        <v>2358</v>
      </c>
      <c r="D2395" s="2414" t="s">
        <v>8571</v>
      </c>
    </row>
    <row r="2396" spans="1:4" ht="12.75" customHeight="1">
      <c r="A2396" s="2410" t="str">
        <f t="shared" si="44"/>
        <v>1 Stück</v>
      </c>
      <c r="B2396" s="2410" t="s">
        <v>2357</v>
      </c>
      <c r="C2396" s="2410" t="s">
        <v>2356</v>
      </c>
      <c r="D2396" s="2414" t="s">
        <v>8283</v>
      </c>
    </row>
    <row r="2397" spans="1:4" ht="12.75" customHeight="1">
      <c r="A2397" s="2410" t="str">
        <f t="shared" si="44"/>
        <v>1 Platz</v>
      </c>
      <c r="B2397" s="2410" t="s">
        <v>2355</v>
      </c>
      <c r="C2397" s="2410" t="s">
        <v>2354</v>
      </c>
      <c r="D2397" s="2414" t="s">
        <v>8284</v>
      </c>
    </row>
    <row r="2398" spans="1:4" ht="12.75" customHeight="1">
      <c r="A2398" s="2410" t="str">
        <f t="shared" si="44"/>
        <v>Grenzwerte:</v>
      </c>
      <c r="B2398" s="2410" t="s">
        <v>2353</v>
      </c>
      <c r="C2398" s="2410" t="s">
        <v>2352</v>
      </c>
      <c r="D2398" s="2414" t="s">
        <v>1297</v>
      </c>
    </row>
    <row r="2399" spans="1:4" ht="12.75" customHeight="1">
      <c r="A2399" s="2410" t="str">
        <f t="shared" si="44"/>
        <v>Talgebiet</v>
      </c>
      <c r="B2399" s="2410" t="s">
        <v>4558</v>
      </c>
      <c r="C2399" s="2410" t="s">
        <v>3885</v>
      </c>
      <c r="D2399" s="2414" t="s">
        <v>1298</v>
      </c>
    </row>
    <row r="2400" spans="1:4" ht="12.75" customHeight="1">
      <c r="A2400" s="2410" t="str">
        <f t="shared" si="44"/>
        <v>Berggebiet</v>
      </c>
      <c r="B2400" s="2410" t="s">
        <v>5356</v>
      </c>
      <c r="C2400" s="2410" t="s">
        <v>5355</v>
      </c>
      <c r="D2400" s="2414" t="s">
        <v>5360</v>
      </c>
    </row>
    <row r="2401" spans="1:4" ht="12.75" customHeight="1">
      <c r="A2401" s="2410" t="str">
        <f t="shared" ref="A2401:A2467" si="45">IF($A$2=1,B2401,IF($A$2=2,C2401,IF($A$2=3,IF(D2401="",C2401,D2401),"")))</f>
        <v>rot = nicht erfüllt</v>
      </c>
      <c r="B2401" s="2410" t="s">
        <v>5354</v>
      </c>
      <c r="C2401" s="2410" t="s">
        <v>5353</v>
      </c>
      <c r="D2401" s="2414" t="s">
        <v>9468</v>
      </c>
    </row>
    <row r="2402" spans="1:4" ht="12.75" customHeight="1">
      <c r="A2402" s="2410" t="str">
        <f t="shared" si="45"/>
        <v>Keine Produktionszone</v>
      </c>
      <c r="B2402" s="2410" t="s">
        <v>3175</v>
      </c>
      <c r="C2402" s="2410" t="s">
        <v>3174</v>
      </c>
      <c r="D2402" s="2414" t="s">
        <v>5361</v>
      </c>
    </row>
    <row r="2403" spans="1:4" ht="12.75" customHeight="1">
      <c r="A2403" s="2410">
        <f t="shared" si="45"/>
        <v>0</v>
      </c>
      <c r="B2403" s="2410"/>
      <c r="C2403" s="2410"/>
      <c r="D2403" s="2414"/>
    </row>
    <row r="2404" spans="1:4" ht="12.75" customHeight="1">
      <c r="A2404" s="2410">
        <f t="shared" si="45"/>
        <v>0</v>
      </c>
      <c r="B2404" s="2410"/>
      <c r="C2404" s="2410"/>
      <c r="D2404" s="2414"/>
    </row>
    <row r="2405" spans="1:4" ht="12.75" customHeight="1">
      <c r="A2405" s="2410">
        <f t="shared" si="45"/>
        <v>0</v>
      </c>
      <c r="B2405" s="2410"/>
      <c r="C2405" s="2410"/>
      <c r="D2405" s="2414"/>
    </row>
    <row r="2406" spans="1:4" ht="12.75" customHeight="1">
      <c r="A2406" s="2410">
        <f t="shared" si="45"/>
        <v>0</v>
      </c>
      <c r="B2406" s="2410"/>
      <c r="C2406" s="2410"/>
      <c r="D2406" s="2414"/>
    </row>
    <row r="2407" spans="1:4" ht="12.75" customHeight="1">
      <c r="A2407" s="2410">
        <f t="shared" si="45"/>
        <v>0</v>
      </c>
      <c r="B2407" s="2410"/>
      <c r="C2407" s="2410"/>
      <c r="D2407" s="2414"/>
    </row>
    <row r="2408" spans="1:4" ht="12.75" customHeight="1">
      <c r="A2408" s="2410" t="str">
        <f t="shared" si="45"/>
        <v>Kulturlandschaftsbeiträge (KLB, Art. 42 bis 49 und Anhang 7 DZV)</v>
      </c>
      <c r="B2408" s="2410" t="s">
        <v>4129</v>
      </c>
      <c r="C2408" s="2410" t="s">
        <v>4130</v>
      </c>
      <c r="D2408" s="2414" t="s">
        <v>9469</v>
      </c>
    </row>
    <row r="2409" spans="1:4" ht="12.75" customHeight="1">
      <c r="A2409" s="2410" t="str">
        <f t="shared" si="45"/>
        <v>Offenhaltungbeitrag*</v>
      </c>
      <c r="B2409" s="2410" t="s">
        <v>4608</v>
      </c>
      <c r="C2409" s="2410" t="s">
        <v>3546</v>
      </c>
      <c r="D2409" s="2414" t="s">
        <v>5362</v>
      </c>
    </row>
    <row r="2410" spans="1:4" ht="12.75" customHeight="1">
      <c r="A2410" s="2410" t="str">
        <f t="shared" si="45"/>
        <v>Fläche auf verschiedene Zonen aufteilen</v>
      </c>
      <c r="B2410" s="2410" t="s">
        <v>5601</v>
      </c>
      <c r="C2410" s="2410" t="s">
        <v>1773</v>
      </c>
      <c r="D2410" s="2414" t="s">
        <v>9470</v>
      </c>
    </row>
    <row r="2411" spans="1:4" ht="12.75" customHeight="1">
      <c r="A2411" s="2410" t="str">
        <f t="shared" si="45"/>
        <v>Ansatz / CHF</v>
      </c>
      <c r="B2411" s="2410" t="s">
        <v>7376</v>
      </c>
      <c r="C2411" s="2410" t="s">
        <v>7377</v>
      </c>
      <c r="D2411" s="2414" t="s">
        <v>9224</v>
      </c>
    </row>
    <row r="2412" spans="1:4" ht="12.75" customHeight="1">
      <c r="A2412" s="2410" t="str">
        <f t="shared" si="45"/>
        <v xml:space="preserve"> * Für OHB beitragsberechtigte LN: LN ohne Hecken, Feld- und Ufergehölze</v>
      </c>
      <c r="B2412" s="2410" t="s">
        <v>1426</v>
      </c>
      <c r="C2412" s="2410" t="s">
        <v>2055</v>
      </c>
      <c r="D2412" s="2414" t="s">
        <v>9471</v>
      </c>
    </row>
    <row r="2413" spans="1:4" ht="24" customHeight="1">
      <c r="A2413" s="2410" t="str">
        <f t="shared" si="45"/>
        <v xml:space="preserve">   und ohne Baumschulen, Forstpflanzen, Christbäume, Zierpflanzen, Hanf und Gewächshäuser mit festem Fundament </v>
      </c>
      <c r="B2413" s="2410" t="s">
        <v>4725</v>
      </c>
      <c r="C2413" s="2410" t="s">
        <v>6446</v>
      </c>
      <c r="D2413" s="2424" t="s">
        <v>9472</v>
      </c>
    </row>
    <row r="2414" spans="1:4" ht="12.75" customHeight="1">
      <c r="A2414" s="2410" t="str">
        <f t="shared" si="45"/>
        <v>Anteil / CHF</v>
      </c>
      <c r="B2414" s="2410" t="s">
        <v>7374</v>
      </c>
      <c r="C2414" s="2410" t="s">
        <v>7375</v>
      </c>
      <c r="D2414" s="2414" t="s">
        <v>9473</v>
      </c>
    </row>
    <row r="2415" spans="1:4" ht="12.75" customHeight="1">
      <c r="A2415" s="2410" t="str">
        <f t="shared" si="45"/>
        <v>Talzone</v>
      </c>
      <c r="B2415" s="2410" t="s">
        <v>3966</v>
      </c>
      <c r="C2415" s="2410" t="s">
        <v>7115</v>
      </c>
      <c r="D2415" s="2414" t="s">
        <v>7116</v>
      </c>
    </row>
    <row r="2416" spans="1:4" ht="12.75" customHeight="1">
      <c r="A2416" s="2410" t="str">
        <f t="shared" si="45"/>
        <v>Talzone (ohne Beitrag)</v>
      </c>
      <c r="B2416" s="2410" t="s">
        <v>4543</v>
      </c>
      <c r="C2416" s="2410" t="s">
        <v>2056</v>
      </c>
      <c r="D2416" s="2414" t="s">
        <v>5363</v>
      </c>
    </row>
    <row r="2417" spans="1:4" ht="12.75" customHeight="1">
      <c r="A2417" s="2410" t="str">
        <f t="shared" si="45"/>
        <v>Hügelzone</v>
      </c>
      <c r="B2417" s="2410" t="s">
        <v>7185</v>
      </c>
      <c r="C2417" s="2410" t="s">
        <v>5818</v>
      </c>
      <c r="D2417" s="2414" t="s">
        <v>7117</v>
      </c>
    </row>
    <row r="2418" spans="1:4" ht="12.75" customHeight="1">
      <c r="A2418" s="2410" t="str">
        <f t="shared" si="45"/>
        <v>Bergzone I</v>
      </c>
      <c r="B2418" s="2410" t="s">
        <v>7118</v>
      </c>
      <c r="C2418" s="2410" t="s">
        <v>3545</v>
      </c>
      <c r="D2418" s="2414" t="s">
        <v>9310</v>
      </c>
    </row>
    <row r="2419" spans="1:4" ht="12.75" customHeight="1">
      <c r="A2419" s="2410" t="str">
        <f t="shared" si="45"/>
        <v>Bergzone II</v>
      </c>
      <c r="B2419" s="2410" t="s">
        <v>7119</v>
      </c>
      <c r="C2419" s="2410" t="s">
        <v>4963</v>
      </c>
      <c r="D2419" s="2414" t="s">
        <v>9311</v>
      </c>
    </row>
    <row r="2420" spans="1:4" ht="12.75" customHeight="1">
      <c r="A2420" s="2410" t="str">
        <f t="shared" si="45"/>
        <v>Bergzone III</v>
      </c>
      <c r="B2420" s="2410" t="s">
        <v>2412</v>
      </c>
      <c r="C2420" s="2410" t="s">
        <v>7002</v>
      </c>
      <c r="D2420" s="2414" t="s">
        <v>9312</v>
      </c>
    </row>
    <row r="2421" spans="1:4" ht="12.75" customHeight="1">
      <c r="A2421" s="2410" t="str">
        <f t="shared" si="45"/>
        <v>Bergzone IV</v>
      </c>
      <c r="B2421" s="2410" t="s">
        <v>2413</v>
      </c>
      <c r="C2421" s="2410" t="s">
        <v>7003</v>
      </c>
      <c r="D2421" s="2414" t="s">
        <v>9313</v>
      </c>
    </row>
    <row r="2422" spans="1:4" ht="12.75" customHeight="1">
      <c r="A2422" s="2410" t="str">
        <f t="shared" si="45"/>
        <v>Total der berechtigten LN überprüfen!!</v>
      </c>
      <c r="B2422" s="2410" t="s">
        <v>5059</v>
      </c>
      <c r="C2422" s="2410" t="s">
        <v>5624</v>
      </c>
      <c r="D2422" s="2414" t="s">
        <v>9474</v>
      </c>
    </row>
    <row r="2423" spans="1:4" ht="12.75" customHeight="1">
      <c r="A2423" s="2410" t="str">
        <f t="shared" si="45"/>
        <v>Korrektur für Flächen im Ausland</v>
      </c>
      <c r="B2423" s="2410" t="s">
        <v>6694</v>
      </c>
      <c r="C2423" s="2410" t="s">
        <v>1778</v>
      </c>
      <c r="D2423" s="2414" t="s">
        <v>9475</v>
      </c>
    </row>
    <row r="2424" spans="1:4" ht="12.75" customHeight="1">
      <c r="A2424" s="2410" t="str">
        <f t="shared" si="45"/>
        <v>Summe der Beiträge</v>
      </c>
      <c r="B2424" s="2410" t="s">
        <v>2657</v>
      </c>
      <c r="C2424" s="2410" t="s">
        <v>2658</v>
      </c>
      <c r="D2424" s="2414" t="s">
        <v>2659</v>
      </c>
    </row>
    <row r="2425" spans="1:4" ht="12.75" customHeight="1">
      <c r="A2425" s="2410" t="str">
        <f t="shared" si="45"/>
        <v>Hangbeitrag*</v>
      </c>
      <c r="B2425" s="2410" t="s">
        <v>6447</v>
      </c>
      <c r="C2425" s="2410" t="s">
        <v>6739</v>
      </c>
      <c r="D2425" s="2414" t="s">
        <v>9476</v>
      </c>
    </row>
    <row r="2426" spans="1:4" ht="12.75" customHeight="1">
      <c r="A2426" s="2410" t="str">
        <f t="shared" si="45"/>
        <v>(Auf Dauerwiesen wird mindestens ein Mähschnitt pro Jahr verlangt)</v>
      </c>
      <c r="B2426" s="2410" t="s">
        <v>6365</v>
      </c>
      <c r="C2426" s="2410" t="s">
        <v>6366</v>
      </c>
      <c r="D2426" s="2414" t="s">
        <v>9477</v>
      </c>
    </row>
    <row r="2427" spans="1:4" ht="12.2" customHeight="1">
      <c r="A2427" s="2410" t="str">
        <f t="shared" si="45"/>
        <v>18 - 35 % Neigung</v>
      </c>
      <c r="B2427" s="2410" t="s">
        <v>1815</v>
      </c>
      <c r="C2427" s="2410" t="s">
        <v>3502</v>
      </c>
      <c r="D2427" s="2780" t="s">
        <v>11904</v>
      </c>
    </row>
    <row r="2428" spans="1:4" ht="12.75" customHeight="1">
      <c r="A2428" s="2410" t="str">
        <f t="shared" si="45"/>
        <v>35 - 50 % Neigung</v>
      </c>
      <c r="B2428" s="2410" t="s">
        <v>3985</v>
      </c>
      <c r="C2428" s="2410" t="s">
        <v>2550</v>
      </c>
      <c r="D2428" s="2780" t="s">
        <v>11905</v>
      </c>
    </row>
    <row r="2429" spans="1:4" ht="12.75" customHeight="1">
      <c r="A2429" s="2410" t="str">
        <f t="shared" si="45"/>
        <v>mehr als 50 % Neigung</v>
      </c>
      <c r="B2429" s="2410" t="s">
        <v>6556</v>
      </c>
      <c r="C2429" s="2410" t="s">
        <v>3890</v>
      </c>
      <c r="D2429" s="2414" t="s">
        <v>7378</v>
      </c>
    </row>
    <row r="2430" spans="1:4" ht="12.75" customHeight="1">
      <c r="A2430" s="2410" t="str">
        <f t="shared" si="45"/>
        <v>Steillagenbeitrag</v>
      </c>
      <c r="B2430" s="2410" t="s">
        <v>3118</v>
      </c>
      <c r="C2430" s="2410" t="s">
        <v>2428</v>
      </c>
      <c r="D2430" s="2414" t="s">
        <v>9478</v>
      </c>
    </row>
    <row r="2431" spans="1:4" ht="12.75" customHeight="1">
      <c r="A2431" s="2410" t="str">
        <f t="shared" si="45"/>
        <v>Steillagenanteil an der beitragsberechtigten landwirtschaftlichen Nutzfläche</v>
      </c>
      <c r="B2431" s="2410" t="s">
        <v>4664</v>
      </c>
      <c r="C2431" s="2410" t="s">
        <v>1085</v>
      </c>
      <c r="D2431" s="2780" t="s">
        <v>11906</v>
      </c>
    </row>
    <row r="2432" spans="1:4" ht="12.75" customHeight="1">
      <c r="A2432" s="2410" t="str">
        <f t="shared" si="45"/>
        <v>Ansatz linear von 100 CHF / ha ab 30 % bis 1'000 CHF / ha</v>
      </c>
      <c r="B2432" s="2410" t="s">
        <v>12136</v>
      </c>
      <c r="C2432" s="2410" t="s">
        <v>1234</v>
      </c>
      <c r="D2432" s="2780" t="s">
        <v>11907</v>
      </c>
    </row>
    <row r="2433" spans="1:4" ht="12.75" customHeight="1">
      <c r="A2433" s="2410" t="str">
        <f t="shared" si="45"/>
        <v>bei 100 % Anteil</v>
      </c>
      <c r="B2433" s="3319" t="s">
        <v>12137</v>
      </c>
      <c r="C2433" s="3320" t="s">
        <v>12138</v>
      </c>
      <c r="D2433" s="2780" t="s">
        <v>11908</v>
      </c>
    </row>
    <row r="2434" spans="1:4" ht="12.75" customHeight="1">
      <c r="A2434" s="2410" t="str">
        <f t="shared" si="45"/>
        <v>GVE</v>
      </c>
      <c r="B2434" s="2410" t="s">
        <v>6685</v>
      </c>
      <c r="C2434" s="2417" t="s">
        <v>3184</v>
      </c>
      <c r="D2434" s="2414" t="s">
        <v>3783</v>
      </c>
    </row>
    <row r="2435" spans="1:4" ht="12.75" customHeight="1">
      <c r="A2435" s="2410" t="str">
        <f t="shared" si="45"/>
        <v>effektive Bestossung</v>
      </c>
      <c r="B2435" s="2410" t="s">
        <v>6560</v>
      </c>
      <c r="C2435" s="2417" t="s">
        <v>6561</v>
      </c>
      <c r="D2435" s="2414" t="s">
        <v>6562</v>
      </c>
    </row>
    <row r="2436" spans="1:4" ht="12.75" customHeight="1">
      <c r="A2436" s="2410" t="str">
        <f t="shared" si="45"/>
        <v>Hangbeitrag für Rebflächen</v>
      </c>
      <c r="B2436" s="2410" t="s">
        <v>2494</v>
      </c>
      <c r="C2436" s="2410" t="s">
        <v>2495</v>
      </c>
      <c r="D2436" s="2414" t="s">
        <v>4230</v>
      </c>
    </row>
    <row r="2437" spans="1:4" ht="12.75" customHeight="1">
      <c r="A2437" s="2410" t="str">
        <f t="shared" si="45"/>
        <v>30 - 50 % Neigung</v>
      </c>
      <c r="B2437" s="2410" t="s">
        <v>6712</v>
      </c>
      <c r="C2437" s="2410" t="s">
        <v>3889</v>
      </c>
      <c r="D2437" s="2780" t="s">
        <v>11909</v>
      </c>
    </row>
    <row r="2438" spans="1:4" ht="12.75" customHeight="1">
      <c r="A2438" s="2410" t="str">
        <f t="shared" si="45"/>
        <v>mehr als 50 % Neigung</v>
      </c>
      <c r="B2438" s="2410" t="s">
        <v>6556</v>
      </c>
      <c r="C2438" s="2410" t="s">
        <v>3890</v>
      </c>
      <c r="D2438" s="2414" t="s">
        <v>9479</v>
      </c>
    </row>
    <row r="2439" spans="1:4" ht="12.75" customHeight="1">
      <c r="A2439" s="2410" t="str">
        <f t="shared" si="45"/>
        <v>mehr als 30 % Neigung in Terassenlagen</v>
      </c>
      <c r="B2439" s="2410" t="s">
        <v>6559</v>
      </c>
      <c r="C2439" s="2410" t="s">
        <v>6591</v>
      </c>
      <c r="D2439" s="2414" t="s">
        <v>9480</v>
      </c>
    </row>
    <row r="2440" spans="1:4" ht="12.75" customHeight="1">
      <c r="A2440" s="2410" t="str">
        <f t="shared" si="45"/>
        <v>Alpungsbeitrag (an den Ganzjahresbetrieb)</v>
      </c>
      <c r="B2440" s="2410" t="s">
        <v>2323</v>
      </c>
      <c r="C2440" s="2410" t="s">
        <v>2324</v>
      </c>
      <c r="D2440" s="2414" t="s">
        <v>9481</v>
      </c>
    </row>
    <row r="2441" spans="1:4" ht="12.75" customHeight="1">
      <c r="A2441" s="2410" t="str">
        <f t="shared" si="45"/>
        <v>Info: In NST umgerechnete Abwesenheiten der RGVE aus Blatt "Tierb"</v>
      </c>
      <c r="B2441" s="2410" t="s">
        <v>2785</v>
      </c>
      <c r="C2441" s="2410" t="s">
        <v>5697</v>
      </c>
      <c r="D2441" s="2414" t="s">
        <v>9482</v>
      </c>
    </row>
    <row r="2442" spans="1:4" ht="12.75" customHeight="1">
      <c r="A2442" s="2410" t="str">
        <f t="shared" si="45"/>
        <v>NST</v>
      </c>
      <c r="B2442" s="2410" t="s">
        <v>1915</v>
      </c>
      <c r="C2442" s="2410" t="s">
        <v>1916</v>
      </c>
      <c r="D2442" s="2414" t="s">
        <v>1917</v>
      </c>
    </row>
    <row r="2443" spans="1:4" ht="12.75" customHeight="1">
      <c r="A2443" s="2410" t="str">
        <f t="shared" si="45"/>
        <v>Betrag / CHF</v>
      </c>
      <c r="B2443" s="2410" t="s">
        <v>6557</v>
      </c>
      <c r="C2443" s="2410" t="s">
        <v>6558</v>
      </c>
      <c r="D2443" s="2414" t="s">
        <v>9224</v>
      </c>
    </row>
    <row r="2444" spans="1:4" ht="12.75" customHeight="1">
      <c r="A2444" s="2410" t="str">
        <f t="shared" si="45"/>
        <v>Tatsächlich gesömmerte raufutterverzehrende Nutztiere</v>
      </c>
      <c r="B2444" s="2410" t="s">
        <v>1427</v>
      </c>
      <c r="C2444" s="2410" t="s">
        <v>4048</v>
      </c>
      <c r="D2444" s="2414" t="s">
        <v>9483</v>
      </c>
    </row>
    <row r="2445" spans="1:4" ht="12.75" customHeight="1">
      <c r="A2445" s="2410" t="str">
        <f t="shared" si="45"/>
        <v>1) NST = Normalstoss = 1 RGVE 100 Sömmerungstage</v>
      </c>
      <c r="B2445" s="2410" t="s">
        <v>5306</v>
      </c>
      <c r="C2445" s="2410" t="s">
        <v>6276</v>
      </c>
      <c r="D2445" s="2414" t="s">
        <v>6297</v>
      </c>
    </row>
    <row r="2446" spans="1:4" ht="12.75" customHeight="1">
      <c r="A2446" s="2410" t="str">
        <f t="shared" si="45"/>
        <v>Zwischentotal Kulturlandschaftsbeiträge</v>
      </c>
      <c r="B2446" s="2410" t="s">
        <v>618</v>
      </c>
      <c r="C2446" s="2410" t="s">
        <v>3022</v>
      </c>
      <c r="D2446" s="2414" t="s">
        <v>9484</v>
      </c>
    </row>
    <row r="2447" spans="1:4" ht="12.75" customHeight="1">
      <c r="A2447" s="2410" t="str">
        <f t="shared" si="45"/>
        <v>Sömmerungsbeitrag</v>
      </c>
      <c r="B2447" s="2410" t="s">
        <v>2156</v>
      </c>
      <c r="C2447" s="2410" t="s">
        <v>2493</v>
      </c>
      <c r="D2447" s="2414" t="s">
        <v>9485</v>
      </c>
    </row>
    <row r="2448" spans="1:4" ht="12.75" customHeight="1">
      <c r="A2448" s="2410" t="str">
        <f t="shared" si="45"/>
        <v>Normalbesatz*</v>
      </c>
      <c r="B2448" s="2410" t="s">
        <v>593</v>
      </c>
      <c r="C2448" s="2410" t="s">
        <v>594</v>
      </c>
      <c r="D2448" s="2414" t="s">
        <v>595</v>
      </c>
    </row>
    <row r="2449" spans="1:6" ht="12.75" customHeight="1">
      <c r="A2449" s="2410" t="str">
        <f t="shared" si="45"/>
        <v>Betrag CHF / NST</v>
      </c>
      <c r="B2449" s="2410" t="s">
        <v>7373</v>
      </c>
      <c r="C2449" s="2410" t="s">
        <v>7372</v>
      </c>
      <c r="D2449" s="2414" t="s">
        <v>9486</v>
      </c>
    </row>
    <row r="2450" spans="1:6" ht="12.75" customHeight="1">
      <c r="A2450" s="2410" t="str">
        <f t="shared" si="45"/>
        <v>Schafe, ausgenommen Milchschafe:</v>
      </c>
      <c r="B2450" s="2410" t="s">
        <v>1743</v>
      </c>
      <c r="C2450" s="2410" t="s">
        <v>1233</v>
      </c>
      <c r="D2450" s="2414" t="s">
        <v>9487</v>
      </c>
    </row>
    <row r="2451" spans="1:6" ht="12.75" customHeight="1">
      <c r="A2451" s="2410" t="str">
        <f t="shared" si="45"/>
        <v>- ständige Behirtung</v>
      </c>
      <c r="B2451" s="3313" t="s">
        <v>12122</v>
      </c>
      <c r="C2451" s="3313" t="s">
        <v>12123</v>
      </c>
      <c r="D2451" s="3314" t="s">
        <v>12124</v>
      </c>
      <c r="E2451" s="2428"/>
      <c r="F2451" s="2428"/>
    </row>
    <row r="2452" spans="1:6" ht="12.75" customHeight="1">
      <c r="A2452" s="2410" t="str">
        <f t="shared" si="45"/>
        <v>- Umtriebsweide</v>
      </c>
      <c r="B2452" s="2418" t="s">
        <v>2542</v>
      </c>
      <c r="C2452" s="2410" t="s">
        <v>2543</v>
      </c>
      <c r="D2452" s="2414" t="s">
        <v>9488</v>
      </c>
      <c r="E2452" s="2428"/>
      <c r="F2452" s="2428"/>
    </row>
    <row r="2453" spans="1:6" ht="12.75" customHeight="1">
      <c r="A2453" s="2410" t="str">
        <f t="shared" si="45"/>
        <v>- übrige Weiden</v>
      </c>
      <c r="B2453" s="2418" t="s">
        <v>6363</v>
      </c>
      <c r="C2453" s="2410" t="s">
        <v>6364</v>
      </c>
      <c r="D2453" s="2414" t="s">
        <v>9489</v>
      </c>
      <c r="E2453" s="2428"/>
      <c r="F2453" s="2428"/>
    </row>
    <row r="2454" spans="1:6" ht="12.75" customHeight="1">
      <c r="A2454" s="2410" t="str">
        <f t="shared" si="45"/>
        <v>Andere raufutterverzehrende Tiere, ohne Bisons und Hirsche</v>
      </c>
      <c r="B2454" s="2410" t="s">
        <v>7370</v>
      </c>
      <c r="C2454" s="2410" t="s">
        <v>1232</v>
      </c>
      <c r="D2454" s="2414" t="s">
        <v>9490</v>
      </c>
    </row>
    <row r="2455" spans="1:6" ht="12.75" customHeight="1">
      <c r="A2455" s="2410" t="str">
        <f t="shared" si="45"/>
        <v>Gemolkene Kühe, Milchschafe u. Milchziegen, mit einer traditionellen</v>
      </c>
      <c r="B2455" s="2410" t="s">
        <v>1230</v>
      </c>
      <c r="C2455" s="2410" t="s">
        <v>1231</v>
      </c>
      <c r="D2455" s="2414" t="s">
        <v>9491</v>
      </c>
    </row>
    <row r="2456" spans="1:6" ht="12.75" customHeight="1">
      <c r="A2456" s="2410" t="str">
        <f t="shared" si="45"/>
        <v xml:space="preserve">  Sömmerungsdauer von 56 - 100 Tagen (pro GVE)</v>
      </c>
      <c r="B2456" s="2410" t="s">
        <v>1228</v>
      </c>
      <c r="C2456" s="2410" t="s">
        <v>1229</v>
      </c>
      <c r="D2456" s="2414" t="s">
        <v>9492</v>
      </c>
    </row>
    <row r="2457" spans="1:6" ht="12.75" customHeight="1">
      <c r="A2457" s="2410" t="str">
        <f t="shared" si="45"/>
        <v>Zusatzbeitrag für Milchkühe, Milchschafe und Milchziegen</v>
      </c>
      <c r="B2457" s="2410" t="s">
        <v>7371</v>
      </c>
      <c r="C2457" s="2410" t="s">
        <v>7369</v>
      </c>
      <c r="D2457" s="2424" t="s">
        <v>9493</v>
      </c>
    </row>
    <row r="2458" spans="1:6" ht="12.75" customHeight="1">
      <c r="A2458" s="2410" t="str">
        <f t="shared" si="45"/>
        <v xml:space="preserve">  zusätzlich zu den Beiträgen oben</v>
      </c>
      <c r="B2458" s="2410" t="s">
        <v>6563</v>
      </c>
      <c r="C2458" s="3315" t="s">
        <v>12133</v>
      </c>
      <c r="D2458" s="3054" t="s">
        <v>12005</v>
      </c>
    </row>
    <row r="2459" spans="1:6" ht="12.75" customHeight="1">
      <c r="A2459" s="2410" t="str">
        <f t="shared" si="45"/>
        <v>Zusatzbeitrag für die Umsetzung einzelbetrieblicher Herdenschutzmassnahmen</v>
      </c>
      <c r="B2459" s="3315" t="s">
        <v>12125</v>
      </c>
      <c r="C2459" s="3315" t="s">
        <v>12132</v>
      </c>
      <c r="D2459" s="3315" t="s">
        <v>12134</v>
      </c>
    </row>
    <row r="2460" spans="1:6" ht="12.75" customHeight="1">
      <c r="A2460" s="2410" t="str">
        <f t="shared" si="45"/>
        <v>Schafe (mit Ausnahme von Milchschafen) bei ständiger Behirtung oder Umtriebsweide</v>
      </c>
      <c r="B2460" s="3315" t="s">
        <v>12126</v>
      </c>
      <c r="C2460" s="3315" t="s">
        <v>12128</v>
      </c>
      <c r="D2460" s="3315" t="s">
        <v>12131</v>
      </c>
    </row>
    <row r="2461" spans="1:6" ht="12.75" customHeight="1">
      <c r="A2461" s="2410" t="str">
        <f t="shared" si="45"/>
        <v>Milchschafe, Ziegen, Tiere der Rindergattung und Wasserbüffel bis 365 Tage alt</v>
      </c>
      <c r="B2461" s="3315" t="s">
        <v>12127</v>
      </c>
      <c r="C2461" s="3315" t="s">
        <v>12129</v>
      </c>
      <c r="D2461" s="3314" t="s">
        <v>12130</v>
      </c>
    </row>
    <row r="2462" spans="1:6" ht="24" customHeight="1">
      <c r="A2462" s="2410" t="str">
        <f t="shared" si="45"/>
        <v>* Die Beiträge werden auf der Basis des Normalbesatzes gerechnet, wenn der effektive Jahresbesatz zwischen 75 % und 110 % liegt</v>
      </c>
      <c r="B2462" s="2785" t="s">
        <v>11858</v>
      </c>
      <c r="C2462" s="2785" t="s">
        <v>11859</v>
      </c>
      <c r="D2462" s="2786" t="s">
        <v>11860</v>
      </c>
    </row>
    <row r="2463" spans="1:6" ht="12.75" customHeight="1">
      <c r="A2463" s="2410" t="str">
        <f t="shared" si="45"/>
        <v>Total Kulturlandschaftsbeiträge</v>
      </c>
      <c r="B2463" s="2410" t="s">
        <v>6168</v>
      </c>
      <c r="C2463" s="2410" t="s">
        <v>6169</v>
      </c>
      <c r="D2463" s="2414" t="s">
        <v>9494</v>
      </c>
    </row>
    <row r="2464" spans="1:6" ht="12.75" customHeight="1">
      <c r="A2464" s="2410">
        <f t="shared" si="45"/>
        <v>0</v>
      </c>
      <c r="B2464" s="2417"/>
      <c r="C2464" s="2417"/>
      <c r="D2464" s="2414"/>
    </row>
    <row r="2465" spans="1:4" ht="12.75" customHeight="1">
      <c r="A2465" s="2410" t="str">
        <f t="shared" si="45"/>
        <v>Versorgungssicherheitsbeiträge, VSB, Art. 50 bis 54 und Anhang 7 DZV</v>
      </c>
      <c r="B2465" s="2410" t="s">
        <v>596</v>
      </c>
      <c r="C2465" s="2410" t="s">
        <v>1224</v>
      </c>
      <c r="D2465" s="2414" t="s">
        <v>9495</v>
      </c>
    </row>
    <row r="2466" spans="1:4" ht="24" customHeight="1">
      <c r="A2466" s="2410" t="str">
        <f t="shared" si="45"/>
        <v xml:space="preserve">Beitragsberechtigte Fläche: Beitragsberechtigte LN (+angestammte Fläche im Ausland), ohne nachwachsende Rohstoffe (Kenaf, Chinaschilf), </v>
      </c>
      <c r="B2466" s="2410" t="s">
        <v>1638</v>
      </c>
      <c r="C2466" s="2410" t="s">
        <v>3711</v>
      </c>
      <c r="D2466" s="2414" t="s">
        <v>9496</v>
      </c>
    </row>
    <row r="2467" spans="1:4" ht="24" customHeight="1">
      <c r="A2467" s="2410" t="str">
        <f t="shared" si="45"/>
        <v>Brachen, Saum auf Ackerfläche, Maulbeerbäume, Streuefläche, Hecken, Feld- und Ufergehölze.</v>
      </c>
      <c r="B2467" s="2410" t="s">
        <v>3017</v>
      </c>
      <c r="C2467" s="2410" t="s">
        <v>1225</v>
      </c>
      <c r="D2467" s="2414" t="s">
        <v>9497</v>
      </c>
    </row>
    <row r="2468" spans="1:4" ht="12.75" customHeight="1">
      <c r="A2468" s="2410">
        <f t="shared" ref="A2468:A2532" si="46">IF($A$2=1,B2468,IF($A$2=2,C2468,IF($A$2=3,IF(D2468="",C2468,D2468),"")))</f>
        <v>0</v>
      </c>
      <c r="B2468" s="2410"/>
      <c r="C2468" s="2410" t="s">
        <v>6472</v>
      </c>
      <c r="D2468" s="2414"/>
    </row>
    <row r="2469" spans="1:4" ht="12.75" customHeight="1">
      <c r="A2469" s="2410" t="str">
        <f t="shared" si="46"/>
        <v>Berechnung des Tierbesatzes</v>
      </c>
      <c r="B2469" s="2417" t="s">
        <v>7580</v>
      </c>
      <c r="C2469" s="2417" t="s">
        <v>7352</v>
      </c>
      <c r="D2469" s="2414" t="s">
        <v>4001</v>
      </c>
    </row>
    <row r="2470" spans="1:4" ht="12.75" customHeight="1">
      <c r="A2470" s="2410" t="str">
        <f t="shared" si="46"/>
        <v>Flächen ohne Mindesttierbesatzanforderung</v>
      </c>
      <c r="B2470" s="2410" t="s">
        <v>7104</v>
      </c>
      <c r="C2470" s="2410" t="s">
        <v>7105</v>
      </c>
      <c r="D2470" s="2414" t="s">
        <v>9446</v>
      </c>
    </row>
    <row r="2471" spans="1:4" ht="12.75" customHeight="1">
      <c r="A2471" s="2410" t="str">
        <f t="shared" si="46"/>
        <v>Flächen mit Mindesttierbesatzanforderung</v>
      </c>
      <c r="B2471" s="2410" t="s">
        <v>842</v>
      </c>
      <c r="C2471" s="2410" t="s">
        <v>843</v>
      </c>
      <c r="D2471" s="2414" t="s">
        <v>9445</v>
      </c>
    </row>
    <row r="2472" spans="1:4" ht="12.75" customHeight="1">
      <c r="A2472" s="2410" t="str">
        <f t="shared" si="46"/>
        <v>offene Ackerfläche</v>
      </c>
      <c r="B2472" s="2410" t="s">
        <v>5944</v>
      </c>
      <c r="C2472" s="2410" t="s">
        <v>5945</v>
      </c>
      <c r="D2472" s="2414" t="s">
        <v>5946</v>
      </c>
    </row>
    <row r="2473" spans="1:4" ht="12.75" customHeight="1">
      <c r="A2473" s="2410" t="str">
        <f t="shared" si="46"/>
        <v>u. Dauerkulturen</v>
      </c>
      <c r="B2473" s="2410" t="s">
        <v>240</v>
      </c>
      <c r="C2473" s="2410" t="s">
        <v>241</v>
      </c>
      <c r="D2473" s="2414" t="s">
        <v>9499</v>
      </c>
    </row>
    <row r="2474" spans="1:4" ht="12.75" customHeight="1">
      <c r="A2474" s="2410" t="str">
        <f t="shared" si="46"/>
        <v>Kunstwiesen</v>
      </c>
      <c r="B2474" s="2410" t="s">
        <v>304</v>
      </c>
      <c r="C2474" s="2410" t="s">
        <v>5098</v>
      </c>
      <c r="D2474" s="2414" t="s">
        <v>9500</v>
      </c>
    </row>
    <row r="2475" spans="1:4" ht="12.75" customHeight="1">
      <c r="A2475" s="2410">
        <f t="shared" si="46"/>
        <v>0</v>
      </c>
      <c r="B2475" s="2410"/>
      <c r="C2475" s="2410" t="s">
        <v>4438</v>
      </c>
      <c r="D2475" s="2414" t="s">
        <v>9501</v>
      </c>
    </row>
    <row r="2476" spans="1:4" ht="12.75" customHeight="1">
      <c r="A2476" s="2410" t="str">
        <f t="shared" si="46"/>
        <v>BFF</v>
      </c>
      <c r="B2476" s="2410" t="s">
        <v>4440</v>
      </c>
      <c r="C2476" s="2410" t="s">
        <v>4439</v>
      </c>
      <c r="D2476" s="2414" t="s">
        <v>9502</v>
      </c>
    </row>
    <row r="2477" spans="1:4" ht="12.75" customHeight="1">
      <c r="A2477" s="2410" t="str">
        <f t="shared" si="46"/>
        <v>Grünland**</v>
      </c>
      <c r="B2477" s="2410" t="s">
        <v>4441</v>
      </c>
      <c r="C2477" s="2410" t="s">
        <v>4442</v>
      </c>
      <c r="D2477" s="2414" t="s">
        <v>9503</v>
      </c>
    </row>
    <row r="2478" spans="1:4" ht="12.75" customHeight="1">
      <c r="A2478" s="2410" t="str">
        <f t="shared" si="46"/>
        <v>Mindesttierbesatz/ha</v>
      </c>
      <c r="B2478" s="2410" t="s">
        <v>4427</v>
      </c>
      <c r="C2478" s="2410" t="s">
        <v>4428</v>
      </c>
      <c r="D2478" s="2414" t="s">
        <v>9504</v>
      </c>
    </row>
    <row r="2479" spans="1:4" ht="12.75" customHeight="1">
      <c r="A2479" s="2410" t="str">
        <f t="shared" si="46"/>
        <v>für Differenzierungen nach Zone</v>
      </c>
      <c r="B2479" s="2410" t="s">
        <v>3689</v>
      </c>
      <c r="C2479" s="2410" t="s">
        <v>11086</v>
      </c>
      <c r="D2479" s="2414" t="s">
        <v>11085</v>
      </c>
    </row>
    <row r="2480" spans="1:4" ht="12.75" customHeight="1">
      <c r="A2480" s="2410" t="str">
        <f t="shared" si="46"/>
        <v>auf BFF Grünland</v>
      </c>
      <c r="B2480" s="2410" t="s">
        <v>4430</v>
      </c>
      <c r="C2480" s="2410" t="s">
        <v>4429</v>
      </c>
      <c r="D2480" s="2414" t="s">
        <v>9505</v>
      </c>
    </row>
    <row r="2481" spans="1:5" ht="12.75" customHeight="1">
      <c r="A2481" s="2410" t="str">
        <f t="shared" si="46"/>
        <v>Dauergrünfläche</v>
      </c>
      <c r="B2481" s="2410" t="s">
        <v>4431</v>
      </c>
      <c r="C2481" s="2410" t="s">
        <v>2660</v>
      </c>
      <c r="D2481" s="2414" t="s">
        <v>6357</v>
      </c>
    </row>
    <row r="2482" spans="1:5" ht="12.75" customHeight="1">
      <c r="A2482" s="2410" t="str">
        <f t="shared" si="46"/>
        <v>ausser BFF</v>
      </c>
      <c r="B2482" s="2410" t="s">
        <v>4432</v>
      </c>
      <c r="C2482" s="2410" t="s">
        <v>4433</v>
      </c>
      <c r="D2482" s="2414" t="s">
        <v>9506</v>
      </c>
    </row>
    <row r="2483" spans="1:5" ht="12.75" customHeight="1">
      <c r="A2483" s="2410">
        <f t="shared" si="46"/>
        <v>0</v>
      </c>
      <c r="B2483" s="2410"/>
      <c r="C2483" s="2410" t="s">
        <v>6469</v>
      </c>
      <c r="D2483" s="2414" t="s">
        <v>5374</v>
      </c>
    </row>
    <row r="2484" spans="1:5" ht="12.75" customHeight="1">
      <c r="A2484" s="2410" t="str">
        <f t="shared" si="46"/>
        <v>Mindesttierbesatz</v>
      </c>
      <c r="B2484" s="2410" t="s">
        <v>4436</v>
      </c>
      <c r="C2484" s="2410" t="s">
        <v>4428</v>
      </c>
      <c r="D2484" s="2414" t="s">
        <v>9507</v>
      </c>
      <c r="E2484" s="2426"/>
    </row>
    <row r="2485" spans="1:5" ht="12.75" customHeight="1">
      <c r="A2485" s="2410" t="str">
        <f t="shared" si="46"/>
        <v>/ha Dauergrünfläche</v>
      </c>
      <c r="B2485" s="2410" t="s">
        <v>4437</v>
      </c>
      <c r="C2485" s="2410" t="s">
        <v>4434</v>
      </c>
      <c r="D2485" s="2414" t="s">
        <v>9508</v>
      </c>
    </row>
    <row r="2486" spans="1:5" ht="12.75" customHeight="1">
      <c r="A2486" s="2410" t="str">
        <f t="shared" si="46"/>
        <v>ausser BFF</v>
      </c>
      <c r="B2486" s="2410" t="s">
        <v>4432</v>
      </c>
      <c r="C2486" s="2410" t="s">
        <v>4435</v>
      </c>
      <c r="D2486" s="2414" t="s">
        <v>9509</v>
      </c>
    </row>
    <row r="2487" spans="1:5" ht="12.75" customHeight="1">
      <c r="A2487" s="2410" t="str">
        <f t="shared" si="46"/>
        <v>RGVE min.</v>
      </c>
      <c r="B2487" s="2410" t="s">
        <v>790</v>
      </c>
      <c r="C2487" s="2410" t="s">
        <v>791</v>
      </c>
      <c r="D2487" s="2414" t="s">
        <v>9510</v>
      </c>
    </row>
    <row r="2488" spans="1:5" ht="12.75" customHeight="1">
      <c r="A2488" s="2410" t="str">
        <f t="shared" si="46"/>
        <v>Raufutterverzehrer, Total inkl. gesömmerte Tiere</v>
      </c>
      <c r="B2488" s="2410" t="s">
        <v>1226</v>
      </c>
      <c r="C2488" s="2410" t="s">
        <v>1227</v>
      </c>
      <c r="D2488" s="2414" t="s">
        <v>9511</v>
      </c>
    </row>
    <row r="2489" spans="1:5" ht="12.75" customHeight="1">
      <c r="A2489" s="2410" t="str">
        <f t="shared" si="46"/>
        <v>RGVE eff.</v>
      </c>
      <c r="B2489" s="2410" t="s">
        <v>3224</v>
      </c>
      <c r="C2489" s="2410" t="s">
        <v>3225</v>
      </c>
      <c r="D2489" s="2414" t="s">
        <v>6485</v>
      </c>
    </row>
    <row r="2490" spans="1:5" ht="12.75" customHeight="1">
      <c r="A2490" s="2410" t="str">
        <f t="shared" si="46"/>
        <v>Mindesttierbesatz für Dauergrünfläche ausser BFF und BFF-Grünland erreicht:</v>
      </c>
      <c r="B2490" s="2410" t="s">
        <v>4997</v>
      </c>
      <c r="C2490" s="2410" t="s">
        <v>5800</v>
      </c>
      <c r="D2490" s="2414" t="s">
        <v>9512</v>
      </c>
    </row>
    <row r="2491" spans="1:5" ht="12.75" customHeight="1">
      <c r="A2491" s="2410" t="str">
        <f t="shared" si="46"/>
        <v>Flächen auf verschiedene Zonen aufteilen</v>
      </c>
      <c r="B2491" s="2410" t="s">
        <v>1726</v>
      </c>
      <c r="C2491" s="2410" t="s">
        <v>1773</v>
      </c>
      <c r="D2491" s="2414" t="s">
        <v>9513</v>
      </c>
    </row>
    <row r="2492" spans="1:5" ht="12.75" customHeight="1">
      <c r="A2492" s="2410" t="str">
        <f t="shared" si="46"/>
        <v>nein</v>
      </c>
      <c r="B2492" s="2410" t="s">
        <v>3274</v>
      </c>
      <c r="C2492" s="2410" t="s">
        <v>5640</v>
      </c>
      <c r="D2492" s="2414" t="s">
        <v>1744</v>
      </c>
    </row>
    <row r="2493" spans="1:5" ht="12.75" customHeight="1">
      <c r="A2493" s="2410" t="str">
        <f t="shared" si="46"/>
        <v>ja</v>
      </c>
      <c r="B2493" s="2410" t="s">
        <v>4356</v>
      </c>
      <c r="C2493" s="2410" t="s">
        <v>5639</v>
      </c>
      <c r="D2493" s="2414" t="s">
        <v>1741</v>
      </c>
    </row>
    <row r="2494" spans="1:5" ht="12.75" customHeight="1">
      <c r="A2494" s="2410" t="str">
        <f t="shared" si="46"/>
        <v>Faktor für Ansatz</v>
      </c>
      <c r="B2494" s="2410" t="s">
        <v>5000</v>
      </c>
      <c r="C2494" s="2410" t="s">
        <v>5060</v>
      </c>
      <c r="D2494" s="2414" t="s">
        <v>5375</v>
      </c>
    </row>
    <row r="2495" spans="1:5" ht="12.75" customHeight="1">
      <c r="A2495" s="2410"/>
      <c r="B2495" s="2410"/>
      <c r="C2495" s="2410"/>
      <c r="D2495" s="2414"/>
    </row>
    <row r="2496" spans="1:5" ht="24" customHeight="1">
      <c r="A2496" s="2410" t="str">
        <f t="shared" si="46"/>
        <v>** BFF Grünland = extensiv und wenig intensiv genutzte Wiesen, extensive Weiden und Waldweiden, Uferwiesen entlang von Fliessgewässern</v>
      </c>
      <c r="B2496" s="2410" t="s">
        <v>2259</v>
      </c>
      <c r="C2496" s="2410" t="s">
        <v>6835</v>
      </c>
      <c r="D2496" s="2414" t="s">
        <v>9514</v>
      </c>
    </row>
    <row r="2497" spans="1:4" ht="12.75" customHeight="1">
      <c r="A2497" s="2410" t="str">
        <f t="shared" si="46"/>
        <v>BFF = Biodiversitätsförderflächen</v>
      </c>
      <c r="B2497" s="2410" t="s">
        <v>6470</v>
      </c>
      <c r="C2497" s="2410" t="s">
        <v>6471</v>
      </c>
      <c r="D2497" s="2414" t="s">
        <v>9515</v>
      </c>
    </row>
    <row r="2498" spans="1:4" ht="12.75" customHeight="1">
      <c r="A2498" s="2410" t="str">
        <f t="shared" si="46"/>
        <v>Fläche (ha)</v>
      </c>
      <c r="B2498" s="2410" t="s">
        <v>6410</v>
      </c>
      <c r="C2498" s="2410" t="s">
        <v>3013</v>
      </c>
      <c r="D2498" s="2414" t="s">
        <v>1267</v>
      </c>
    </row>
    <row r="2499" spans="1:4" ht="12.75" customHeight="1">
      <c r="A2499" s="2410" t="str">
        <f t="shared" si="46"/>
        <v>Betrag (CHF/ha)</v>
      </c>
      <c r="B2499" s="2410" t="s">
        <v>1686</v>
      </c>
      <c r="C2499" s="2410" t="s">
        <v>1687</v>
      </c>
      <c r="D2499" s="2414" t="s">
        <v>9516</v>
      </c>
    </row>
    <row r="2500" spans="1:4" ht="12.75" customHeight="1">
      <c r="A2500" s="2410" t="str">
        <f t="shared" si="46"/>
        <v>Zwischentotal (CHF)</v>
      </c>
      <c r="B2500" s="2410" t="s">
        <v>1688</v>
      </c>
      <c r="C2500" s="2410" t="s">
        <v>1689</v>
      </c>
      <c r="D2500" s="2414" t="s">
        <v>9517</v>
      </c>
    </row>
    <row r="2501" spans="1:4" ht="12.75" customHeight="1">
      <c r="A2501" s="2410" t="str">
        <f t="shared" si="46"/>
        <v>Total (CHF)</v>
      </c>
      <c r="B2501" s="2410" t="s">
        <v>1685</v>
      </c>
      <c r="C2501" s="2410" t="s">
        <v>1685</v>
      </c>
      <c r="D2501" s="2414" t="s">
        <v>9518</v>
      </c>
    </row>
    <row r="2502" spans="1:4" ht="12.75" customHeight="1">
      <c r="A2502" s="2410" t="str">
        <f t="shared" si="46"/>
        <v>Basisbeitrag</v>
      </c>
      <c r="B2502" s="2410" t="s">
        <v>5650</v>
      </c>
      <c r="C2502" s="2410" t="s">
        <v>5651</v>
      </c>
      <c r="D2502" s="2414" t="s">
        <v>9519</v>
      </c>
    </row>
    <row r="2503" spans="1:4" ht="12.75" customHeight="1">
      <c r="A2503" s="2410" t="str">
        <f t="shared" si="46"/>
        <v>offene Ackerfläche und Dauerkulturen (1)</v>
      </c>
      <c r="B2503" s="2410" t="s">
        <v>3543</v>
      </c>
      <c r="C2503" s="2410" t="s">
        <v>4418</v>
      </c>
      <c r="D2503" s="2414" t="s">
        <v>4419</v>
      </c>
    </row>
    <row r="2504" spans="1:4" ht="12.75" customHeight="1">
      <c r="A2504" s="2410" t="str">
        <f t="shared" si="46"/>
        <v>Kunstwiesen</v>
      </c>
      <c r="B2504" s="2410" t="s">
        <v>304</v>
      </c>
      <c r="C2504" s="2410" t="s">
        <v>32</v>
      </c>
      <c r="D2504" s="2414" t="s">
        <v>8534</v>
      </c>
    </row>
    <row r="2505" spans="1:4" ht="12.75" customHeight="1">
      <c r="A2505" s="2410" t="str">
        <f t="shared" si="46"/>
        <v>Dauergrünfläche ausser BFF</v>
      </c>
      <c r="B2505" s="2410" t="s">
        <v>6200</v>
      </c>
      <c r="C2505" s="2410" t="s">
        <v>6201</v>
      </c>
      <c r="D2505" s="2414" t="s">
        <v>9520</v>
      </c>
    </row>
    <row r="2506" spans="1:4" ht="12.75" customHeight="1">
      <c r="A2506" s="2410" t="str">
        <f t="shared" si="46"/>
        <v>BFF Grünland (2)</v>
      </c>
      <c r="B2506" s="2410" t="s">
        <v>4483</v>
      </c>
      <c r="C2506" s="2410" t="s">
        <v>4484</v>
      </c>
      <c r="D2506" s="2414" t="s">
        <v>9521</v>
      </c>
    </row>
    <row r="2507" spans="1:4" ht="12.75" customHeight="1">
      <c r="A2507" s="2410" t="str">
        <f t="shared" si="46"/>
        <v>Abstufung des Beitrags, wenn mehr als 60 ha je Betrieb:</v>
      </c>
      <c r="B2507" s="2410" t="s">
        <v>4930</v>
      </c>
      <c r="C2507" s="2410" t="s">
        <v>4931</v>
      </c>
      <c r="D2507" s="2414" t="s">
        <v>9522</v>
      </c>
    </row>
    <row r="2508" spans="1:4" ht="12.75" customHeight="1">
      <c r="A2508" s="2410" t="str">
        <f t="shared" si="46"/>
        <v>Fläche zwischen</v>
      </c>
      <c r="B2508" s="2410" t="s">
        <v>2001</v>
      </c>
      <c r="C2508" s="2410" t="s">
        <v>4773</v>
      </c>
      <c r="D2508" s="2414" t="s">
        <v>9523</v>
      </c>
    </row>
    <row r="2509" spans="1:4" ht="12.75" customHeight="1">
      <c r="A2509" s="2410" t="str">
        <f t="shared" si="46"/>
        <v>Abstufung</v>
      </c>
      <c r="B2509" s="2410" t="s">
        <v>4774</v>
      </c>
      <c r="C2509" s="2410" t="s">
        <v>4775</v>
      </c>
      <c r="D2509" s="2414" t="s">
        <v>5376</v>
      </c>
    </row>
    <row r="2510" spans="1:4" ht="12.75" customHeight="1">
      <c r="A2510" s="2410" t="str">
        <f t="shared" si="46"/>
        <v>gewichtete Fläche</v>
      </c>
      <c r="B2510" s="2410" t="s">
        <v>5851</v>
      </c>
      <c r="C2510" s="2410" t="s">
        <v>5852</v>
      </c>
      <c r="D2510" s="2414" t="s">
        <v>5377</v>
      </c>
    </row>
    <row r="2511" spans="1:4" ht="12.75" customHeight="1">
      <c r="A2511" s="2410" t="str">
        <f t="shared" si="46"/>
        <v>gesamte Fläche</v>
      </c>
      <c r="B2511" s="2410" t="s">
        <v>2646</v>
      </c>
      <c r="C2511" s="2410" t="s">
        <v>2647</v>
      </c>
      <c r="D2511" s="2414" t="s">
        <v>5378</v>
      </c>
    </row>
    <row r="2512" spans="1:4" ht="12.75" customHeight="1">
      <c r="A2512" s="2410" t="str">
        <f t="shared" si="46"/>
        <v>Zwischentotal des Basisbeitrags</v>
      </c>
      <c r="B2512" s="2410" t="s">
        <v>5163</v>
      </c>
      <c r="C2512" s="2410" t="s">
        <v>5</v>
      </c>
      <c r="D2512" s="2414" t="s">
        <v>9524</v>
      </c>
    </row>
    <row r="2513" spans="1:4" ht="12.75" customHeight="1">
      <c r="A2513" s="2410" t="str">
        <f t="shared" si="46"/>
        <v>Beitrag total</v>
      </c>
      <c r="B2513" s="2410" t="s">
        <v>2953</v>
      </c>
      <c r="C2513" s="2410" t="s">
        <v>4845</v>
      </c>
      <c r="D2513" s="2414" t="s">
        <v>9525</v>
      </c>
    </row>
    <row r="2514" spans="1:4" ht="12.75" customHeight="1">
      <c r="A2514" s="2410" t="str">
        <f t="shared" si="46"/>
        <v>Einzelbetrieb oder Gemeinschaft</v>
      </c>
      <c r="B2514" s="2410" t="s">
        <v>4047</v>
      </c>
      <c r="C2514" s="2410" t="s">
        <v>7257</v>
      </c>
      <c r="D2514" s="2414" t="s">
        <v>3694</v>
      </c>
    </row>
    <row r="2515" spans="1:4" ht="12.75" customHeight="1">
      <c r="A2515" s="2410" t="str">
        <f t="shared" si="46"/>
        <v>Einzelbetrieb</v>
      </c>
      <c r="B2515" s="2410" t="s">
        <v>5117</v>
      </c>
      <c r="C2515" s="2410" t="s">
        <v>1838</v>
      </c>
      <c r="D2515" s="2414" t="s">
        <v>3695</v>
      </c>
    </row>
    <row r="2516" spans="1:4" ht="12.75" customHeight="1">
      <c r="A2516" s="2410" t="str">
        <f t="shared" si="46"/>
        <v>BG mit 2 Betrieben</v>
      </c>
      <c r="B2516" s="2410" t="s">
        <v>7244</v>
      </c>
      <c r="C2516" s="2410" t="s">
        <v>1839</v>
      </c>
      <c r="D2516" s="2414" t="s">
        <v>3696</v>
      </c>
    </row>
    <row r="2517" spans="1:4" ht="12.75" customHeight="1">
      <c r="A2517" s="2410" t="str">
        <f t="shared" si="46"/>
        <v>BG mit 3 Betrieben</v>
      </c>
      <c r="B2517" s="2410" t="s">
        <v>7245</v>
      </c>
      <c r="C2517" s="2410" t="s">
        <v>1840</v>
      </c>
      <c r="D2517" s="2414" t="s">
        <v>3697</v>
      </c>
    </row>
    <row r="2518" spans="1:4" ht="12.75" customHeight="1">
      <c r="A2518" s="2410" t="str">
        <f t="shared" si="46"/>
        <v>BG mit 4 Betrieben</v>
      </c>
      <c r="B2518" s="2410" t="s">
        <v>7246</v>
      </c>
      <c r="C2518" s="2410" t="s">
        <v>1841</v>
      </c>
      <c r="D2518" s="2414" t="s">
        <v>3698</v>
      </c>
    </row>
    <row r="2519" spans="1:4" ht="12.75" customHeight="1">
      <c r="A2519" s="2410" t="str">
        <f t="shared" si="46"/>
        <v>BG mit 5 Betrieben</v>
      </c>
      <c r="B2519" s="2410" t="s">
        <v>7247</v>
      </c>
      <c r="C2519" s="2410" t="s">
        <v>5116</v>
      </c>
      <c r="D2519" s="2414" t="s">
        <v>3699</v>
      </c>
    </row>
    <row r="2520" spans="1:4" ht="12.75" customHeight="1">
      <c r="A2520" s="2410" t="str">
        <f t="shared" si="46"/>
        <v>Reduktion des Beitrags für Grünland infolge Nichterreichen des Mindesttierbesatzes</v>
      </c>
      <c r="B2520" s="2410" t="s">
        <v>3156</v>
      </c>
      <c r="C2520" s="2410" t="s">
        <v>5128</v>
      </c>
      <c r="D2520" s="2414" t="s">
        <v>3700</v>
      </c>
    </row>
    <row r="2521" spans="1:4" ht="12.75" customHeight="1">
      <c r="A2521" s="2410" t="str">
        <f t="shared" si="46"/>
        <v>Basisbeitrag total</v>
      </c>
      <c r="B2521" s="2410" t="s">
        <v>2952</v>
      </c>
      <c r="C2521" s="2410" t="s">
        <v>7258</v>
      </c>
      <c r="D2521" s="2414" t="s">
        <v>9526</v>
      </c>
    </row>
    <row r="2522" spans="1:4" ht="12.75" customHeight="1">
      <c r="A2522" s="2410" t="str">
        <f t="shared" si="46"/>
        <v>Produktionserschwernisbeitrag</v>
      </c>
      <c r="B2522" s="2410" t="s">
        <v>7106</v>
      </c>
      <c r="C2522" s="2410" t="s">
        <v>7107</v>
      </c>
      <c r="D2522" s="2414" t="s">
        <v>5110</v>
      </c>
    </row>
    <row r="2523" spans="1:4" ht="12.75" customHeight="1">
      <c r="A2523" s="2410" t="str">
        <f t="shared" si="46"/>
        <v>Beitrag für die offene Ackerfläche und Dauerkulturen</v>
      </c>
      <c r="B2523" s="2410" t="s">
        <v>7108</v>
      </c>
      <c r="C2523" s="2410" t="s">
        <v>1957</v>
      </c>
      <c r="D2523" s="2414" t="s">
        <v>1495</v>
      </c>
    </row>
    <row r="2524" spans="1:4" ht="24" customHeight="1">
      <c r="A2524" s="2410" t="str">
        <f t="shared" si="46"/>
        <v>Korrektur für Flächen im Ausland und nicht beitragsberechtigtes Bauland</v>
      </c>
      <c r="B2524" s="2410" t="s">
        <v>1086</v>
      </c>
      <c r="C2524" s="2410" t="s">
        <v>1087</v>
      </c>
      <c r="D2524" s="2414" t="s">
        <v>9527</v>
      </c>
    </row>
    <row r="2525" spans="1:4" ht="12.75" customHeight="1">
      <c r="A2525" s="2410" t="str">
        <f t="shared" si="46"/>
        <v>Total Versorgungssicherheitsbeiträge</v>
      </c>
      <c r="B2525" s="2410" t="s">
        <v>6790</v>
      </c>
      <c r="C2525" s="2410" t="s">
        <v>5812</v>
      </c>
      <c r="D2525" s="2414" t="s">
        <v>9528</v>
      </c>
    </row>
    <row r="2526" spans="1:4" ht="12.75" customHeight="1">
      <c r="A2526" s="2410" t="str">
        <f t="shared" si="46"/>
        <v>Beiträge für einzelne Kulturen (nach Einzelkulturbeitragsverordnung)</v>
      </c>
      <c r="B2526" s="2410" t="s">
        <v>3712</v>
      </c>
      <c r="C2526" s="2410" t="s">
        <v>2734</v>
      </c>
      <c r="D2526" s="2414" t="s">
        <v>9529</v>
      </c>
    </row>
    <row r="2527" spans="1:4" ht="12.75" customHeight="1">
      <c r="A2527" s="2410" t="str">
        <f t="shared" si="46"/>
        <v>Raps, Sonnenblumen, Öllein</v>
      </c>
      <c r="B2527" s="2410" t="s">
        <v>4624</v>
      </c>
      <c r="C2527" s="2410" t="s">
        <v>3903</v>
      </c>
      <c r="D2527" s="2414" t="s">
        <v>9530</v>
      </c>
    </row>
    <row r="2528" spans="1:4" ht="12.75" customHeight="1">
      <c r="A2528" s="2410" t="str">
        <f t="shared" si="46"/>
        <v>Ölkürbisse, Mohn und Saflor</v>
      </c>
      <c r="B2528" s="2410" t="s">
        <v>3802</v>
      </c>
      <c r="C2528" s="2410" t="s">
        <v>1678</v>
      </c>
      <c r="D2528" s="2414" t="s">
        <v>9531</v>
      </c>
    </row>
    <row r="2529" spans="1:4" ht="12.75" customHeight="1">
      <c r="A2529" s="2410" t="str">
        <f t="shared" si="46"/>
        <v>Saatgut von Kartoffeln und Mais</v>
      </c>
      <c r="B2529" s="2410" t="s">
        <v>1676</v>
      </c>
      <c r="C2529" s="2410" t="s">
        <v>1677</v>
      </c>
      <c r="D2529" s="2414" t="s">
        <v>11217</v>
      </c>
    </row>
    <row r="2530" spans="1:4" ht="12.75" customHeight="1">
      <c r="A2530" s="2410" t="str">
        <f t="shared" si="46"/>
        <v>Soja</v>
      </c>
      <c r="B2530" s="2410" t="s">
        <v>6152</v>
      </c>
      <c r="C2530" s="2410" t="s">
        <v>6152</v>
      </c>
      <c r="D2530" s="2414" t="s">
        <v>4623</v>
      </c>
    </row>
    <row r="2531" spans="1:4" ht="12.75" customHeight="1">
      <c r="A2531" s="2410" t="str">
        <f t="shared" si="46"/>
        <v>Ackerbohnen, Eiweisserbsen</v>
      </c>
      <c r="B2531" s="2410" t="s">
        <v>4847</v>
      </c>
      <c r="C2531" s="2410" t="s">
        <v>626</v>
      </c>
      <c r="D2531" s="2414" t="s">
        <v>9532</v>
      </c>
    </row>
    <row r="2532" spans="1:4" ht="12.75" customHeight="1">
      <c r="A2532" s="2410" t="str">
        <f t="shared" si="46"/>
        <v>Lupinen zu Futterzwecken, Saatgut von Futtergräsern und Futterleguminosen</v>
      </c>
      <c r="B2532" s="2410" t="s">
        <v>1136</v>
      </c>
      <c r="C2532" s="2410" t="s">
        <v>1135</v>
      </c>
      <c r="D2532" s="2414" t="s">
        <v>9533</v>
      </c>
    </row>
    <row r="2533" spans="1:4" ht="12.75" customHeight="1">
      <c r="A2533" s="2410" t="str">
        <f t="shared" ref="A2533:A2600" si="47">IF($A$2=1,B2533,IF($A$2=2,C2533,IF($A$2=3,IF(D2533="",C2533,D2533),"")))</f>
        <v>Zuckerrüben zur Zuckerherstellung</v>
      </c>
      <c r="B2533" s="2410" t="s">
        <v>4848</v>
      </c>
      <c r="C2533" s="2410" t="s">
        <v>2009</v>
      </c>
      <c r="D2533" s="2414" t="s">
        <v>9534</v>
      </c>
    </row>
    <row r="2534" spans="1:4" ht="12.75" customHeight="1">
      <c r="A2534" s="2410" t="str">
        <f t="shared" si="47"/>
        <v>Zusatzbeitrag f. Zuckerr. z. Zuckerherst. bei Bio oder Verzicht auf Fungizid- und Herbizideinsatz</v>
      </c>
      <c r="B2534" s="2776" t="s">
        <v>11829</v>
      </c>
      <c r="C2534" s="2410" t="s">
        <v>12003</v>
      </c>
      <c r="D2534" s="2414" t="s">
        <v>12004</v>
      </c>
    </row>
    <row r="2535" spans="1:4" ht="12.75" customHeight="1">
      <c r="A2535" s="2410" t="str">
        <f t="shared" si="47"/>
        <v>Getreidezulage</v>
      </c>
      <c r="B2535" s="2410" t="s">
        <v>1137</v>
      </c>
      <c r="C2535" s="2410" t="s">
        <v>1138</v>
      </c>
      <c r="D2535" s="2414" t="s">
        <v>10399</v>
      </c>
    </row>
    <row r="2536" spans="1:4" ht="12.75" customHeight="1">
      <c r="A2536" s="2410" t="str">
        <f t="shared" si="47"/>
        <v>Korrektur für Flächen im Ausland</v>
      </c>
      <c r="B2536" s="2410" t="s">
        <v>6694</v>
      </c>
      <c r="C2536" s="2410" t="s">
        <v>3275</v>
      </c>
      <c r="D2536" s="2414" t="s">
        <v>9535</v>
      </c>
    </row>
    <row r="2537" spans="1:4" ht="12.75" customHeight="1">
      <c r="A2537" s="2410" t="str">
        <f t="shared" si="47"/>
        <v>Total Einzelkulturbeiträge</v>
      </c>
      <c r="B2537" s="2410" t="s">
        <v>4846</v>
      </c>
      <c r="C2537" s="2410" t="s">
        <v>5472</v>
      </c>
      <c r="D2537" s="2414" t="s">
        <v>9536</v>
      </c>
    </row>
    <row r="2538" spans="1:4" ht="12.75" customHeight="1">
      <c r="A2538" s="2410">
        <f t="shared" si="47"/>
        <v>0</v>
      </c>
      <c r="B2538" s="2410"/>
      <c r="C2538" s="2410"/>
      <c r="D2538" s="2414"/>
    </row>
    <row r="2539" spans="1:4" ht="12.75" customHeight="1">
      <c r="A2539" s="2410" t="str">
        <f t="shared" si="47"/>
        <v>Biodiversitätsbeiträge (BDB, Art. 55 bis 60 und Anhang 7 DZV)</v>
      </c>
      <c r="B2539" s="2410" t="s">
        <v>3691</v>
      </c>
      <c r="C2539" s="2410" t="s">
        <v>3965</v>
      </c>
      <c r="D2539" s="2414" t="s">
        <v>9537</v>
      </c>
    </row>
    <row r="2540" spans="1:4" ht="12.75" customHeight="1">
      <c r="A2540" s="2410" t="str">
        <f t="shared" si="47"/>
        <v>Biodiversitätsförderfläche</v>
      </c>
      <c r="B2540" s="2410" t="s">
        <v>28</v>
      </c>
      <c r="C2540" s="2410" t="s">
        <v>4439</v>
      </c>
      <c r="D2540" s="2414" t="s">
        <v>9538</v>
      </c>
    </row>
    <row r="2541" spans="1:4" ht="12.75" customHeight="1">
      <c r="A2541" s="2410" t="str">
        <f t="shared" si="47"/>
        <v>Fläche auf verschiedene Zonen aufteilen</v>
      </c>
      <c r="B2541" s="2410" t="s">
        <v>5601</v>
      </c>
      <c r="C2541" s="2410" t="s">
        <v>1773</v>
      </c>
      <c r="D2541" s="2414" t="s">
        <v>9470</v>
      </c>
    </row>
    <row r="2542" spans="1:4" ht="12.75" customHeight="1">
      <c r="A2542" s="2410">
        <f t="shared" si="47"/>
        <v>0</v>
      </c>
      <c r="B2542" s="2410"/>
      <c r="C2542" s="2410"/>
      <c r="D2542" s="2414"/>
    </row>
    <row r="2543" spans="1:4" ht="12.75" customHeight="1">
      <c r="A2543" s="2410">
        <f t="shared" si="47"/>
        <v>0</v>
      </c>
      <c r="B2543" s="2410"/>
      <c r="C2543" s="2410" t="s">
        <v>2103</v>
      </c>
      <c r="D2543" s="2414" t="s">
        <v>9539</v>
      </c>
    </row>
    <row r="2544" spans="1:4" ht="12.75" customHeight="1">
      <c r="A2544" s="2410" t="str">
        <f t="shared" si="47"/>
        <v>Qualitätsstufe I</v>
      </c>
      <c r="B2544" s="2410" t="s">
        <v>1906</v>
      </c>
      <c r="C2544" s="2410" t="s">
        <v>5229</v>
      </c>
      <c r="D2544" s="2414" t="s">
        <v>9540</v>
      </c>
    </row>
    <row r="2545" spans="1:4" ht="12.75" customHeight="1">
      <c r="A2545" s="2410">
        <f t="shared" si="47"/>
        <v>0</v>
      </c>
      <c r="B2545" s="2410"/>
      <c r="C2545" s="2410"/>
      <c r="D2545" s="2414"/>
    </row>
    <row r="2546" spans="1:4" ht="12.75" customHeight="1">
      <c r="A2546" s="2410">
        <f t="shared" si="47"/>
        <v>0</v>
      </c>
      <c r="B2546" s="2410"/>
      <c r="C2546" s="2410"/>
      <c r="D2546" s="2414"/>
    </row>
    <row r="2547" spans="1:4" ht="12.75" customHeight="1">
      <c r="A2547" s="2410">
        <f t="shared" si="47"/>
        <v>0</v>
      </c>
      <c r="B2547" s="2410"/>
      <c r="C2547" s="2410"/>
      <c r="D2547" s="2414"/>
    </row>
    <row r="2548" spans="1:4" ht="12.75" customHeight="1">
      <c r="A2548" s="2410" t="str">
        <f t="shared" si="47"/>
        <v>Extensiv genutzte Wiesen*</v>
      </c>
      <c r="B2548" s="2410" t="s">
        <v>1649</v>
      </c>
      <c r="C2548" s="2410" t="s">
        <v>5232</v>
      </c>
      <c r="D2548" s="2414" t="s">
        <v>9541</v>
      </c>
    </row>
    <row r="2549" spans="1:4" ht="12.75" customHeight="1">
      <c r="A2549" s="2410" t="str">
        <f t="shared" si="47"/>
        <v>Streueflächen*</v>
      </c>
      <c r="B2549" s="2410" t="s">
        <v>1650</v>
      </c>
      <c r="C2549" s="2410" t="s">
        <v>6996</v>
      </c>
      <c r="D2549" s="2414" t="s">
        <v>9542</v>
      </c>
    </row>
    <row r="2550" spans="1:4" ht="12.75" customHeight="1">
      <c r="A2550" s="2410" t="str">
        <f t="shared" si="47"/>
        <v>Wenig intensiv genutzte Wiesen*</v>
      </c>
      <c r="B2550" s="2410" t="s">
        <v>3328</v>
      </c>
      <c r="C2550" s="2410" t="s">
        <v>3329</v>
      </c>
      <c r="D2550" s="2414" t="s">
        <v>9543</v>
      </c>
    </row>
    <row r="2551" spans="1:4" ht="12.75" customHeight="1">
      <c r="A2551" s="2410" t="str">
        <f t="shared" si="47"/>
        <v xml:space="preserve">Extensiv genutzte Weiden </v>
      </c>
      <c r="B2551" s="2410" t="s">
        <v>3330</v>
      </c>
      <c r="C2551" s="2410" t="s">
        <v>5068</v>
      </c>
      <c r="D2551" s="2414" t="s">
        <v>9544</v>
      </c>
    </row>
    <row r="2552" spans="1:4" ht="12.75" customHeight="1">
      <c r="A2552" s="2410" t="str">
        <f t="shared" si="47"/>
        <v>und Waldweiden</v>
      </c>
      <c r="B2552" s="2410" t="s">
        <v>3331</v>
      </c>
      <c r="C2552" s="2410" t="s">
        <v>3332</v>
      </c>
      <c r="D2552" s="2414" t="s">
        <v>9545</v>
      </c>
    </row>
    <row r="2553" spans="1:4" ht="12.75" customHeight="1">
      <c r="A2553" s="2410" t="str">
        <f t="shared" si="47"/>
        <v>Hecken, Feld- und Ufergehölze</v>
      </c>
      <c r="B2553" s="2410" t="s">
        <v>5524</v>
      </c>
      <c r="C2553" s="2410" t="s">
        <v>7281</v>
      </c>
      <c r="D2553" s="2414" t="s">
        <v>8583</v>
      </c>
    </row>
    <row r="2554" spans="1:4" ht="12.75" customHeight="1">
      <c r="A2554" s="2410" t="str">
        <f t="shared" si="47"/>
        <v>Buntbrache TZ und HZ</v>
      </c>
      <c r="B2554" s="2410" t="s">
        <v>5671</v>
      </c>
      <c r="C2554" s="2410" t="s">
        <v>1413</v>
      </c>
      <c r="D2554" s="2414" t="s">
        <v>9546</v>
      </c>
    </row>
    <row r="2555" spans="1:4" ht="12.75" customHeight="1">
      <c r="A2555" s="2410" t="str">
        <f t="shared" si="47"/>
        <v>Rotationsbrache TZ und HZ</v>
      </c>
      <c r="B2555" s="2410" t="s">
        <v>6371</v>
      </c>
      <c r="C2555" s="2410" t="s">
        <v>3868</v>
      </c>
      <c r="D2555" s="2414" t="s">
        <v>9547</v>
      </c>
    </row>
    <row r="2556" spans="1:4" ht="12.75" customHeight="1">
      <c r="A2556" s="2410" t="str">
        <f t="shared" si="47"/>
        <v>Ackerschonstreifen</v>
      </c>
      <c r="B2556" s="2410" t="s">
        <v>3140</v>
      </c>
      <c r="C2556" s="2410" t="s">
        <v>2546</v>
      </c>
      <c r="D2556" s="2414" t="s">
        <v>9548</v>
      </c>
    </row>
    <row r="2557" spans="1:4" ht="12.75" customHeight="1">
      <c r="A2557" s="2410" t="str">
        <f>IF($A$2=1,B2557,IF($A$2=2,C2557,IF($A$2=3,IF(D2557="",C2557,D2557),"")))</f>
        <v>Getreide in weiter Reihe</v>
      </c>
      <c r="B2557" s="2410" t="s">
        <v>11350</v>
      </c>
      <c r="C2557" s="2410" t="s">
        <v>11352</v>
      </c>
      <c r="D2557" s="2414" t="s">
        <v>11351</v>
      </c>
    </row>
    <row r="2558" spans="1:4" ht="12.75" customHeight="1">
      <c r="A2558" s="2410" t="str">
        <f t="shared" si="47"/>
        <v>Saum auf Ackerfläche TZ - B II</v>
      </c>
      <c r="B2558" s="2410" t="s">
        <v>865</v>
      </c>
      <c r="C2558" s="2410" t="s">
        <v>5684</v>
      </c>
      <c r="D2558" s="2414" t="s">
        <v>9549</v>
      </c>
    </row>
    <row r="2559" spans="1:4" ht="12.75" customHeight="1">
      <c r="A2559" s="2410" t="str">
        <f t="shared" si="47"/>
        <v>Uferwiesen entlang von Fliessgewässern</v>
      </c>
      <c r="B2559" s="2410" t="s">
        <v>2816</v>
      </c>
      <c r="C2559" s="2410" t="s">
        <v>3869</v>
      </c>
      <c r="D2559" s="2414" t="s">
        <v>8546</v>
      </c>
    </row>
    <row r="2560" spans="1:4" ht="12.75" customHeight="1">
      <c r="A2560" s="2410" t="str">
        <f t="shared" si="47"/>
        <v>Einh.</v>
      </c>
      <c r="B2560" s="2410" t="s">
        <v>507</v>
      </c>
      <c r="C2560" s="2410" t="s">
        <v>6215</v>
      </c>
      <c r="D2560" s="2414" t="s">
        <v>1418</v>
      </c>
    </row>
    <row r="2561" spans="1:4" ht="12.75" customHeight="1">
      <c r="A2561" s="2410" t="str">
        <f t="shared" si="47"/>
        <v>Anzahl</v>
      </c>
      <c r="B2561" s="2410" t="s">
        <v>7044</v>
      </c>
      <c r="C2561" s="2410" t="s">
        <v>5260</v>
      </c>
      <c r="D2561" s="2414" t="s">
        <v>3773</v>
      </c>
    </row>
    <row r="2562" spans="1:4" ht="12.75" customHeight="1">
      <c r="A2562" s="2410" t="str">
        <f t="shared" si="47"/>
        <v>CHF/Einh.</v>
      </c>
      <c r="B2562" s="2410" t="s">
        <v>1691</v>
      </c>
      <c r="C2562" s="2410" t="s">
        <v>1692</v>
      </c>
      <c r="D2562" s="2414" t="s">
        <v>9550</v>
      </c>
    </row>
    <row r="2563" spans="1:4" ht="12.75" customHeight="1">
      <c r="A2563" s="2410" t="str">
        <f t="shared" si="47"/>
        <v>ha</v>
      </c>
      <c r="B2563" s="2410" t="s">
        <v>5675</v>
      </c>
      <c r="C2563" s="2410" t="s">
        <v>5675</v>
      </c>
      <c r="D2563" s="2414" t="s">
        <v>5675</v>
      </c>
    </row>
    <row r="2564" spans="1:4" ht="12.75" customHeight="1">
      <c r="A2564" s="2410" t="str">
        <f t="shared" si="47"/>
        <v>Stück</v>
      </c>
      <c r="B2564" s="2410" t="s">
        <v>4322</v>
      </c>
      <c r="C2564" s="2410" t="s">
        <v>498</v>
      </c>
      <c r="D2564" s="2414" t="s">
        <v>8569</v>
      </c>
    </row>
    <row r="2565" spans="1:4" ht="12.75" customHeight="1">
      <c r="A2565" s="2410" t="str">
        <f t="shared" si="47"/>
        <v>Total/CHF</v>
      </c>
      <c r="B2565" s="2410" t="s">
        <v>1694</v>
      </c>
      <c r="C2565" s="2410" t="s">
        <v>1694</v>
      </c>
      <c r="D2565" s="2414" t="s">
        <v>9518</v>
      </c>
    </row>
    <row r="2566" spans="1:4" ht="12.75" customHeight="1">
      <c r="A2566" s="2410" t="str">
        <f t="shared" si="47"/>
        <v>Summe der Beiträge</v>
      </c>
      <c r="B2566" s="2410" t="s">
        <v>2657</v>
      </c>
      <c r="C2566" s="2410" t="s">
        <v>2658</v>
      </c>
      <c r="D2566" s="2414" t="s">
        <v>2659</v>
      </c>
    </row>
    <row r="2567" spans="1:4" ht="12.75" customHeight="1">
      <c r="A2567" s="2410" t="str">
        <f t="shared" si="47"/>
        <v>Pauschalbetrag</v>
      </c>
      <c r="B2567" s="2410" t="s">
        <v>3592</v>
      </c>
      <c r="C2567" s="2410" t="s">
        <v>1090</v>
      </c>
      <c r="D2567" s="2414" t="s">
        <v>6409</v>
      </c>
    </row>
    <row r="2568" spans="1:4" ht="12.75" customHeight="1">
      <c r="A2568" s="2410" t="str">
        <f t="shared" si="47"/>
        <v>Für pauschale Eingabe das Kontrollkästchen aktivieren</v>
      </c>
      <c r="B2568" s="2410" t="s">
        <v>5936</v>
      </c>
      <c r="C2568" s="2410" t="s">
        <v>864</v>
      </c>
      <c r="D2568" s="2414" t="s">
        <v>11218</v>
      </c>
    </row>
    <row r="2569" spans="1:4" ht="12.75" customHeight="1">
      <c r="A2569" s="2410" t="str">
        <f t="shared" si="47"/>
        <v>Qualitätsstufe II</v>
      </c>
      <c r="B2569" s="2410" t="s">
        <v>26</v>
      </c>
      <c r="C2569" s="2410" t="s">
        <v>5230</v>
      </c>
      <c r="D2569" s="2414" t="s">
        <v>9551</v>
      </c>
    </row>
    <row r="2570" spans="1:4" ht="12.75" customHeight="1">
      <c r="A2570" s="2410">
        <f t="shared" si="47"/>
        <v>0</v>
      </c>
      <c r="B2570" s="2410"/>
      <c r="C2570" s="2410"/>
      <c r="D2570" s="2414"/>
    </row>
    <row r="2571" spans="1:4" ht="12.75" customHeight="1">
      <c r="A2571" s="2410" t="str">
        <f t="shared" si="47"/>
        <v>Nützlingsstreifen TZ und HZ</v>
      </c>
      <c r="B2571" s="2781" t="s">
        <v>11854</v>
      </c>
      <c r="C2571" s="2781" t="s">
        <v>11855</v>
      </c>
      <c r="D2571" s="2780" t="s">
        <v>11853</v>
      </c>
    </row>
    <row r="2572" spans="1:4" ht="12.75" customHeight="1">
      <c r="A2572" s="2410" t="str">
        <f t="shared" si="47"/>
        <v>Rebflächen m. natürlicher Artenvielfalt</v>
      </c>
      <c r="B2572" s="2410" t="s">
        <v>7458</v>
      </c>
      <c r="C2572" s="2410" t="s">
        <v>1580</v>
      </c>
      <c r="D2572" s="2414" t="s">
        <v>9552</v>
      </c>
    </row>
    <row r="2573" spans="1:4" ht="12.75" customHeight="1">
      <c r="A2573" s="2410" t="str">
        <f t="shared" si="47"/>
        <v>Uferwiese entlang von Fliessgewässern</v>
      </c>
      <c r="B2573" s="2410" t="s">
        <v>5926</v>
      </c>
      <c r="C2573" s="2410" t="s">
        <v>1618</v>
      </c>
      <c r="D2573" s="2414" t="s">
        <v>8546</v>
      </c>
    </row>
    <row r="2574" spans="1:4" ht="12.75" customHeight="1">
      <c r="A2574" s="2410" t="str">
        <f t="shared" si="47"/>
        <v>Artenreiche Grün- und Streue-</v>
      </c>
      <c r="B2574" s="2410" t="s">
        <v>30</v>
      </c>
      <c r="C2574" s="2410" t="s">
        <v>495</v>
      </c>
      <c r="D2574" s="2414" t="s">
        <v>9553</v>
      </c>
    </row>
    <row r="2575" spans="1:4" ht="12.75" customHeight="1">
      <c r="A2575" s="2410" t="str">
        <f t="shared" si="47"/>
        <v>flächen im Sömmerungsgebiet</v>
      </c>
      <c r="B2575" s="2410" t="s">
        <v>31</v>
      </c>
      <c r="C2575" s="2410" t="s">
        <v>496</v>
      </c>
      <c r="D2575" s="2414" t="s">
        <v>9554</v>
      </c>
    </row>
    <row r="2576" spans="1:4" ht="12.75" customHeight="1">
      <c r="A2576" s="2410" t="str">
        <f t="shared" si="47"/>
        <v>Hochstamm-Feldobstbäume</v>
      </c>
      <c r="B2576" s="2410" t="s">
        <v>4514</v>
      </c>
      <c r="C2576" s="2410" t="s">
        <v>2547</v>
      </c>
      <c r="D2576" s="2414" t="s">
        <v>9555</v>
      </c>
    </row>
    <row r="2577" spans="1:4" ht="12.75" customHeight="1">
      <c r="A2577" s="2410" t="str">
        <f t="shared" si="47"/>
        <v>Nussbäume***</v>
      </c>
      <c r="B2577" s="2410" t="s">
        <v>2066</v>
      </c>
      <c r="C2577" s="2410" t="s">
        <v>3870</v>
      </c>
      <c r="D2577" s="2414" t="s">
        <v>9556</v>
      </c>
    </row>
    <row r="2578" spans="1:4" ht="24" customHeight="1">
      <c r="A2578" s="2410" t="str">
        <f t="shared" si="47"/>
        <v>Die Flächenanteile sind der Betriebszone zugeordnet. Zum Ändern Kontrollkästchen aktivieren.</v>
      </c>
      <c r="B2578" s="2410" t="s">
        <v>228</v>
      </c>
      <c r="C2578" s="2410" t="s">
        <v>2152</v>
      </c>
      <c r="D2578" s="2414" t="s">
        <v>9557</v>
      </c>
    </row>
    <row r="2579" spans="1:4" ht="12.75" customHeight="1">
      <c r="A2579" s="2410" t="str">
        <f t="shared" si="47"/>
        <v>Die Beiträge können abweichen, da der Kanton die Beitragsansätze für die Vernetzung festlegt.</v>
      </c>
      <c r="B2579" s="2410" t="s">
        <v>501</v>
      </c>
      <c r="C2579" s="2410" t="s">
        <v>2475</v>
      </c>
      <c r="D2579" s="2414" t="s">
        <v>9558</v>
      </c>
    </row>
    <row r="2580" spans="1:4" ht="24" customHeight="1">
      <c r="A2580" s="2410" t="str">
        <f t="shared" si="47"/>
        <v>Für Nussbäume, die 2013 in einer Verpflichtungsdauer (6 Jahre) sind, werden bis Ende dieser Dauer CHF 30.- bezahlt.</v>
      </c>
      <c r="B2580" s="2410" t="s">
        <v>1103</v>
      </c>
      <c r="C2580" s="2410" t="s">
        <v>1104</v>
      </c>
      <c r="D2580" s="2414" t="s">
        <v>9498</v>
      </c>
    </row>
    <row r="2581" spans="1:4" ht="12.75" customHeight="1">
      <c r="A2581" s="2410" t="str">
        <f t="shared" si="47"/>
        <v>Total je Kategorie</v>
      </c>
      <c r="B2581" s="2410" t="s">
        <v>1088</v>
      </c>
      <c r="C2581" s="2410" t="s">
        <v>1089</v>
      </c>
      <c r="D2581" s="2414" t="s">
        <v>9559</v>
      </c>
    </row>
    <row r="2582" spans="1:4" ht="12.75" customHeight="1">
      <c r="A2582" s="2410" t="str">
        <f t="shared" si="47"/>
        <v>Talzone</v>
      </c>
      <c r="B2582" s="2417" t="s">
        <v>3966</v>
      </c>
      <c r="C2582" s="2417" t="s">
        <v>7115</v>
      </c>
      <c r="D2582" s="2414" t="s">
        <v>7116</v>
      </c>
    </row>
    <row r="2583" spans="1:4" ht="12.75" customHeight="1">
      <c r="A2583" s="2410" t="str">
        <f t="shared" si="47"/>
        <v>Hügelzone</v>
      </c>
      <c r="B2583" s="2417" t="s">
        <v>7185</v>
      </c>
      <c r="C2583" s="2417" t="s">
        <v>5818</v>
      </c>
      <c r="D2583" s="2414" t="s">
        <v>7117</v>
      </c>
    </row>
    <row r="2584" spans="1:4" ht="12.75" customHeight="1">
      <c r="A2584" s="2410" t="str">
        <f t="shared" si="47"/>
        <v>Bergzone I und II</v>
      </c>
      <c r="B2584" s="2417" t="s">
        <v>1091</v>
      </c>
      <c r="C2584" s="2417" t="s">
        <v>4969</v>
      </c>
      <c r="D2584" s="2414" t="s">
        <v>9560</v>
      </c>
    </row>
    <row r="2585" spans="1:4" ht="12.75" customHeight="1">
      <c r="A2585" s="2410" t="str">
        <f t="shared" si="47"/>
        <v>Bergzone III und IV</v>
      </c>
      <c r="B2585" s="2417" t="s">
        <v>1092</v>
      </c>
      <c r="C2585" s="2417" t="s">
        <v>4970</v>
      </c>
      <c r="D2585" s="2414" t="s">
        <v>9561</v>
      </c>
    </row>
    <row r="2586" spans="1:4" ht="12.75" customHeight="1">
      <c r="A2586" s="2410" t="str">
        <f t="shared" si="47"/>
        <v>Talzone bis Bergzone II</v>
      </c>
      <c r="B2586" s="2410" t="s">
        <v>1093</v>
      </c>
      <c r="C2586" s="2410" t="s">
        <v>4971</v>
      </c>
      <c r="D2586" s="2414" t="s">
        <v>9562</v>
      </c>
    </row>
    <row r="2587" spans="1:4" ht="12.75" customHeight="1">
      <c r="A2587" s="2410" t="str">
        <f t="shared" si="47"/>
        <v>*****</v>
      </c>
      <c r="B2587" s="2417" t="s">
        <v>3084</v>
      </c>
      <c r="C2587" s="2417" t="s">
        <v>3084</v>
      </c>
      <c r="D2587" s="2414" t="s">
        <v>3084</v>
      </c>
    </row>
    <row r="2588" spans="1:4" ht="12.75" customHeight="1">
      <c r="A2588" s="2410" t="str">
        <f t="shared" si="47"/>
        <v>Qualitätsstufe III</v>
      </c>
      <c r="B2588" s="2410" t="s">
        <v>27</v>
      </c>
      <c r="C2588" s="2410" t="s">
        <v>5231</v>
      </c>
      <c r="D2588" s="2414" t="s">
        <v>9563</v>
      </c>
    </row>
    <row r="2589" spans="1:4" ht="12.75" customHeight="1">
      <c r="A2589" s="2410" t="str">
        <f t="shared" si="47"/>
        <v>Die Beiträge für die Qualitätsstufe III treten 2016 aufgrund der administrativen Vereinfachung nicht in Kraft.</v>
      </c>
      <c r="B2589" s="2410" t="s">
        <v>3085</v>
      </c>
      <c r="C2589" s="2410" t="s">
        <v>3089</v>
      </c>
      <c r="D2589" s="2414" t="s">
        <v>9564</v>
      </c>
    </row>
    <row r="2590" spans="1:4" ht="12.75" customHeight="1">
      <c r="A2590" s="2410" t="str">
        <f t="shared" si="47"/>
        <v>Vernetzungsbeitrag</v>
      </c>
      <c r="B2590" s="2410" t="s">
        <v>4794</v>
      </c>
      <c r="C2590" s="2410" t="s">
        <v>4795</v>
      </c>
      <c r="D2590" s="2414" t="s">
        <v>2289</v>
      </c>
    </row>
    <row r="2591" spans="1:4" ht="12.75" customHeight="1">
      <c r="A2591" s="2410" t="str">
        <f t="shared" si="47"/>
        <v>Vernetzung**</v>
      </c>
      <c r="B2591" s="2410" t="s">
        <v>3722</v>
      </c>
      <c r="C2591" s="2410" t="s">
        <v>2222</v>
      </c>
      <c r="D2591" s="2414" t="s">
        <v>2290</v>
      </c>
    </row>
    <row r="2592" spans="1:4" ht="12.75" customHeight="1">
      <c r="A2592" s="2410" t="str">
        <f t="shared" si="47"/>
        <v>Regionsspezifische BFF</v>
      </c>
      <c r="B2592" s="2410" t="s">
        <v>500</v>
      </c>
      <c r="C2592" s="2410" t="s">
        <v>364</v>
      </c>
      <c r="D2592" s="2414" t="s">
        <v>2291</v>
      </c>
    </row>
    <row r="2593" spans="1:4" ht="12.75" customHeight="1">
      <c r="A2593" s="2410" t="str">
        <f t="shared" si="47"/>
        <v>Einzelbäume und Alleen</v>
      </c>
      <c r="B2593" s="2410" t="s">
        <v>5001</v>
      </c>
      <c r="C2593" s="2410" t="s">
        <v>499</v>
      </c>
      <c r="D2593" s="2414" t="s">
        <v>9565</v>
      </c>
    </row>
    <row r="2594" spans="1:4" ht="24" customHeight="1">
      <c r="A2594" s="2410" t="str">
        <f t="shared" si="47"/>
        <v>Korrektur für Flächen im Ausland und nicht beitragsberechtigtes Bauland</v>
      </c>
      <c r="B2594" s="2410" t="s">
        <v>1086</v>
      </c>
      <c r="C2594" s="2410" t="s">
        <v>1087</v>
      </c>
      <c r="D2594" s="2414" t="s">
        <v>9527</v>
      </c>
    </row>
    <row r="2595" spans="1:4" ht="12.75" customHeight="1">
      <c r="A2595" s="2410" t="str">
        <f t="shared" si="47"/>
        <v>Total</v>
      </c>
      <c r="B2595" s="2410" t="s">
        <v>4802</v>
      </c>
      <c r="C2595" s="2410" t="s">
        <v>4802</v>
      </c>
      <c r="D2595" s="2414" t="s">
        <v>6340</v>
      </c>
    </row>
    <row r="2596" spans="1:4" ht="12.75" customHeight="1">
      <c r="A2596" s="2410" t="str">
        <f t="shared" si="47"/>
        <v>Berechnung der Begrenzung der BFF QI Beiträge</v>
      </c>
      <c r="B2596" s="2410" t="s">
        <v>4645</v>
      </c>
      <c r="C2596" s="2410" t="s">
        <v>4646</v>
      </c>
      <c r="D2596" s="2414" t="s">
        <v>9566</v>
      </c>
    </row>
    <row r="2597" spans="1:4" ht="12.75" customHeight="1">
      <c r="A2597" s="2410" t="str">
        <f t="shared" si="47"/>
        <v>Schwellenfläche SF</v>
      </c>
      <c r="B2597" s="2410" t="s">
        <v>7455</v>
      </c>
      <c r="C2597" s="2410" t="s">
        <v>4647</v>
      </c>
      <c r="D2597" s="2414" t="s">
        <v>9567</v>
      </c>
    </row>
    <row r="2598" spans="1:4" ht="12.75" customHeight="1">
      <c r="A2598" s="2410" t="str">
        <f t="shared" si="47"/>
        <v>(= Basisfläche / 2)</v>
      </c>
      <c r="B2598" s="2410" t="s">
        <v>7457</v>
      </c>
      <c r="C2598" s="2410" t="s">
        <v>4351</v>
      </c>
      <c r="D2598" s="2414" t="s">
        <v>4540</v>
      </c>
    </row>
    <row r="2599" spans="1:4" ht="12.75" customHeight="1">
      <c r="A2599" s="2410" t="str">
        <f t="shared" si="47"/>
        <v>Massgebende Fläche</v>
      </c>
      <c r="B2599" s="2417" t="s">
        <v>7172</v>
      </c>
      <c r="C2599" s="2417" t="s">
        <v>4538</v>
      </c>
      <c r="D2599" s="2414" t="s">
        <v>4539</v>
      </c>
    </row>
    <row r="2600" spans="1:4" ht="12.75" customHeight="1">
      <c r="A2600" s="2410" t="str">
        <f t="shared" si="47"/>
        <v>Begrenzungsfaktor</v>
      </c>
      <c r="B2600" s="2410" t="s">
        <v>7453</v>
      </c>
      <c r="C2600" s="2417" t="s">
        <v>4648</v>
      </c>
      <c r="D2600" s="2414" t="s">
        <v>9568</v>
      </c>
    </row>
    <row r="2601" spans="1:4" ht="12.75" customHeight="1">
      <c r="A2601" s="2410" t="str">
        <f t="shared" ref="A2601:A2739" si="48">IF($A$2=1,B2601,IF($A$2=2,C2601,IF($A$2=3,IF(D2601="",C2601,D2601),"")))</f>
        <v>(=SF / Massgebende Fläche)</v>
      </c>
      <c r="B2601" s="2410" t="s">
        <v>6175</v>
      </c>
      <c r="C2601" s="2410" t="s">
        <v>4352</v>
      </c>
      <c r="D2601" s="2414" t="s">
        <v>9569</v>
      </c>
    </row>
    <row r="2602" spans="1:4" ht="12.75" customHeight="1">
      <c r="A2602" s="2410" t="str">
        <f t="shared" si="48"/>
        <v>Fläche Qualitätsstufe I und Rebflächen°</v>
      </c>
      <c r="B2602" s="2410" t="s">
        <v>6176</v>
      </c>
      <c r="C2602" s="2410" t="s">
        <v>3719</v>
      </c>
      <c r="D2602" s="2414" t="s">
        <v>9570</v>
      </c>
    </row>
    <row r="2603" spans="1:4" ht="12.75" customHeight="1">
      <c r="A2603" s="2410" t="str">
        <f t="shared" si="48"/>
        <v xml:space="preserve">Fläche Qualitätsstufe II </v>
      </c>
      <c r="B2603" s="2410" t="s">
        <v>7168</v>
      </c>
      <c r="C2603" s="2410" t="s">
        <v>4541</v>
      </c>
      <c r="D2603" s="2414" t="s">
        <v>9571</v>
      </c>
    </row>
    <row r="2604" spans="1:4" ht="12.75" customHeight="1">
      <c r="A2604" s="2410" t="str">
        <f t="shared" si="48"/>
        <v>Basisfläche</v>
      </c>
      <c r="B2604" s="2410" t="s">
        <v>585</v>
      </c>
      <c r="C2604" s="2410" t="s">
        <v>3226</v>
      </c>
      <c r="D2604" s="2414" t="s">
        <v>3227</v>
      </c>
    </row>
    <row r="2605" spans="1:4" ht="24" customHeight="1">
      <c r="A2605" s="2410" t="str">
        <f t="shared" si="48"/>
        <v>Basisfläche = Landwirtschaftliche Nutzfläche, ohne die Flächen für Baumschulen, Forstpflanzen, Christbäume, Zierpflanzen, Hanf und Gewächshäu-</v>
      </c>
      <c r="B2605" s="2410" t="s">
        <v>7169</v>
      </c>
      <c r="C2605" s="2410" t="s">
        <v>4542</v>
      </c>
      <c r="D2605" s="2414" t="s">
        <v>9572</v>
      </c>
    </row>
    <row r="2606" spans="1:4" ht="24" customHeight="1">
      <c r="A2606" s="2410" t="str">
        <f t="shared" si="48"/>
        <v>ser mit festem Fundament, Hecken-, Feld- und Ufergehölze (mit Pufferstreifen), ein- und mehrjährige gärtnerische Freilandkulturen  (z. B. Blumen)</v>
      </c>
      <c r="B2606" s="2410" t="s">
        <v>11368</v>
      </c>
      <c r="C2606" s="2410" t="s">
        <v>5271</v>
      </c>
      <c r="D2606" s="2414" t="s">
        <v>9573</v>
      </c>
    </row>
    <row r="2607" spans="1:4" ht="24" customHeight="1">
      <c r="A2607" s="2410" t="str">
        <f t="shared" si="48"/>
        <v>und übrige nicht beitragsberechtigte Acker- und Grünflächen (554,598,594,698), jedoch plus Hecken-, Feld- und Ufergehölze (mit Krautsaum) und</v>
      </c>
      <c r="B2607" s="2410" t="s">
        <v>7170</v>
      </c>
      <c r="C2607" s="2410" t="s">
        <v>5272</v>
      </c>
      <c r="D2607" s="2414" t="s">
        <v>9574</v>
      </c>
    </row>
    <row r="2608" spans="1:4" ht="24" customHeight="1">
      <c r="A2608" s="2410" t="str">
        <f t="shared" si="48"/>
        <v>0.01 ha je Hochstammfeldobst-, Kastanien- und Nussbaum Qualitätsstufe I; siehe auch Vollzugshilfe Merkblatt Nr.6: Flächenkatalog 2016</v>
      </c>
      <c r="B2608" s="2410" t="s">
        <v>7171</v>
      </c>
      <c r="C2608" s="2410" t="s">
        <v>5273</v>
      </c>
      <c r="D2608" s="2414" t="s">
        <v>11219</v>
      </c>
    </row>
    <row r="2609" spans="1:4" ht="12.75" customHeight="1">
      <c r="A2609" s="2410" t="str">
        <f t="shared" si="48"/>
        <v>keine Reduktion</v>
      </c>
      <c r="B2609" s="2410" t="s">
        <v>2889</v>
      </c>
      <c r="C2609" s="2410" t="s">
        <v>5379</v>
      </c>
      <c r="D2609" s="2414" t="s">
        <v>9575</v>
      </c>
    </row>
    <row r="2610" spans="1:4" ht="24" customHeight="1">
      <c r="A2610" s="2410" t="str">
        <f t="shared" si="48"/>
        <v>inkl. 0.01 ha pro Baum der entsprechenden Qualitätsstufe; °Rebflächen mit natürlicher Artenvielfalt.</v>
      </c>
      <c r="B2610" s="2410" t="s">
        <v>2868</v>
      </c>
      <c r="C2610" s="2410" t="s">
        <v>2193</v>
      </c>
      <c r="D2610" s="2414" t="s">
        <v>9576</v>
      </c>
    </row>
    <row r="2611" spans="1:4" ht="24" customHeight="1">
      <c r="A2611" s="2410" t="str">
        <f t="shared" si="48"/>
        <v>ohne Artenreiche Grün- und Streuflächen im Sömmerungsgebiet</v>
      </c>
      <c r="B2611" s="2410" t="s">
        <v>2869</v>
      </c>
      <c r="C2611" s="2410" t="s">
        <v>2194</v>
      </c>
      <c r="D2611" s="2414" t="s">
        <v>9577</v>
      </c>
    </row>
    <row r="2612" spans="1:4" ht="12.75" customHeight="1">
      <c r="A2612" s="2410" t="str">
        <f t="shared" si="48"/>
        <v>Eingegebene Flächen überprüfen!</v>
      </c>
      <c r="B2612" s="2410" t="s">
        <v>2870</v>
      </c>
      <c r="C2612" s="2410" t="s">
        <v>3720</v>
      </c>
      <c r="D2612" s="2414" t="s">
        <v>9578</v>
      </c>
    </row>
    <row r="2613" spans="1:4" ht="12.75" customHeight="1">
      <c r="A2613" s="2410" t="str">
        <f t="shared" si="48"/>
        <v>Total Biodiversitätsbeitrag vor Begrenzung</v>
      </c>
      <c r="B2613" s="2410" t="s">
        <v>730</v>
      </c>
      <c r="C2613" s="2410" t="s">
        <v>5380</v>
      </c>
      <c r="D2613" s="2414" t="s">
        <v>9579</v>
      </c>
    </row>
    <row r="2614" spans="1:4" ht="12.75" customHeight="1">
      <c r="A2614" s="2410" t="str">
        <f t="shared" si="48"/>
        <v>Effektive Reduktion der Biodiversitätsbeiträge für die Qualitätsstufe I</v>
      </c>
      <c r="B2614" s="2410" t="s">
        <v>7456</v>
      </c>
      <c r="C2614" s="2410" t="s">
        <v>7166</v>
      </c>
      <c r="D2614" s="2414" t="s">
        <v>9580</v>
      </c>
    </row>
    <row r="2615" spans="1:4" ht="24" customHeight="1">
      <c r="A2615" s="2410" t="str">
        <f t="shared" si="48"/>
        <v>Den vorgeschlagenen Wert (Basisfläche **** berechnet mit Angaben aus dem Register Fläche) überprüfen und ggf. anpassen.</v>
      </c>
      <c r="B2615" s="2410" t="s">
        <v>2871</v>
      </c>
      <c r="C2615" s="2410" t="s">
        <v>4350</v>
      </c>
      <c r="D2615" s="2414" t="s">
        <v>9581</v>
      </c>
    </row>
    <row r="2616" spans="1:4" ht="60" customHeight="1">
      <c r="A2616" s="2410" t="str">
        <f t="shared" si="48"/>
        <v xml:space="preserve"> </v>
      </c>
      <c r="B2616" s="2410" t="s">
        <v>4899</v>
      </c>
      <c r="C2616" s="2410"/>
      <c r="D2616" s="2414" t="s">
        <v>9582</v>
      </c>
    </row>
    <row r="2617" spans="1:4" ht="12.75" customHeight="1">
      <c r="A2617" s="2410">
        <f t="shared" si="48"/>
        <v>0</v>
      </c>
      <c r="B2617" s="2410"/>
      <c r="C2617" s="2410"/>
      <c r="D2617" s="2414"/>
    </row>
    <row r="2618" spans="1:4" ht="12.75" customHeight="1">
      <c r="A2618" s="2410">
        <f t="shared" si="48"/>
        <v>0</v>
      </c>
      <c r="B2618" s="2410"/>
      <c r="C2618" s="2410"/>
      <c r="D2618" s="2414"/>
    </row>
    <row r="2619" spans="1:4" ht="12.75" customHeight="1">
      <c r="A2619" s="2410">
        <f t="shared" si="48"/>
        <v>0</v>
      </c>
      <c r="B2619" s="2410"/>
      <c r="C2619" s="2410"/>
      <c r="D2619" s="2414"/>
    </row>
    <row r="2620" spans="1:4" ht="12.75" customHeight="1">
      <c r="A2620" s="2410">
        <f t="shared" si="48"/>
        <v>0</v>
      </c>
      <c r="B2620" s="2410"/>
      <c r="C2620" s="2410"/>
      <c r="D2620" s="2414"/>
    </row>
    <row r="2621" spans="1:4" ht="12.75" customHeight="1">
      <c r="A2621" s="2410">
        <f t="shared" si="48"/>
        <v>0</v>
      </c>
      <c r="B2621" s="2410"/>
      <c r="C2621" s="2410" t="s">
        <v>3585</v>
      </c>
      <c r="D2621" s="2414"/>
    </row>
    <row r="2622" spans="1:4" ht="24" customHeight="1">
      <c r="A2622" s="2410" t="str">
        <f t="shared" si="48"/>
        <v>NHG-Beiträge, kantonale und kommunale Naturschutzbeiträge, kantonale Hangbeiträge</v>
      </c>
      <c r="B2622" s="2410" t="s">
        <v>5937</v>
      </c>
      <c r="C2622" s="2410" t="s">
        <v>5733</v>
      </c>
      <c r="D2622" s="2414" t="s">
        <v>9583</v>
      </c>
    </row>
    <row r="2623" spans="1:4" ht="12.75" customHeight="1">
      <c r="A2623" s="2410" t="str">
        <f t="shared" si="48"/>
        <v>Total Biodiversitätsbeiträge</v>
      </c>
      <c r="B2623" s="2410" t="s">
        <v>3610</v>
      </c>
      <c r="C2623" s="2410" t="s">
        <v>3611</v>
      </c>
      <c r="D2623" s="2414" t="s">
        <v>9584</v>
      </c>
    </row>
    <row r="2624" spans="1:4" ht="12.75" customHeight="1">
      <c r="A2624" s="2410">
        <f t="shared" si="48"/>
        <v>0</v>
      </c>
      <c r="B2624" s="2410"/>
      <c r="C2624" s="2410"/>
      <c r="D2624" s="2414"/>
    </row>
    <row r="2625" spans="1:4" ht="12.75" customHeight="1">
      <c r="A2625" s="2410" t="str">
        <f t="shared" si="48"/>
        <v>Landschaftsqualitätsbeitrag (LQB, Art. 60 und 61 und Anhang 7 DZV)</v>
      </c>
      <c r="B2625" s="2410" t="s">
        <v>834</v>
      </c>
      <c r="C2625" s="2410" t="s">
        <v>3215</v>
      </c>
      <c r="D2625" s="2414" t="s">
        <v>9585</v>
      </c>
    </row>
    <row r="2626" spans="1:4" ht="12.75" customHeight="1">
      <c r="A2626" s="2410" t="str">
        <f t="shared" si="48"/>
        <v>Voraussetzung: überbetriebliches Projekt. Nur jährlich wiederkehrende Beiträge aufführen!</v>
      </c>
      <c r="B2626" s="2410" t="s">
        <v>2940</v>
      </c>
      <c r="C2626" s="2410" t="s">
        <v>2941</v>
      </c>
      <c r="D2626" s="2414" t="s">
        <v>9586</v>
      </c>
    </row>
    <row r="2627" spans="1:4" ht="12.75" customHeight="1">
      <c r="A2627" s="2410" t="str">
        <f t="shared" si="48"/>
        <v>Bezeichnung</v>
      </c>
      <c r="B2627" s="2410" t="s">
        <v>1620</v>
      </c>
      <c r="C2627" s="2410" t="s">
        <v>4183</v>
      </c>
      <c r="D2627" s="2414" t="s">
        <v>9587</v>
      </c>
    </row>
    <row r="2628" spans="1:4" ht="12.75" customHeight="1">
      <c r="A2628" s="2410" t="str">
        <f t="shared" si="48"/>
        <v>Betrag CHF/Einheit</v>
      </c>
      <c r="B2628" s="2410" t="s">
        <v>1105</v>
      </c>
      <c r="C2628" s="2410" t="s">
        <v>1106</v>
      </c>
      <c r="D2628" s="2414" t="s">
        <v>9588</v>
      </c>
    </row>
    <row r="2629" spans="1:4" ht="12.75" customHeight="1">
      <c r="A2629" s="2410" t="str">
        <f t="shared" si="48"/>
        <v>Anzahl Einheiten*</v>
      </c>
      <c r="B2629" s="2410" t="s">
        <v>4184</v>
      </c>
      <c r="C2629" s="2410" t="s">
        <v>4185</v>
      </c>
      <c r="D2629" s="2414" t="s">
        <v>8438</v>
      </c>
    </row>
    <row r="2630" spans="1:4" ht="12.75" customHeight="1">
      <c r="A2630" s="2410" t="str">
        <f t="shared" si="48"/>
        <v>Zwischentotal (CHF)</v>
      </c>
      <c r="B2630" s="2410" t="s">
        <v>1688</v>
      </c>
      <c r="C2630" s="2410" t="s">
        <v>1689</v>
      </c>
      <c r="D2630" s="2414" t="s">
        <v>9517</v>
      </c>
    </row>
    <row r="2631" spans="1:4" ht="12.75" customHeight="1">
      <c r="A2631" s="2410" t="str">
        <f t="shared" si="48"/>
        <v>Total (CHF)</v>
      </c>
      <c r="B2631" s="2410" t="s">
        <v>1685</v>
      </c>
      <c r="C2631" s="2410" t="s">
        <v>1690</v>
      </c>
      <c r="D2631" s="2414"/>
    </row>
    <row r="2632" spans="1:4" ht="12.75" customHeight="1">
      <c r="A2632" s="2410" t="str">
        <f t="shared" si="48"/>
        <v>Massnahme:</v>
      </c>
      <c r="B2632" s="2410" t="s">
        <v>2992</v>
      </c>
      <c r="C2632" s="2410" t="s">
        <v>2993</v>
      </c>
      <c r="D2632" s="2414" t="s">
        <v>2292</v>
      </c>
    </row>
    <row r="2633" spans="1:4" ht="12.75" customHeight="1">
      <c r="A2633" s="2410" t="str">
        <f t="shared" si="48"/>
        <v>* ha, NST, Stück, Laufmeter, Betrieb</v>
      </c>
      <c r="B2633" s="2410" t="s">
        <v>3577</v>
      </c>
      <c r="C2633" s="2410" t="s">
        <v>3578</v>
      </c>
      <c r="D2633" s="2414" t="s">
        <v>9589</v>
      </c>
    </row>
    <row r="2634" spans="1:4" ht="12.75" customHeight="1">
      <c r="A2634" s="2410" t="str">
        <f t="shared" si="48"/>
        <v>Total Landschaftsqualitätsbeitrag, jährlich</v>
      </c>
      <c r="B2634" s="2410" t="s">
        <v>2942</v>
      </c>
      <c r="C2634" s="2410" t="s">
        <v>2943</v>
      </c>
      <c r="D2634" s="2414" t="s">
        <v>9590</v>
      </c>
    </row>
    <row r="2635" spans="1:4" ht="12.75" customHeight="1">
      <c r="A2635" s="2410">
        <f t="shared" si="48"/>
        <v>0</v>
      </c>
      <c r="B2635" s="2410"/>
      <c r="C2635" s="2410"/>
      <c r="D2635" s="2414"/>
    </row>
    <row r="2636" spans="1:4" ht="12.75" customHeight="1">
      <c r="A2636" s="2410" t="str">
        <f t="shared" si="48"/>
        <v>Produktionssystembeiträge (PSB, Art. 65 bis 76 und Anhang 7 DZV)</v>
      </c>
      <c r="B2636" s="2410" t="s">
        <v>6136</v>
      </c>
      <c r="C2636" s="2410" t="s">
        <v>3362</v>
      </c>
      <c r="D2636" s="2414" t="s">
        <v>9591</v>
      </c>
    </row>
    <row r="2637" spans="1:4" ht="12.75" customHeight="1">
      <c r="A2637" s="2410" t="str">
        <f t="shared" si="48"/>
        <v>Gesamtbetriebliche Produktionsformen</v>
      </c>
      <c r="B2637" s="2410" t="s">
        <v>1499</v>
      </c>
      <c r="C2637" s="2410" t="s">
        <v>12086</v>
      </c>
      <c r="D2637" s="2414" t="s">
        <v>12087</v>
      </c>
    </row>
    <row r="2638" spans="1:4" ht="12.75" customHeight="1">
      <c r="A2638" s="2410" t="str">
        <f t="shared" si="48"/>
        <v>Betrag (CHF)</v>
      </c>
      <c r="B2638" s="2410" t="s">
        <v>1107</v>
      </c>
      <c r="C2638" s="2410" t="s">
        <v>1684</v>
      </c>
      <c r="D2638" s="2414" t="s">
        <v>9592</v>
      </c>
    </row>
    <row r="2639" spans="1:4" ht="12.75" customHeight="1">
      <c r="A2639" s="2410" t="str">
        <f t="shared" si="48"/>
        <v>Fläche (ha)</v>
      </c>
      <c r="B2639" s="2410" t="s">
        <v>6410</v>
      </c>
      <c r="C2639" s="2410" t="s">
        <v>3013</v>
      </c>
      <c r="D2639" s="2414" t="s">
        <v>1267</v>
      </c>
    </row>
    <row r="2640" spans="1:4" ht="12.75" customHeight="1">
      <c r="A2640" s="2410" t="str">
        <f t="shared" si="48"/>
        <v>Zwischentotal</v>
      </c>
      <c r="B2640" s="2410" t="s">
        <v>6604</v>
      </c>
      <c r="C2640" s="2410" t="s">
        <v>6296</v>
      </c>
      <c r="D2640" s="2414" t="s">
        <v>9517</v>
      </c>
    </row>
    <row r="2641" spans="1:8" ht="12.75" customHeight="1">
      <c r="A2641" s="2410" t="str">
        <f t="shared" si="48"/>
        <v>Total (CHF)</v>
      </c>
      <c r="B2641" s="2410" t="s">
        <v>1685</v>
      </c>
      <c r="C2641" s="2410" t="s">
        <v>1685</v>
      </c>
      <c r="D2641" s="2414" t="s">
        <v>9518</v>
      </c>
    </row>
    <row r="2642" spans="1:8" ht="12.75" customHeight="1">
      <c r="A2642" s="2410" t="str">
        <f t="shared" si="48"/>
        <v>Summe der Beiträge</v>
      </c>
      <c r="B2642" s="2410" t="s">
        <v>2657</v>
      </c>
      <c r="C2642" s="2410" t="s">
        <v>2658</v>
      </c>
      <c r="D2642" s="2414" t="s">
        <v>2659</v>
      </c>
    </row>
    <row r="2643" spans="1:8" ht="12.75" customHeight="1">
      <c r="A2643" s="2410" t="str">
        <f t="shared" si="48"/>
        <v>GVE</v>
      </c>
      <c r="B2643" s="2410" t="s">
        <v>6685</v>
      </c>
      <c r="C2643" s="2410" t="s">
        <v>3184</v>
      </c>
      <c r="D2643" s="2414" t="s">
        <v>199</v>
      </c>
    </row>
    <row r="2644" spans="1:8" ht="12.75" customHeight="1">
      <c r="A2644" s="2410" t="str">
        <f t="shared" si="48"/>
        <v>Biologischer Landbau</v>
      </c>
      <c r="B2644" s="2410" t="s">
        <v>2697</v>
      </c>
      <c r="C2644" s="2410" t="s">
        <v>1745</v>
      </c>
      <c r="D2644" s="2414" t="s">
        <v>1746</v>
      </c>
    </row>
    <row r="2645" spans="1:8" ht="12.75" customHeight="1">
      <c r="A2645" s="2410" t="str">
        <f t="shared" si="48"/>
        <v>Spezialkulturen</v>
      </c>
      <c r="B2645" s="2410" t="s">
        <v>4498</v>
      </c>
      <c r="C2645" s="2410" t="s">
        <v>7412</v>
      </c>
      <c r="D2645" s="2414" t="s">
        <v>9593</v>
      </c>
    </row>
    <row r="2646" spans="1:8" ht="12.75" customHeight="1">
      <c r="A2646" s="2410" t="str">
        <f t="shared" si="48"/>
        <v>übrige offene Ackerfläche</v>
      </c>
      <c r="B2646" s="2410" t="s">
        <v>5283</v>
      </c>
      <c r="C2646" s="2410" t="s">
        <v>5284</v>
      </c>
      <c r="D2646" s="2414" t="s">
        <v>9594</v>
      </c>
    </row>
    <row r="2647" spans="1:8" ht="12.75" customHeight="1">
      <c r="A2647" s="2410" t="str">
        <f t="shared" si="48"/>
        <v>übrige landwirtschaftliche Nutzfläche</v>
      </c>
      <c r="B2647" s="2410" t="s">
        <v>6867</v>
      </c>
      <c r="C2647" s="2410" t="s">
        <v>5612</v>
      </c>
      <c r="D2647" s="2414" t="s">
        <v>9595</v>
      </c>
    </row>
    <row r="2648" spans="1:8" ht="24" customHeight="1">
      <c r="A2648" s="2410" t="str">
        <f t="shared" si="48"/>
        <v>Korrektur für Flächen im Ausland und nicht beitragsberechtigtes Bauland</v>
      </c>
      <c r="B2648" s="2410" t="s">
        <v>1086</v>
      </c>
      <c r="C2648" s="2410" t="s">
        <v>1087</v>
      </c>
      <c r="D2648" s="2414" t="s">
        <v>9527</v>
      </c>
    </row>
    <row r="2649" spans="1:8" ht="12.75" customHeight="1">
      <c r="A2649" s="2410" t="str">
        <f t="shared" ref="A2649:A2670" si="49">IF($A$2=1,B2649,IF($A$2=2,C2649,IF($A$2=3,IF(D2649="",C2649,D2649),"")))</f>
        <v>Teilbetriebliche Produktionsformen</v>
      </c>
      <c r="B2649" s="2410" t="s">
        <v>4250</v>
      </c>
      <c r="C2649" s="2410" t="s">
        <v>12084</v>
      </c>
      <c r="D2649" s="2414" t="s">
        <v>12085</v>
      </c>
      <c r="E2649" s="2411"/>
      <c r="F2649" s="2411"/>
      <c r="G2649" s="2411"/>
      <c r="H2649" s="2411"/>
    </row>
    <row r="2650" spans="1:8" ht="12.75" customHeight="1">
      <c r="A2650" s="2410" t="str">
        <f t="shared" si="49"/>
        <v>Verzicht auf Pflanzenschutzmittel</v>
      </c>
      <c r="B2650" s="2410" t="s">
        <v>11410</v>
      </c>
      <c r="C2650" s="2410" t="s">
        <v>11411</v>
      </c>
      <c r="D2650" s="2414" t="s">
        <v>12006</v>
      </c>
      <c r="E2650" s="2411"/>
      <c r="F2650" s="2411"/>
      <c r="G2650" s="2411"/>
      <c r="H2650" s="2411"/>
    </row>
    <row r="2651" spans="1:8" ht="12.75" customHeight="1">
      <c r="A2651" s="2410" t="str">
        <f t="shared" si="49"/>
        <v>Verzicht auf Pflanzenschutzmittel im Ackerbau</v>
      </c>
      <c r="B2651" s="2410" t="s">
        <v>11412</v>
      </c>
      <c r="C2651" s="2410" t="s">
        <v>11413</v>
      </c>
      <c r="D2651" s="2414" t="s">
        <v>12007</v>
      </c>
      <c r="E2651" s="2411"/>
      <c r="F2651" s="2411"/>
      <c r="G2651" s="2411"/>
      <c r="H2651" s="2411"/>
    </row>
    <row r="2652" spans="1:8" ht="12.75" customHeight="1">
      <c r="A2652" s="2410" t="str">
        <f t="shared" si="49"/>
        <v>Raps, Kartoffeln, Freiland-Konservengemüse und Zuckerrüben</v>
      </c>
      <c r="B2652" s="2410" t="s">
        <v>11416</v>
      </c>
      <c r="C2652" s="2410" t="s">
        <v>12083</v>
      </c>
      <c r="D2652" s="2414" t="s">
        <v>12077</v>
      </c>
      <c r="E2652" s="2411">
        <v>2</v>
      </c>
      <c r="F2652" s="3074" t="s">
        <v>3536</v>
      </c>
      <c r="G2652" s="3088" t="s">
        <v>12088</v>
      </c>
      <c r="H2652" s="2411"/>
    </row>
    <row r="2653" spans="1:8" ht="12.75" customHeight="1">
      <c r="A2653" s="2410" t="str">
        <f t="shared" si="49"/>
        <v xml:space="preserve">Brotweizen, Hartweizen, Futterweizen, Roggen, Dinkel, Hafer, Gerste, </v>
      </c>
      <c r="B2653" s="2410" t="s">
        <v>11405</v>
      </c>
      <c r="C2653" s="2410" t="s">
        <v>11451</v>
      </c>
      <c r="D2653" s="2414" t="s">
        <v>12078</v>
      </c>
      <c r="E2653" s="2411"/>
      <c r="F2653" s="3074"/>
      <c r="G2653" s="3074"/>
      <c r="H2653" s="2411"/>
    </row>
    <row r="2654" spans="1:8" ht="12.75" customHeight="1">
      <c r="A2654" s="2410" t="str">
        <f t="shared" si="49"/>
        <v>Triticale, Trockenreis, Emmer und Einkorn sowie Mischungen dieser Getreide-</v>
      </c>
      <c r="B2654" s="2410" t="s">
        <v>11406</v>
      </c>
      <c r="C2654" s="2410" t="s">
        <v>11452</v>
      </c>
      <c r="D2654" s="2414" t="s">
        <v>12079</v>
      </c>
      <c r="E2654" s="2411"/>
      <c r="F2654" s="3074"/>
      <c r="G2654" s="3074"/>
      <c r="H2654" s="2411"/>
    </row>
    <row r="2655" spans="1:8" ht="12.75" customHeight="1">
      <c r="A2655" s="2410" t="str">
        <f t="shared" si="49"/>
        <v>arten, Lein, Sonnenblumen, Erbsen zur Körnergewinnung, Bohnen zur Körner-</v>
      </c>
      <c r="B2655" s="2410" t="s">
        <v>11407</v>
      </c>
      <c r="C2655" s="2410" t="s">
        <v>11453</v>
      </c>
      <c r="D2655" s="3075" t="s">
        <v>12080</v>
      </c>
      <c r="E2655" s="2411"/>
      <c r="F2655" s="3074"/>
      <c r="G2655" s="3074"/>
      <c r="H2655" s="2411"/>
    </row>
    <row r="2656" spans="1:8" ht="12.75" customHeight="1">
      <c r="A2656" s="2410" t="str">
        <f t="shared" si="49"/>
        <v>gewinnung, Lupinen, Mischungen von Erbsen zur Körnergewinnung, Bohnen</v>
      </c>
      <c r="B2656" s="2410" t="s">
        <v>11408</v>
      </c>
      <c r="C2656" s="2410" t="s">
        <v>11454</v>
      </c>
      <c r="D2656" s="3075" t="s">
        <v>12081</v>
      </c>
      <c r="E2656" s="2411"/>
      <c r="F2656" s="3074"/>
      <c r="G2656" s="3074"/>
      <c r="H2656" s="2411"/>
    </row>
    <row r="2657" spans="1:8" ht="12.75" customHeight="1">
      <c r="A2657" s="2410" t="str">
        <f t="shared" si="49"/>
        <v>zur Körnergewinnung oder Lupinen mit Getreide</v>
      </c>
      <c r="B2657" s="2410" t="s">
        <v>11409</v>
      </c>
      <c r="C2657" s="3077" t="s">
        <v>12076</v>
      </c>
      <c r="D2657" s="3075" t="s">
        <v>12082</v>
      </c>
      <c r="E2657" s="2411"/>
      <c r="F2657" s="3074"/>
      <c r="G2657" s="3074"/>
      <c r="H2657" s="2411"/>
    </row>
    <row r="2658" spans="1:8" ht="12.75" customHeight="1">
      <c r="A2658" s="2410" t="str">
        <f t="shared" si="49"/>
        <v>a) - Kein Beitrag wird ausgerichtet für Mais; Getreide siliert; Spezialkulturen; Biodiversitätsförderflächen nach Art. 55 mit Ausnahme Getreide in weiter Reihe; Kulturen, für die nach Art. 18, Abs. 1-5 Insektizide und Fungizide nicht angewendet werden dürfen</v>
      </c>
      <c r="B2658" s="2410" t="s">
        <v>11414</v>
      </c>
      <c r="C2658" s="2410" t="s">
        <v>11415</v>
      </c>
      <c r="D2658" s="2414" t="s">
        <v>12008</v>
      </c>
      <c r="E2658" s="2411"/>
      <c r="F2658" s="2411"/>
      <c r="G2658" s="2411"/>
      <c r="H2658" s="2411"/>
    </row>
    <row r="2659" spans="1:8" ht="12.75" customHeight="1">
      <c r="A2659" s="2410" t="str">
        <f t="shared" si="49"/>
        <v xml:space="preserve">Verzicht auf Insektizide und Akarizide </v>
      </c>
      <c r="B2659" s="2410" t="s">
        <v>11455</v>
      </c>
      <c r="C2659" s="2410" t="s">
        <v>11457</v>
      </c>
      <c r="D2659" s="2414" t="s">
        <v>12009</v>
      </c>
      <c r="E2659" s="2411"/>
      <c r="F2659" s="2411"/>
      <c r="G2659" s="2411"/>
      <c r="H2659" s="2411"/>
    </row>
    <row r="2660" spans="1:8" ht="12.75" customHeight="1">
      <c r="A2660" s="2410" t="str">
        <f t="shared" si="49"/>
        <v>im Gemüse- und Beerenanbau</v>
      </c>
      <c r="B2660" s="2410" t="s">
        <v>11456</v>
      </c>
      <c r="C2660" s="2410" t="s">
        <v>11458</v>
      </c>
      <c r="D2660" s="2414" t="s">
        <v>12010</v>
      </c>
      <c r="E2660" s="2411"/>
      <c r="F2660" s="2411"/>
      <c r="G2660" s="2411"/>
      <c r="H2660" s="2411"/>
    </row>
    <row r="2661" spans="1:8" ht="12.75" customHeight="1">
      <c r="A2661" s="2410" t="str">
        <f t="shared" si="49"/>
        <v>Einjährige Freilandgemüse und einjährige Beerenkulturen</v>
      </c>
      <c r="B2661" s="2410" t="s">
        <v>11463</v>
      </c>
      <c r="C2661" s="2410" t="s">
        <v>11417</v>
      </c>
      <c r="D2661" s="2414" t="s">
        <v>12012</v>
      </c>
      <c r="E2661" s="2411">
        <v>2</v>
      </c>
      <c r="F2661" s="3088" t="s">
        <v>3536</v>
      </c>
      <c r="G2661" s="3088" t="s">
        <v>12088</v>
      </c>
      <c r="H2661" s="2411"/>
    </row>
    <row r="2662" spans="1:8" ht="12.75" customHeight="1">
      <c r="A2662" s="2410" t="str">
        <f t="shared" si="49"/>
        <v xml:space="preserve">Verzicht auf Insektizide, Akarizide und Fungizide </v>
      </c>
      <c r="B2662" s="2410" t="s">
        <v>11461</v>
      </c>
      <c r="C2662" s="2410" t="s">
        <v>11459</v>
      </c>
      <c r="D2662" s="2414" t="s">
        <v>12013</v>
      </c>
      <c r="E2662" s="2411"/>
      <c r="F2662" s="2411"/>
      <c r="G2662" s="2411"/>
      <c r="H2662" s="2411"/>
    </row>
    <row r="2663" spans="1:8" ht="12.75" customHeight="1">
      <c r="A2663" s="2410" t="str">
        <f t="shared" si="49"/>
        <v>nach der Blüte bei Dauerkulturen</v>
      </c>
      <c r="B2663" s="2410" t="s">
        <v>11462</v>
      </c>
      <c r="C2663" s="2410" t="s">
        <v>11460</v>
      </c>
      <c r="D2663" s="2414" t="s">
        <v>12014</v>
      </c>
      <c r="E2663" s="2411"/>
      <c r="F2663" s="2411"/>
      <c r="G2663" s="2411"/>
      <c r="H2663" s="2411"/>
    </row>
    <row r="2664" spans="1:8" ht="12.75" customHeight="1">
      <c r="A2664" s="2410" t="str">
        <f t="shared" si="49"/>
        <v xml:space="preserve">Obstbau für Obstanlagen nach Artikel 22 Absatz 2 LBV, Rebbau, </v>
      </c>
      <c r="B2664" s="2410" t="s">
        <v>11466</v>
      </c>
      <c r="C2664" s="2410" t="s">
        <v>11468</v>
      </c>
      <c r="D2664" s="2414" t="s">
        <v>12015</v>
      </c>
      <c r="E2664" s="2411"/>
      <c r="F2664" s="2411"/>
      <c r="G2664" s="2411"/>
      <c r="H2664" s="2411"/>
    </row>
    <row r="2665" spans="1:8" ht="12.75" customHeight="1">
      <c r="A2665" s="2410" t="str">
        <f t="shared" si="49"/>
        <v>Beerenanbau</v>
      </c>
      <c r="B2665" s="2410" t="s">
        <v>11467</v>
      </c>
      <c r="C2665" s="2410" t="s">
        <v>11469</v>
      </c>
      <c r="D2665" s="2414" t="s">
        <v>12016</v>
      </c>
      <c r="E2665" s="2411"/>
      <c r="F2665" s="2411"/>
      <c r="G2665" s="2411"/>
      <c r="H2665" s="2411"/>
    </row>
    <row r="2666" spans="1:8" ht="12.75" customHeight="1">
      <c r="A2666" s="2410" t="str">
        <f t="shared" si="49"/>
        <v xml:space="preserve">Bewirtschaftung von Flächen mit Dauerkulturen mit Hilfs-  </v>
      </c>
      <c r="B2666" s="2410" t="s">
        <v>11470</v>
      </c>
      <c r="C2666" s="2410" t="s">
        <v>11464</v>
      </c>
      <c r="D2666" s="2414" t="s">
        <v>12017</v>
      </c>
      <c r="E2666" s="2411"/>
      <c r="F2666" s="2411"/>
      <c r="G2666" s="2411"/>
      <c r="H2666" s="2411"/>
    </row>
    <row r="2667" spans="1:8" ht="12.75" customHeight="1">
      <c r="A2667" s="2410" t="str">
        <f t="shared" si="49"/>
        <v>mitteln entsprechend der biologischen Landwirtschaft</v>
      </c>
      <c r="B2667" s="2410" t="s">
        <v>11471</v>
      </c>
      <c r="C2667" s="2410" t="s">
        <v>11465</v>
      </c>
      <c r="D2667" s="2414" t="s">
        <v>12018</v>
      </c>
      <c r="E2667" s="2411"/>
      <c r="F2667" s="2411"/>
      <c r="G2667" s="2411"/>
      <c r="H2667" s="2411"/>
    </row>
    <row r="2668" spans="1:8" ht="12.75" customHeight="1">
      <c r="A2668" s="2410" t="str">
        <f t="shared" si="49"/>
        <v xml:space="preserve">Obstbau für Obstanlagen nach Artikel 22 Absatz 2 LBV, Rebbau, </v>
      </c>
      <c r="B2668" s="2410" t="s">
        <v>11466</v>
      </c>
      <c r="C2668" s="2410" t="s">
        <v>11468</v>
      </c>
      <c r="D2668" s="2414" t="s">
        <v>12015</v>
      </c>
      <c r="E2668" s="2411"/>
      <c r="F2668" s="2411"/>
      <c r="G2668" s="2411"/>
      <c r="H2668" s="2411"/>
    </row>
    <row r="2669" spans="1:8" ht="12.75" customHeight="1">
      <c r="A2669" s="2410" t="str">
        <f t="shared" si="49"/>
        <v>Beerenanbau, Permakultur</v>
      </c>
      <c r="B2669" s="2410" t="s">
        <v>11472</v>
      </c>
      <c r="C2669" s="2410" t="s">
        <v>11473</v>
      </c>
      <c r="D2669" s="2414" t="s">
        <v>12019</v>
      </c>
      <c r="E2669" s="2411"/>
      <c r="F2669" s="2411"/>
      <c r="G2669" s="2411"/>
      <c r="H2669" s="2411"/>
    </row>
    <row r="2670" spans="1:8" ht="12.75" customHeight="1">
      <c r="A2670" s="2410" t="str">
        <f t="shared" si="49"/>
        <v xml:space="preserve">Verzicht auf Herbizide im Ackerbau </v>
      </c>
      <c r="B2670" s="2410" t="s">
        <v>11474</v>
      </c>
      <c r="C2670" s="2410" t="s">
        <v>11476</v>
      </c>
      <c r="D2670" s="2414" t="s">
        <v>12020</v>
      </c>
      <c r="E2670" s="2411"/>
      <c r="F2670" s="2411"/>
      <c r="G2670" s="2411"/>
      <c r="H2670" s="2411"/>
    </row>
    <row r="2671" spans="1:8" ht="12.75" customHeight="1">
      <c r="A2671" s="2410" t="str">
        <f>IF($A$2=1,B2671,IF($A$2=2,C2671,IF($A$2=3,IF(D2671="",C2671,D2671),"")))</f>
        <v>und in Spezialkulturen</v>
      </c>
      <c r="B2671" s="2410" t="s">
        <v>11475</v>
      </c>
      <c r="C2671" s="2410" t="s">
        <v>11477</v>
      </c>
      <c r="D2671" s="2414" t="s">
        <v>12021</v>
      </c>
      <c r="E2671" s="2411"/>
      <c r="F2671" s="2411"/>
      <c r="G2671" s="2411"/>
      <c r="H2671" s="2411"/>
    </row>
    <row r="2672" spans="1:8" ht="12.75" customHeight="1">
      <c r="A2672" s="2410" t="str">
        <f>IF($A$2=1,B2672,IF($A$2=2,C2672,IF($A$2=3,IF(D2672="",C2672,D2672),"")))</f>
        <v>Raps, Kartoffeln und Freiland-Konservengemüse</v>
      </c>
      <c r="B2672" s="2410" t="s">
        <v>11418</v>
      </c>
      <c r="C2672" s="2410" t="s">
        <v>11419</v>
      </c>
      <c r="D2672" s="2414" t="s">
        <v>12022</v>
      </c>
      <c r="E2672" s="2411"/>
      <c r="F2672" s="2411"/>
      <c r="G2672" s="2411"/>
      <c r="H2672" s="2411"/>
    </row>
    <row r="2673" spans="1:8" ht="12.75" customHeight="1">
      <c r="A2673" s="2410" t="str">
        <f t="shared" ref="A2673:A2706" si="50">IF($A$2=1,B2673,IF($A$2=2,C2673,IF($A$2=3,IF(D2673="",C2673,D2673),"")))</f>
        <v>Spezialkulturen ohne Tabak und ohne Wurzel der Treibzichorie</v>
      </c>
      <c r="B2673" s="2410" t="s">
        <v>11420</v>
      </c>
      <c r="C2673" s="2410" t="s">
        <v>11421</v>
      </c>
      <c r="D2673" s="2414" t="s">
        <v>12023</v>
      </c>
      <c r="E2673" s="2411"/>
      <c r="F2673" s="2411"/>
      <c r="G2673" s="2411"/>
      <c r="H2673" s="2411"/>
    </row>
    <row r="2674" spans="1:8" ht="12.75" customHeight="1">
      <c r="A2674" s="2410" t="str">
        <f t="shared" si="50"/>
        <v>Hauptkulturen der übrigen Ackerfläche</v>
      </c>
      <c r="B2674" s="2410" t="s">
        <v>11422</v>
      </c>
      <c r="C2674" s="2410" t="s">
        <v>11423</v>
      </c>
      <c r="D2674" s="2414" t="s">
        <v>12024</v>
      </c>
      <c r="E2674" s="2411"/>
      <c r="F2674" s="2411"/>
      <c r="G2674" s="2411"/>
      <c r="H2674" s="2411"/>
    </row>
    <row r="2675" spans="1:8" ht="12.75" customHeight="1">
      <c r="A2675" s="2410" t="str">
        <f t="shared" si="50"/>
        <v>Nützlingsstreifen</v>
      </c>
      <c r="B2675" s="2410" t="s">
        <v>11424</v>
      </c>
      <c r="C2675" s="2410" t="s">
        <v>11425</v>
      </c>
      <c r="D2675" s="2414" t="s">
        <v>11851</v>
      </c>
      <c r="E2675" s="2411"/>
      <c r="F2675" s="2411"/>
      <c r="G2675" s="2411"/>
      <c r="H2675" s="2411"/>
    </row>
    <row r="2676" spans="1:8" ht="12.75" customHeight="1">
      <c r="A2676" s="2410" t="str">
        <f>IF($A$2=1,B2676,IF($A$2=2,C2676,IF($A$2=3,IF(D2676="",C2676,D2676),"")))</f>
        <v>Nützlingsstreifen (oAF)</v>
      </c>
      <c r="B2676" s="2410" t="s">
        <v>11330</v>
      </c>
      <c r="C2676" s="2410" t="s">
        <v>11736</v>
      </c>
      <c r="D2676" s="2414" t="s">
        <v>11342</v>
      </c>
      <c r="E2676" s="2411"/>
    </row>
    <row r="2677" spans="1:8" ht="12.75" customHeight="1">
      <c r="A2677" s="2410" t="str">
        <f>IF($A$2=1,B2677,IF($A$2=2,C2677,IF($A$2=3,IF(D2677="",C2677,D2677),"")))</f>
        <v xml:space="preserve">Nützlingsstreifen (DK) </v>
      </c>
      <c r="B2677" s="2410" t="s">
        <v>11478</v>
      </c>
      <c r="C2677" s="2410" t="s">
        <v>11348</v>
      </c>
      <c r="D2677" s="2414" t="s">
        <v>11349</v>
      </c>
      <c r="E2677" s="2411"/>
    </row>
    <row r="2678" spans="1:8" ht="12.75" customHeight="1">
      <c r="A2678" s="2410" t="str">
        <f t="shared" si="50"/>
        <v>Reben, Obstanlagen, Beerenkulturen, Permakultur</v>
      </c>
      <c r="B2678" s="2410" t="s">
        <v>11479</v>
      </c>
      <c r="C2678" s="2410" t="s">
        <v>11480</v>
      </c>
      <c r="D2678" s="2414" t="s">
        <v>12025</v>
      </c>
      <c r="E2678" s="2411"/>
      <c r="F2678" s="2411"/>
      <c r="G2678" s="2411"/>
      <c r="H2678" s="2411"/>
    </row>
    <row r="2679" spans="1:8" ht="12.75" customHeight="1">
      <c r="A2679" s="2410" t="str">
        <f t="shared" si="50"/>
        <v>Verbesserung der Bodenfruchtbarkeit</v>
      </c>
      <c r="B2679" s="2410" t="s">
        <v>11426</v>
      </c>
      <c r="C2679" s="2410" t="s">
        <v>11427</v>
      </c>
      <c r="D2679" s="2414" t="s">
        <v>12026</v>
      </c>
      <c r="E2679" s="2411"/>
      <c r="F2679" s="2411"/>
      <c r="G2679" s="2411"/>
      <c r="H2679" s="2411"/>
    </row>
    <row r="2680" spans="1:8" ht="12.75" customHeight="1">
      <c r="A2680" s="2410" t="str">
        <f t="shared" si="50"/>
        <v>Angemessene Bedeckung des Bodens</v>
      </c>
      <c r="B2680" s="2410" t="s">
        <v>11428</v>
      </c>
      <c r="C2680" s="2410" t="s">
        <v>11429</v>
      </c>
      <c r="D2680" s="2414" t="s">
        <v>12027</v>
      </c>
      <c r="E2680" s="2411"/>
      <c r="F2680" s="2411"/>
      <c r="G2680" s="2411"/>
      <c r="H2680" s="2411"/>
    </row>
    <row r="2681" spans="1:8" ht="12.75" customHeight="1">
      <c r="A2681" s="2410" t="str">
        <f t="shared" si="50"/>
        <v xml:space="preserve">Hauptkulturen auf offener Ackerfläche mit Ausnahme von einjährigem </v>
      </c>
      <c r="B2681" s="2410" t="s">
        <v>11484</v>
      </c>
      <c r="C2681" s="3089" t="s">
        <v>12089</v>
      </c>
      <c r="D2681" s="2414" t="s">
        <v>12028</v>
      </c>
      <c r="E2681" s="2411"/>
      <c r="F2681" s="2411"/>
      <c r="G2681" s="2411"/>
      <c r="H2681" s="2411"/>
    </row>
    <row r="2682" spans="1:8" ht="12.75" customHeight="1">
      <c r="A2682" s="2410" t="str">
        <f t="shared" si="50"/>
        <v>Freilandgemüse, Beerenkulturen sowie Gewürz-und Medizinalpflanzen</v>
      </c>
      <c r="B2682" s="2410" t="s">
        <v>11483</v>
      </c>
      <c r="C2682" s="3089" t="s">
        <v>12090</v>
      </c>
      <c r="D2682" s="2414" t="s">
        <v>12029</v>
      </c>
      <c r="E2682" s="2411">
        <v>2</v>
      </c>
      <c r="F2682" s="3088" t="s">
        <v>3536</v>
      </c>
      <c r="G2682" s="3088" t="s">
        <v>12088</v>
      </c>
      <c r="H2682" s="2411"/>
    </row>
    <row r="2683" spans="1:8" ht="12.75" customHeight="1">
      <c r="A2683" s="2410" t="str">
        <f t="shared" si="50"/>
        <v>Einjährige Freilandgemüse, Beerenkulturen, Gewürz- und Medizinalpflanzen</v>
      </c>
      <c r="B2683" s="2410" t="s">
        <v>11481</v>
      </c>
      <c r="C2683" s="3089" t="s">
        <v>12092</v>
      </c>
      <c r="D2683" s="2414" t="s">
        <v>12030</v>
      </c>
      <c r="E2683" s="2411"/>
      <c r="F2683" s="2411"/>
      <c r="G2683" s="2411"/>
      <c r="H2683" s="2411"/>
    </row>
    <row r="2684" spans="1:8" ht="12.75" customHeight="1">
      <c r="A2684" s="2410" t="str">
        <f t="shared" si="50"/>
        <v>(oAF) mit Ausnahme von Freiland-Konservengemüse</v>
      </c>
      <c r="B2684" s="2410" t="s">
        <v>11482</v>
      </c>
      <c r="C2684" s="3089" t="s">
        <v>12091</v>
      </c>
      <c r="D2684" s="2414" t="s">
        <v>12031</v>
      </c>
      <c r="E2684" s="2411"/>
      <c r="F2684" s="2411"/>
      <c r="G2684" s="2411"/>
      <c r="H2684" s="2411"/>
    </row>
    <row r="2685" spans="1:8" ht="12.75" customHeight="1">
      <c r="A2685" s="2410" t="str">
        <f t="shared" si="50"/>
        <v>Reben</v>
      </c>
      <c r="B2685" s="2410" t="s">
        <v>4839</v>
      </c>
      <c r="C2685" s="2410" t="s">
        <v>5395</v>
      </c>
      <c r="D2685" s="2414" t="s">
        <v>12032</v>
      </c>
      <c r="E2685" s="2411"/>
      <c r="F2685" s="2411"/>
      <c r="G2685" s="2411"/>
      <c r="H2685" s="2411"/>
    </row>
    <row r="2686" spans="1:8" ht="12.75" customHeight="1">
      <c r="A2686" s="2410" t="str">
        <f t="shared" si="50"/>
        <v>Schonende Bodenbearbeitung von Hauptkulturen</v>
      </c>
      <c r="B2686" s="2410" t="s">
        <v>11485</v>
      </c>
      <c r="C2686" s="2410" t="s">
        <v>11487</v>
      </c>
      <c r="D2686" s="2414" t="s">
        <v>12033</v>
      </c>
      <c r="E2686" s="2411"/>
      <c r="F2686" s="2411"/>
      <c r="G2686" s="2411"/>
      <c r="H2686" s="2411"/>
    </row>
    <row r="2687" spans="1:8" ht="12.75" customHeight="1">
      <c r="A2687" s="2410" t="str">
        <f>IF($A$2=1,B2687,IF($A$2=2,C2687,IF($A$2=3,IF(D2687="",C2687,D2687),"")))</f>
        <v>auf der Ackerfläche</v>
      </c>
      <c r="B2687" s="2410" t="s">
        <v>11486</v>
      </c>
      <c r="C2687" s="2410" t="s">
        <v>11488</v>
      </c>
      <c r="D2687" s="2414" t="s">
        <v>12034</v>
      </c>
      <c r="E2687" s="2411"/>
      <c r="F2687" s="2411"/>
      <c r="G2687" s="2411"/>
      <c r="H2687" s="2411"/>
    </row>
    <row r="2688" spans="1:8" ht="12.75" customHeight="1">
      <c r="A2688" s="2410" t="str">
        <f t="shared" si="50"/>
        <v>Ackerfläche mit Direktsaat, Streifenfrässaat, Streifensaat</v>
      </c>
      <c r="B2688" s="2410" t="s">
        <v>11489</v>
      </c>
      <c r="C2688" s="2410" t="s">
        <v>11491</v>
      </c>
      <c r="D2688" s="2414" t="s">
        <v>12035</v>
      </c>
      <c r="E2688" s="2411"/>
      <c r="F2688" s="2411"/>
      <c r="G2688" s="2411"/>
      <c r="H2688" s="2411"/>
    </row>
    <row r="2689" spans="1:8" ht="12.75" customHeight="1">
      <c r="A2689" s="2410" t="str">
        <f>IF($A$2=1,B2689,IF($A$2=2,C2689,IF($A$2=3,IF(D2689="",C2689,D2689),"")))</f>
        <v>(Strip-Till) oder Mulchsaat</v>
      </c>
      <c r="B2689" s="2410" t="s">
        <v>11490</v>
      </c>
      <c r="C2689" s="2410" t="s">
        <v>11492</v>
      </c>
      <c r="D2689" s="2414" t="s">
        <v>12036</v>
      </c>
      <c r="E2689" s="2411"/>
      <c r="F2689" s="2411"/>
      <c r="G2689" s="2411"/>
      <c r="H2689" s="2411"/>
    </row>
    <row r="2690" spans="1:8" ht="12.75" customHeight="1">
      <c r="A2690" s="2410" t="str">
        <f t="shared" si="50"/>
        <v>Effizienter Stickstoffeinsatz im Ackerbau</v>
      </c>
      <c r="B2690" s="2410" t="s">
        <v>11430</v>
      </c>
      <c r="C2690" s="2410" t="s">
        <v>11431</v>
      </c>
      <c r="D2690" s="2414" t="s">
        <v>12037</v>
      </c>
      <c r="E2690" s="2411"/>
      <c r="F2690" s="2411"/>
      <c r="G2690" s="2411"/>
      <c r="H2690" s="2411"/>
    </row>
    <row r="2691" spans="1:8" ht="12.75" customHeight="1">
      <c r="A2691" s="2410" t="str">
        <f t="shared" si="50"/>
        <v xml:space="preserve">Gesamtbetrieblich übersteigt die Zufuhr an Stickstoff nicht 90 % des Bedarfs </v>
      </c>
      <c r="B2691" s="2410" t="s">
        <v>11496</v>
      </c>
      <c r="C2691" s="2410" t="s">
        <v>11494</v>
      </c>
      <c r="D2691" s="2414" t="s">
        <v>12038</v>
      </c>
      <c r="E2691" s="2411"/>
      <c r="F2691" s="2411"/>
      <c r="G2691" s="2411"/>
      <c r="H2691" s="2411"/>
    </row>
    <row r="2692" spans="1:8" ht="12.75" customHeight="1">
      <c r="A2692" s="2410" t="str">
        <f>IF($A$2=1,B2692,IF($A$2=2,C2692,IF($A$2=3,IF(D2692="",C2692,D2692),"")))</f>
        <v>der Kulturen, gemäss «Suisse-Bilanz»</v>
      </c>
      <c r="B2692" s="2410" t="s">
        <v>11493</v>
      </c>
      <c r="C2692" s="2410" t="s">
        <v>11495</v>
      </c>
      <c r="D2692" s="2414" t="s">
        <v>12039</v>
      </c>
      <c r="E2692" s="2411"/>
      <c r="F2692" s="2411"/>
      <c r="G2692" s="2411"/>
      <c r="H2692" s="2411"/>
    </row>
    <row r="2693" spans="1:8" ht="12.75" customHeight="1">
      <c r="A2693" s="2410" t="str">
        <f>IF($A$2=1,B2693,IF($A$2=2,C2693,IF($A$2=3,IF(D2693="",C2693,D2693),"")))</f>
        <v>trifft zu</v>
      </c>
      <c r="B2693" s="2410" t="s">
        <v>11513</v>
      </c>
      <c r="C2693" s="2410" t="s">
        <v>12042</v>
      </c>
      <c r="D2693" s="3075" t="s">
        <v>7426</v>
      </c>
      <c r="E2693" s="2411"/>
      <c r="F2693" s="2411"/>
      <c r="G2693" s="2411"/>
      <c r="H2693" s="2411"/>
    </row>
    <row r="2694" spans="1:8" ht="12.75" customHeight="1">
      <c r="A2694" s="2410" t="str">
        <f>IF($A$2=1,B2694,IF($A$2=2,C2694,IF($A$2=3,IF(D2694="",C2694,D2694),"")))</f>
        <v>trifft nicht  zu</v>
      </c>
      <c r="B2694" s="2410" t="s">
        <v>11514</v>
      </c>
      <c r="C2694" s="2410" t="s">
        <v>12043</v>
      </c>
      <c r="D2694" s="2414" t="s">
        <v>12044</v>
      </c>
      <c r="E2694" s="2411"/>
      <c r="F2694" s="2411"/>
      <c r="G2694" s="2411"/>
      <c r="H2694" s="2411"/>
    </row>
    <row r="2695" spans="1:8" ht="12.75" customHeight="1">
      <c r="A2695" s="2410" t="str">
        <f t="shared" si="50"/>
        <v>Ackerfläche</v>
      </c>
      <c r="B2695" s="2410" t="s">
        <v>4684</v>
      </c>
      <c r="C2695" s="2410" t="s">
        <v>11432</v>
      </c>
      <c r="D2695" s="2414" t="s">
        <v>12040</v>
      </c>
      <c r="E2695" s="2411"/>
      <c r="F2695" s="2411"/>
      <c r="G2695" s="2411"/>
      <c r="H2695" s="2411"/>
    </row>
    <row r="2696" spans="1:8" ht="12.75" customHeight="1">
      <c r="A2696" s="2410" t="str">
        <f t="shared" si="50"/>
        <v>Weidebeitrag</v>
      </c>
      <c r="B2696" s="2410" t="s">
        <v>11433</v>
      </c>
      <c r="C2696" s="2410" t="s">
        <v>11434</v>
      </c>
      <c r="D2696" s="2414" t="s">
        <v>12041</v>
      </c>
      <c r="E2696" s="2411"/>
      <c r="F2696" s="2411"/>
      <c r="G2696" s="2411"/>
      <c r="H2696" s="2411"/>
    </row>
    <row r="2697" spans="1:8" ht="12.75" customHeight="1">
      <c r="A2697" s="2410" t="str">
        <f t="shared" si="50"/>
        <v>Tiere der Rindergattung und Wasserbüfel &gt; 160 Tage</v>
      </c>
      <c r="B2697" s="2410" t="s">
        <v>11435</v>
      </c>
      <c r="C2697" s="2410" t="s">
        <v>11436</v>
      </c>
      <c r="D2697" s="2414" t="s">
        <v>12045</v>
      </c>
      <c r="E2697" s="2411"/>
      <c r="F2697" s="2411"/>
      <c r="G2697" s="2411"/>
      <c r="H2697" s="2411"/>
    </row>
    <row r="2698" spans="1:8" ht="12.75" customHeight="1">
      <c r="A2698" s="2410" t="str">
        <f t="shared" si="50"/>
        <v>*Der Weidebeitrag wird nur ausgerichtet, wenn allen Tieren der Rindergattung und Wasserbüffel mindestens Auslauf nach RAUS-Vorgaben gewährt wird</v>
      </c>
      <c r="B2698" s="2410" t="s">
        <v>11437</v>
      </c>
      <c r="C2698" s="2410" t="s">
        <v>11438</v>
      </c>
      <c r="D2698" s="2414" t="s">
        <v>12046</v>
      </c>
      <c r="E2698" s="2411"/>
      <c r="F2698" s="2411"/>
      <c r="G2698" s="2411"/>
      <c r="H2698" s="2411"/>
    </row>
    <row r="2699" spans="1:8" ht="12.75" customHeight="1">
      <c r="A2699" s="2410" t="str">
        <f t="shared" si="50"/>
        <v>*Kein RAUS-Beitrag wird ausgerichtet für Tierkategorien, für die bereits der Weidebeitrag ausgerichtet wird</v>
      </c>
      <c r="B2699" s="2410" t="s">
        <v>11439</v>
      </c>
      <c r="C2699" s="2410" t="s">
        <v>11440</v>
      </c>
      <c r="D2699" s="2414" t="s">
        <v>12047</v>
      </c>
      <c r="E2699" s="2411"/>
      <c r="F2699" s="2411"/>
      <c r="G2699" s="2411"/>
      <c r="H2699" s="2411"/>
    </row>
    <row r="2700" spans="1:8" ht="12.75" customHeight="1">
      <c r="A2700" s="2410" t="str">
        <f t="shared" si="50"/>
        <v>Zusatzbeitrag für Zuckerrüben zur Zuckerherstellung</v>
      </c>
      <c r="B2700" s="2410" t="s">
        <v>11441</v>
      </c>
      <c r="C2700" s="2410" t="s">
        <v>11442</v>
      </c>
      <c r="D2700" s="2414" t="s">
        <v>12048</v>
      </c>
      <c r="E2700" s="2411"/>
      <c r="F2700" s="2411"/>
      <c r="G2700" s="2411"/>
      <c r="H2700" s="2411"/>
    </row>
    <row r="2701" spans="1:8" ht="12.75" customHeight="1">
      <c r="A2701" s="2410" t="str">
        <f t="shared" si="50"/>
        <v>**Der Zusatzbeitrag wird ausgerichtet, wenn auch einer der folgenden Beiträge ausgerichtet wird: Beitrag für biologische Landwirtschaft, oder Beitrag für den Verzicht auf Fungizide und Insektizide</v>
      </c>
      <c r="B2701" s="2410" t="s">
        <v>11443</v>
      </c>
      <c r="C2701" s="2410" t="s">
        <v>11444</v>
      </c>
      <c r="D2701" s="2414" t="s">
        <v>12049</v>
      </c>
      <c r="E2701" s="2411"/>
      <c r="F2701" s="2411"/>
      <c r="G2701" s="2411"/>
      <c r="H2701" s="2411"/>
    </row>
    <row r="2702" spans="1:8" ht="12.75" customHeight="1">
      <c r="A2702" s="2410" t="str">
        <f t="shared" si="50"/>
        <v>Längere Nutzungsdauer von Kühen</v>
      </c>
      <c r="B2702" s="2410" t="s">
        <v>11445</v>
      </c>
      <c r="C2702" s="2410" t="s">
        <v>11446</v>
      </c>
      <c r="D2702" s="2414" t="s">
        <v>11822</v>
      </c>
      <c r="E2702" s="2411"/>
      <c r="F2702" s="2411"/>
      <c r="G2702" s="2411"/>
      <c r="H2702" s="2411"/>
    </row>
    <row r="2703" spans="1:8" ht="12.75" customHeight="1">
      <c r="A2703" s="2410" t="str">
        <f t="shared" si="50"/>
        <v>Milchkühe</v>
      </c>
      <c r="B2703" s="2410" t="s">
        <v>2350</v>
      </c>
      <c r="C2703" s="2410" t="s">
        <v>709</v>
      </c>
      <c r="D2703" s="2414" t="s">
        <v>8572</v>
      </c>
      <c r="E2703" s="2411"/>
      <c r="F2703" s="2411"/>
      <c r="G2703" s="2411"/>
      <c r="H2703" s="2411"/>
    </row>
    <row r="2704" spans="1:8" ht="12.75" customHeight="1">
      <c r="A2704" s="2410" t="str">
        <f t="shared" si="50"/>
        <v>Andere Kühe</v>
      </c>
      <c r="B2704" s="2410" t="s">
        <v>5023</v>
      </c>
      <c r="C2704" s="2410" t="s">
        <v>2028</v>
      </c>
      <c r="D2704" s="2414" t="s">
        <v>9338</v>
      </c>
      <c r="E2704" s="2411"/>
      <c r="F2704" s="2411"/>
      <c r="G2704" s="2411"/>
      <c r="H2704" s="2411"/>
    </row>
    <row r="2705" spans="1:8" ht="12.75" customHeight="1">
      <c r="A2705" s="2410" t="str">
        <f t="shared" si="50"/>
        <v>durchschnittlichen Anzahl Abkalbungen</v>
      </c>
      <c r="B2705" s="2410" t="s">
        <v>11447</v>
      </c>
      <c r="C2705" s="2410" t="s">
        <v>11448</v>
      </c>
      <c r="D2705" s="2414" t="s">
        <v>12050</v>
      </c>
      <c r="E2705" s="2411"/>
      <c r="F2705" s="2411"/>
      <c r="G2705" s="2411"/>
      <c r="H2705" s="2411"/>
    </row>
    <row r="2706" spans="1:8" ht="12.75" customHeight="1">
      <c r="A2706" s="2410" t="str">
        <f t="shared" si="50"/>
        <v>*der in den vorangehenden drei Kalenderjahren geschlachteten Tiere des Betriebes</v>
      </c>
      <c r="B2706" s="2410" t="s">
        <v>11449</v>
      </c>
      <c r="C2706" s="2410" t="s">
        <v>11450</v>
      </c>
      <c r="D2706" s="2414" t="s">
        <v>12051</v>
      </c>
      <c r="E2706" s="2411"/>
      <c r="F2706" s="2411"/>
      <c r="G2706" s="2411"/>
      <c r="H2706" s="2411"/>
    </row>
    <row r="2707" spans="1:8" ht="12.75" customHeight="1">
      <c r="A2707" s="2410" t="str">
        <f t="shared" si="48"/>
        <v>b) - Kein Beitrag wird ausgerichtet für Freiland-Konservengemüse</v>
      </c>
      <c r="B2707" s="2410" t="s">
        <v>11369</v>
      </c>
      <c r="C2707" s="2410" t="s">
        <v>11370</v>
      </c>
      <c r="D2707" s="2414" t="s">
        <v>12052</v>
      </c>
      <c r="E2707" s="2411"/>
      <c r="F2707" s="2411"/>
      <c r="G2707" s="2411"/>
      <c r="H2707" s="2411"/>
    </row>
    <row r="2708" spans="1:8" ht="12.75" customHeight="1">
      <c r="A2708" s="2410" t="str">
        <f t="shared" si="48"/>
        <v>c) - Kein Beitrag wird ausgerichtet für Flächen, für die ein Beitrag biologische Landwirtschaft ausgerichtet wird</v>
      </c>
      <c r="B2708" s="2410" t="s">
        <v>11371</v>
      </c>
      <c r="C2708" s="2410" t="s">
        <v>11372</v>
      </c>
      <c r="D2708" s="2414" t="s">
        <v>12053</v>
      </c>
      <c r="E2708" s="2411"/>
      <c r="F2708" s="2411"/>
      <c r="G2708" s="2411"/>
      <c r="H2708" s="2411"/>
    </row>
    <row r="2709" spans="1:8" ht="12.75" customHeight="1">
      <c r="A2709" s="2410" t="str">
        <f t="shared" si="48"/>
        <v>d) - Kein Beitrag wird ausgerichtet für Biodiversitätsförderflächen nach Artikel 55 (mit Ausnahme von Getreide in weiter Reihe), Nützlingsstreifen auf offener Ackerfläche nach Artikel 71b Absatz 1 Buchstabe a, Anbau von Pilzen, Kulturen in geschütztem Anbau</v>
      </c>
      <c r="B2709" s="2410" t="s">
        <v>11373</v>
      </c>
      <c r="C2709" s="2410" t="s">
        <v>11374</v>
      </c>
      <c r="D2709" s="2414" t="s">
        <v>12054</v>
      </c>
      <c r="E2709" s="2411"/>
      <c r="F2709" s="2411"/>
      <c r="G2709" s="2411"/>
      <c r="H2709" s="2411"/>
    </row>
    <row r="2710" spans="1:8" ht="12.75" customHeight="1">
      <c r="A2710" s="2410" t="str">
        <f t="shared" si="48"/>
        <v>Funktionale Biodiversität</v>
      </c>
      <c r="B2710" s="2410" t="s">
        <v>11375</v>
      </c>
      <c r="C2710" s="2410" t="s">
        <v>11376</v>
      </c>
      <c r="D2710" s="2414" t="s">
        <v>12055</v>
      </c>
      <c r="E2710" s="2411"/>
      <c r="F2710" s="2411"/>
      <c r="G2710" s="2411"/>
      <c r="H2710" s="2411"/>
    </row>
    <row r="2711" spans="1:8" ht="12.75" customHeight="1">
      <c r="A2711" s="2410" t="str">
        <f t="shared" si="48"/>
        <v>Klimamassnahmen</v>
      </c>
      <c r="B2711" s="2410" t="s">
        <v>11377</v>
      </c>
      <c r="C2711" s="2410" t="s">
        <v>11378</v>
      </c>
      <c r="D2711" s="2414" t="s">
        <v>12056</v>
      </c>
      <c r="E2711" s="2411"/>
      <c r="F2711" s="2411"/>
      <c r="G2711" s="2411"/>
      <c r="H2711" s="2411"/>
    </row>
    <row r="2712" spans="1:8" ht="12.75" customHeight="1">
      <c r="A2712" s="2410" t="str">
        <f t="shared" si="48"/>
        <v>Besonders tierfreundliche Produktionsformen</v>
      </c>
      <c r="B2712" s="2410" t="s">
        <v>11379</v>
      </c>
      <c r="C2712" s="2410" t="s">
        <v>11380</v>
      </c>
      <c r="D2712" s="2414" t="s">
        <v>12057</v>
      </c>
      <c r="E2712" s="2411"/>
      <c r="F2712" s="2411"/>
      <c r="G2712" s="2411"/>
      <c r="H2712" s="2411"/>
    </row>
    <row r="2713" spans="1:8" ht="12.75" customHeight="1">
      <c r="A2713" s="2410" t="str">
        <f t="shared" si="48"/>
        <v>e) - Kein Beitrag wird ausgerichtet für Nützlingsstreifen in Rebflächen mit natürlicher Artenvielfalt nach Artikel 55 Absatz 1 Buchstabe n, und regionsspezifische Biodiversitätsförderflächen nach Artikel 55 Absatz 1 Buchstabe p</v>
      </c>
      <c r="B2713" s="2410" t="s">
        <v>11381</v>
      </c>
      <c r="C2713" s="2410" t="s">
        <v>11382</v>
      </c>
      <c r="D2713" s="2414" t="s">
        <v>12058</v>
      </c>
      <c r="E2713" s="2411"/>
      <c r="F2713" s="2411"/>
      <c r="G2713" s="2411"/>
      <c r="H2713" s="2411"/>
    </row>
    <row r="2714" spans="1:8" ht="12.75" customHeight="1">
      <c r="A2714" s="2410" t="str">
        <f t="shared" si="48"/>
        <v>i) - Keine Beiträge werden ausgerichtet für das Anlegen von Kunstwiesen mit Mulchsaat, Zwischenkulturen, Weizen oder Triticale nach Mais</v>
      </c>
      <c r="B2714" s="2410" t="s">
        <v>11383</v>
      </c>
      <c r="C2714" s="2410" t="s">
        <v>11384</v>
      </c>
      <c r="D2714" s="2414" t="s">
        <v>12059</v>
      </c>
      <c r="E2714" s="2411"/>
      <c r="F2714" s="2411"/>
      <c r="G2714" s="2411"/>
      <c r="H2714" s="2411"/>
    </row>
    <row r="2715" spans="1:8" ht="12.75" customHeight="1">
      <c r="A2715" s="2410" t="str">
        <f t="shared" si="48"/>
        <v>Ja = 1; Nein = 0</v>
      </c>
      <c r="B2715" s="2410" t="s">
        <v>11385</v>
      </c>
      <c r="C2715" s="2410" t="s">
        <v>11386</v>
      </c>
      <c r="D2715" s="2414" t="s">
        <v>12060</v>
      </c>
      <c r="E2715" s="2411"/>
      <c r="F2715" s="2411"/>
      <c r="G2715" s="2411"/>
      <c r="H2715" s="2411"/>
    </row>
    <row r="2716" spans="1:8" ht="12.75" customHeight="1">
      <c r="A2716" s="2410" t="str">
        <f t="shared" si="48"/>
        <v>**der Betrag ist proportional zur durchschnittlichen Anzahl der Abkalbungen: für Milchkühe zwischen 10 Franken bei durchschnittlich 3 Abkalbungen und 200 Franken bei durchschnittlich 7 Abkalbungen und mehr; für andere Kühe: zwischen 10 Franken bei durchschnittlich 4 Abkalbungen und 200 Franken bei durchschnittlich 8 Abkalbungen und mehr</v>
      </c>
      <c r="B2716" s="2410" t="s">
        <v>11387</v>
      </c>
      <c r="C2716" s="2410" t="s">
        <v>11388</v>
      </c>
      <c r="D2716" s="2414" t="s">
        <v>12061</v>
      </c>
      <c r="E2716" s="2411"/>
    </row>
    <row r="2717" spans="1:8" ht="12.75" customHeight="1">
      <c r="A2717" s="2410" t="str">
        <f t="shared" si="48"/>
        <v>GVE Kühe</v>
      </c>
      <c r="B2717" s="2410" t="s">
        <v>11389</v>
      </c>
      <c r="C2717" s="2410" t="s">
        <v>11390</v>
      </c>
      <c r="D2717" s="2414" t="s">
        <v>12062</v>
      </c>
      <c r="E2717" s="2411"/>
    </row>
    <row r="2718" spans="1:8" ht="12.75" customHeight="1">
      <c r="A2718" s="2410" t="str">
        <f t="shared" si="48"/>
        <v>Der Faktor für den Übergangsbeitrag wird 2023 vermutlich wieder steigen und ungefähr 0.2 bis 0.25 betragen, anschliessend aber wieder sinken, je nach Beteiligung an den neuen Programmen</v>
      </c>
      <c r="B2718" s="2410" t="s">
        <v>11391</v>
      </c>
      <c r="C2718" s="2410" t="s">
        <v>11392</v>
      </c>
      <c r="D2718" s="2414" t="s">
        <v>12063</v>
      </c>
      <c r="E2718" s="2411"/>
    </row>
    <row r="2719" spans="1:8" ht="12.75" customHeight="1">
      <c r="A2719" s="2410" t="str">
        <f t="shared" si="48"/>
        <v>(Herbizideinsatz erlaubt)</v>
      </c>
      <c r="B2719" s="2410" t="s">
        <v>11393</v>
      </c>
      <c r="C2719" s="2410" t="s">
        <v>11394</v>
      </c>
      <c r="D2719" s="2414" t="s">
        <v>12064</v>
      </c>
      <c r="E2719" s="2411"/>
    </row>
    <row r="2720" spans="1:8" ht="12.75" customHeight="1">
      <c r="A2720" s="2410" t="str">
        <f t="shared" si="48"/>
        <v>f) - wenn nach deren Ernte auf dem gesamten Betrieb innerhalb von sieben Wochen eine weitere Kultur, eine Winterkultur, Zwischenkultur oder Gründüngung angelegt wird, und wenn bis zum 15. Februar des folgenden Jahres keine Bodenbearbeitung auf den Flächen erfolgt, die mit Kulturen, Zwischenkulturen und Gründüngung belegt sind</v>
      </c>
      <c r="B2720" s="2410" t="s">
        <v>11395</v>
      </c>
      <c r="C2720" s="2410" t="s">
        <v>11396</v>
      </c>
      <c r="D2720" s="2414" t="s">
        <v>12065</v>
      </c>
      <c r="E2720" s="2411"/>
    </row>
    <row r="2721" spans="1:5" ht="12.75" customHeight="1">
      <c r="A2721" s="2410" t="str">
        <f t="shared" si="48"/>
        <v>g) - wenn gesamtbetrieblich immer mindestens 70 Prozent der entsprechenden Fläche mit einer Kultur oder einer Zwischenkultur bedeckt sind</v>
      </c>
      <c r="B2721" s="2410" t="s">
        <v>11397</v>
      </c>
      <c r="C2721" s="2410" t="s">
        <v>11398</v>
      </c>
      <c r="D2721" s="2414" t="s">
        <v>12066</v>
      </c>
      <c r="E2721" s="2411"/>
    </row>
    <row r="2722" spans="1:5" ht="12.75" customHeight="1">
      <c r="A2722" s="2410" t="str">
        <f t="shared" si="48"/>
        <v>h) - wenn gesamtbetrieblich immer mindestens 70 Prozent der Rebfläche begrünt sind, und wenn Traubentrester auf die Rebfläche des Betriebs zurückgebracht und verteilt wird</v>
      </c>
      <c r="B2722" s="2410" t="s">
        <v>11399</v>
      </c>
      <c r="C2722" s="2410" t="s">
        <v>11400</v>
      </c>
      <c r="D2722" s="2414" t="s">
        <v>12067</v>
      </c>
      <c r="E2722" s="2411"/>
    </row>
    <row r="2723" spans="1:5" ht="12.75" customHeight="1">
      <c r="A2723" s="2410" t="str">
        <f t="shared" si="48"/>
        <v>j) - Die Voraussetzungen für den Beitrag für eine angemessene Bedeckung des Bodens sind erfüllt</v>
      </c>
      <c r="B2723" s="2410" t="s">
        <v>11401</v>
      </c>
      <c r="C2723" s="2410" t="s">
        <v>11402</v>
      </c>
      <c r="D2723" s="2414" t="s">
        <v>12068</v>
      </c>
      <c r="E2723" s="2411"/>
    </row>
    <row r="2724" spans="1:5" ht="12.75" customHeight="1">
      <c r="A2724" s="2410" t="str">
        <f t="shared" si="48"/>
        <v xml:space="preserve">k) - die zum Beitrag berechtigende Fläche umfasst mindestens 60 Prozent der offenen Ackerfläche des Betriebs </v>
      </c>
      <c r="B2724" s="2410" t="s">
        <v>11403</v>
      </c>
      <c r="C2724" s="2410" t="s">
        <v>11404</v>
      </c>
      <c r="D2724" s="2414" t="s">
        <v>12069</v>
      </c>
      <c r="E2724" s="2411"/>
    </row>
    <row r="2725" spans="1:5" ht="12.75" customHeight="1">
      <c r="A2725" s="2410" t="str">
        <f t="shared" si="48"/>
        <v>Extensive Produktion von Getreide und Raps</v>
      </c>
      <c r="B2725" s="2410" t="s">
        <v>4796</v>
      </c>
      <c r="C2725" s="2410" t="s">
        <v>6224</v>
      </c>
      <c r="D2725" s="2414" t="s">
        <v>11220</v>
      </c>
    </row>
    <row r="2726" spans="1:5" ht="12.75" customHeight="1">
      <c r="A2726" s="2410" t="str">
        <f t="shared" si="48"/>
        <v>Getreide, ohne Körnermais</v>
      </c>
      <c r="B2726" s="2410" t="s">
        <v>562</v>
      </c>
      <c r="C2726" s="2410" t="s">
        <v>563</v>
      </c>
      <c r="D2726" s="2414" t="s">
        <v>11221</v>
      </c>
    </row>
    <row r="2727" spans="1:5" ht="12.75" customHeight="1">
      <c r="A2727" s="2410" t="str">
        <f t="shared" si="48"/>
        <v>Raps</v>
      </c>
      <c r="B2727" s="2410" t="s">
        <v>4798</v>
      </c>
      <c r="C2727" s="2410" t="s">
        <v>2317</v>
      </c>
      <c r="D2727" s="2414" t="s">
        <v>2317</v>
      </c>
    </row>
    <row r="2728" spans="1:5" ht="12.75" customHeight="1">
      <c r="A2728" s="2410" t="str">
        <f t="shared" si="48"/>
        <v>Sonnenblumen, Eiweisserbsen, Ackerbohnen</v>
      </c>
      <c r="B2728" s="2410" t="s">
        <v>6443</v>
      </c>
      <c r="C2728" s="2410" t="s">
        <v>5716</v>
      </c>
      <c r="D2728" s="2414" t="s">
        <v>9596</v>
      </c>
    </row>
    <row r="2729" spans="1:5" ht="12.75" customHeight="1">
      <c r="A2729" s="2410" t="str">
        <f t="shared" si="48"/>
        <v>ja</v>
      </c>
      <c r="B2729" s="2410" t="s">
        <v>4356</v>
      </c>
      <c r="C2729" s="2410" t="s">
        <v>5639</v>
      </c>
      <c r="D2729" s="2414" t="s">
        <v>1741</v>
      </c>
    </row>
    <row r="2730" spans="1:5" ht="12.75" customHeight="1">
      <c r="A2730" s="2410" t="str">
        <f t="shared" si="48"/>
        <v>Graslandbasierte Milch- und Fleischproduktion (GMF)</v>
      </c>
      <c r="B2730" s="2410" t="s">
        <v>5057</v>
      </c>
      <c r="C2730" s="2410" t="s">
        <v>5058</v>
      </c>
      <c r="D2730" s="2414" t="s">
        <v>6442</v>
      </c>
    </row>
    <row r="2731" spans="1:5" ht="12.75" customHeight="1">
      <c r="A2731" s="2410" t="str">
        <f t="shared" si="48"/>
        <v>für beitragsberechtigte Grünfläche</v>
      </c>
      <c r="B2731" s="2410" t="s">
        <v>2687</v>
      </c>
      <c r="C2731" s="2410" t="s">
        <v>3016</v>
      </c>
      <c r="D2731" s="2414" t="s">
        <v>12070</v>
      </c>
    </row>
    <row r="2732" spans="1:5" ht="12.75" customHeight="1">
      <c r="A2732" s="2410" t="str">
        <f t="shared" si="48"/>
        <v>Voraussetzungen für Mindestanteile der Ration nicht erfüllt!</v>
      </c>
      <c r="B2732" s="2410" t="s">
        <v>852</v>
      </c>
      <c r="C2732" s="2410" t="s">
        <v>5101</v>
      </c>
      <c r="D2732" s="2414" t="s">
        <v>9597</v>
      </c>
    </row>
    <row r="2733" spans="1:5" ht="12.75" customHeight="1">
      <c r="A2733" s="2410" t="str">
        <f t="shared" si="48"/>
        <v>Tierwohlbeiträge</v>
      </c>
      <c r="B2733" s="2410" t="s">
        <v>3799</v>
      </c>
      <c r="C2733" s="2410" t="s">
        <v>5855</v>
      </c>
      <c r="D2733" s="2414" t="s">
        <v>2873</v>
      </c>
    </row>
    <row r="2734" spans="1:5" ht="12.75" customHeight="1">
      <c r="A2734" s="2410" t="str">
        <f t="shared" si="48"/>
        <v>Besonders tierfreundliche Stallhaltungssysteme (BTS)</v>
      </c>
      <c r="B2734" s="2410" t="s">
        <v>5500</v>
      </c>
      <c r="C2734" s="2410" t="s">
        <v>6134</v>
      </c>
      <c r="D2734" s="2414" t="s">
        <v>7411</v>
      </c>
    </row>
    <row r="2735" spans="1:5" ht="12.75" customHeight="1">
      <c r="A2735" s="2410" t="str">
        <f t="shared" si="48"/>
        <v xml:space="preserve">Über 160 Tage alte Tiere der Rindergattung und Wasserbüffel, über 30 Monate  </v>
      </c>
      <c r="B2735" s="2410" t="s">
        <v>5974</v>
      </c>
      <c r="C2735" s="2410"/>
      <c r="D2735" s="2414" t="s">
        <v>4899</v>
      </c>
    </row>
    <row r="2736" spans="1:5" ht="12.75" customHeight="1">
      <c r="A2736" s="2410" t="str">
        <f t="shared" si="48"/>
        <v>alte Tiere der Pferdegattung und über ein Jahr alte Tiere der Ziegengattung</v>
      </c>
      <c r="B2736" s="2410" t="s">
        <v>5975</v>
      </c>
      <c r="C2736" s="2410" t="s">
        <v>3363</v>
      </c>
      <c r="D2736" s="2414" t="s">
        <v>12071</v>
      </c>
    </row>
    <row r="2737" spans="1:4" ht="12.75" customHeight="1">
      <c r="A2737" s="2410" t="str">
        <f t="shared" si="48"/>
        <v>andere Kühe (z.B. Mutterkühe)</v>
      </c>
      <c r="B2737" s="2410" t="s">
        <v>2831</v>
      </c>
      <c r="C2737" s="2410" t="s">
        <v>2832</v>
      </c>
      <c r="D2737" s="2414" t="s">
        <v>9598</v>
      </c>
    </row>
    <row r="2738" spans="1:4" ht="12.75" customHeight="1">
      <c r="A2738" s="2410" t="str">
        <f t="shared" si="48"/>
        <v>Schweine ohne Saugferkel</v>
      </c>
      <c r="B2738" s="2410" t="s">
        <v>3253</v>
      </c>
      <c r="C2738" s="2410" t="s">
        <v>6792</v>
      </c>
      <c r="D2738" s="2414" t="s">
        <v>11222</v>
      </c>
    </row>
    <row r="2739" spans="1:4" ht="12.75" customHeight="1">
      <c r="A2739" s="2410" t="str">
        <f t="shared" si="48"/>
        <v>Geflügel</v>
      </c>
      <c r="B2739" s="2410" t="s">
        <v>2280</v>
      </c>
      <c r="C2739" s="2410" t="s">
        <v>3957</v>
      </c>
      <c r="D2739" s="2414" t="s">
        <v>8462</v>
      </c>
    </row>
    <row r="2740" spans="1:4" ht="12.75" customHeight="1">
      <c r="A2740" s="2410" t="str">
        <f t="shared" ref="A2740:A2835" si="51">IF($A$2=1,B2740,IF($A$2=2,C2740,IF($A$2=3,IF(D2740="",C2740,D2740),"")))</f>
        <v>Kaninchen</v>
      </c>
      <c r="B2740" s="2410" t="s">
        <v>5013</v>
      </c>
      <c r="C2740" s="2410" t="s">
        <v>1062</v>
      </c>
      <c r="D2740" s="2414" t="s">
        <v>9600</v>
      </c>
    </row>
    <row r="2741" spans="1:4" ht="12.75" customHeight="1">
      <c r="A2741" s="2410" t="str">
        <f t="shared" si="51"/>
        <v>Regelmässiger Auslauf im Freien (RAUS)</v>
      </c>
      <c r="B2741" s="2410" t="s">
        <v>5683</v>
      </c>
      <c r="C2741" s="2410" t="s">
        <v>2272</v>
      </c>
      <c r="D2741" s="2414" t="s">
        <v>1280</v>
      </c>
    </row>
    <row r="2742" spans="1:4" ht="12.75" customHeight="1">
      <c r="A2742" s="2410" t="str">
        <f t="shared" si="51"/>
        <v xml:space="preserve">Über 160 Tage alte Tiere der Rindergattung und Wasserbüffel, Tiere der Pferdegattung, </v>
      </c>
      <c r="B2742" s="2410" t="s">
        <v>1667</v>
      </c>
      <c r="C2742" s="3327" t="s">
        <v>12192</v>
      </c>
      <c r="D2742" s="2414" t="s">
        <v>12072</v>
      </c>
    </row>
    <row r="2743" spans="1:4" ht="12.75" customHeight="1">
      <c r="A2743" s="2410" t="str">
        <f t="shared" si="51"/>
        <v>über ein Jahr alte Tiere der Schaf- und Ziegengattung</v>
      </c>
      <c r="B2743" s="3327" t="s">
        <v>12191</v>
      </c>
      <c r="C2743" s="2410"/>
      <c r="D2743" s="3326" t="s">
        <v>12193</v>
      </c>
    </row>
    <row r="2744" spans="1:4" ht="12.75" customHeight="1">
      <c r="A2744" s="2410" t="str">
        <f t="shared" si="51"/>
        <v>Tiere der Rindergattung und Wasserbüffel, bis 160 Tage</v>
      </c>
      <c r="B2744" s="2781" t="s">
        <v>11966</v>
      </c>
      <c r="C2744" s="2410" t="s">
        <v>561</v>
      </c>
      <c r="D2744" s="2414" t="s">
        <v>9601</v>
      </c>
    </row>
    <row r="2745" spans="1:4" ht="12.75" customHeight="1">
      <c r="A2745" s="2410" t="str">
        <f t="shared" si="51"/>
        <v>Zusatzbeitrag für weibliche Tiere, bis 1-jährig, sowie für alle Stiere der Rinder-</v>
      </c>
      <c r="B2745" s="2410" t="s">
        <v>592</v>
      </c>
      <c r="C2745" s="2410" t="s">
        <v>565</v>
      </c>
      <c r="D2745" s="2414" t="s">
        <v>9602</v>
      </c>
    </row>
    <row r="2746" spans="1:4" ht="12.75" customHeight="1">
      <c r="A2746" s="2410" t="str">
        <f t="shared" si="51"/>
        <v>gattung und Wasserbüffel, die im Sommer ausschliesslich geweidet werden.</v>
      </c>
      <c r="B2746" s="2410" t="s">
        <v>591</v>
      </c>
      <c r="C2746" s="2410" t="s">
        <v>564</v>
      </c>
      <c r="D2746" s="2414" t="s">
        <v>12073</v>
      </c>
    </row>
    <row r="2747" spans="1:4" ht="12.75" customHeight="1">
      <c r="A2747" s="2410" t="str">
        <f t="shared" si="51"/>
        <v>Zuchtsauen, nicht säugend</v>
      </c>
      <c r="B2747" s="2410" t="s">
        <v>3905</v>
      </c>
      <c r="C2747" s="2410" t="s">
        <v>3906</v>
      </c>
      <c r="D2747" s="2414" t="s">
        <v>11223</v>
      </c>
    </row>
    <row r="2748" spans="1:4" ht="12.75" customHeight="1">
      <c r="A2748" s="2410" t="str">
        <f t="shared" si="51"/>
        <v>übrige Schweine ohne Saugferkel</v>
      </c>
      <c r="B2748" s="2410" t="s">
        <v>4961</v>
      </c>
      <c r="C2748" s="2410" t="s">
        <v>4004</v>
      </c>
      <c r="D2748" s="2414" t="s">
        <v>9599</v>
      </c>
    </row>
    <row r="2749" spans="1:4" ht="12.75" customHeight="1">
      <c r="A2749" s="2410" t="str">
        <f>IF($A$2=1,B2749,IF($A$2=2,C2749,IF($A$2=3,IF(D2749="",C2749,D2749),"")))</f>
        <v>Über 160 Tage alte Tiere der Rindergattung und Wasserbüffel</v>
      </c>
      <c r="B2749" s="2410" t="s">
        <v>11497</v>
      </c>
      <c r="C2749" s="2410" t="s">
        <v>11498</v>
      </c>
      <c r="D2749" s="2414" t="s">
        <v>11828</v>
      </c>
    </row>
    <row r="2750" spans="1:4" ht="12.75" customHeight="1">
      <c r="A2750" s="2410" t="str">
        <f>IF($A$2=1,B2750,IF($A$2=2,C2750,IF($A$2=3,IF(D2750="",C2750,D2750),"")))</f>
        <v>Abzug für Tiere über 160 Tage, die keinen Weidebeitrag erhalten</v>
      </c>
      <c r="B2750" s="2410" t="s">
        <v>11977</v>
      </c>
      <c r="C2750" s="3050" t="s">
        <v>11985</v>
      </c>
      <c r="D2750" s="3051" t="s">
        <v>11982</v>
      </c>
    </row>
    <row r="2751" spans="1:4" ht="12.75" customHeight="1">
      <c r="A2751" s="2410" t="str">
        <f>IF($A$2=1,B2751,IF($A$2=2,C2751,IF($A$2=3,IF(D2751="",C2751,D2751),"")))</f>
        <v>Abzug für Tiere bis 160 Tage, die keinen Weidebeitrag erhalten</v>
      </c>
      <c r="B2751" s="2410" t="s">
        <v>11978</v>
      </c>
      <c r="C2751" s="3050" t="s">
        <v>11984</v>
      </c>
      <c r="D2751" s="3051" t="s">
        <v>11983</v>
      </c>
    </row>
    <row r="2752" spans="1:4" ht="12.75" customHeight="1">
      <c r="A2752" s="2410" t="str">
        <f t="shared" si="51"/>
        <v>Längere Nutzungsdauer von Kühen</v>
      </c>
      <c r="B2752" s="2410" t="s">
        <v>11445</v>
      </c>
      <c r="C2752" s="2410" t="s">
        <v>11446</v>
      </c>
      <c r="D2752" s="2414" t="s">
        <v>11822</v>
      </c>
    </row>
    <row r="2753" spans="1:4" ht="12.75" customHeight="1">
      <c r="A2753" s="2410" t="str">
        <f t="shared" si="51"/>
        <v>Milchkühe</v>
      </c>
      <c r="B2753" s="2410" t="s">
        <v>2350</v>
      </c>
      <c r="C2753" s="2410" t="s">
        <v>709</v>
      </c>
      <c r="D2753" s="2414" t="s">
        <v>8572</v>
      </c>
    </row>
    <row r="2754" spans="1:4" ht="12.75" customHeight="1">
      <c r="A2754" s="2410" t="str">
        <f t="shared" si="51"/>
        <v>Andere Kühe</v>
      </c>
      <c r="B2754" s="2410" t="s">
        <v>5023</v>
      </c>
      <c r="C2754" s="2410" t="s">
        <v>2028</v>
      </c>
      <c r="D2754" s="2414" t="s">
        <v>9338</v>
      </c>
    </row>
    <row r="2755" spans="1:4" ht="12.75" customHeight="1">
      <c r="A2755" s="2410" t="str">
        <f t="shared" si="51"/>
        <v>durchschnittliche Anzahl</v>
      </c>
      <c r="B2755" s="2771" t="s">
        <v>11824</v>
      </c>
      <c r="C2755" s="2771" t="s">
        <v>11825</v>
      </c>
      <c r="D2755" s="2772" t="s">
        <v>12074</v>
      </c>
    </row>
    <row r="2756" spans="1:4" ht="12.75" customHeight="1">
      <c r="A2756" s="2410" t="str">
        <f t="shared" si="51"/>
        <v>Abkalbungen</v>
      </c>
      <c r="B2756" s="2771" t="s">
        <v>11823</v>
      </c>
      <c r="C2756" s="2771" t="s">
        <v>11826</v>
      </c>
      <c r="D2756" s="2414" t="s">
        <v>11827</v>
      </c>
    </row>
    <row r="2757" spans="1:4" ht="12.75" customHeight="1">
      <c r="A2757" s="2410" t="str">
        <f t="shared" si="51"/>
        <v>Total Produktionssystembeiträge</v>
      </c>
      <c r="B2757" s="2410" t="s">
        <v>2061</v>
      </c>
      <c r="C2757" s="2410" t="s">
        <v>7562</v>
      </c>
      <c r="D2757" s="2414" t="s">
        <v>9604</v>
      </c>
    </row>
    <row r="2758" spans="1:4" ht="12.75" customHeight="1">
      <c r="A2758" s="2410">
        <f t="shared" si="51"/>
        <v>0</v>
      </c>
      <c r="B2758" s="2410"/>
      <c r="C2758" s="2410"/>
      <c r="D2758" s="2414"/>
    </row>
    <row r="2759" spans="1:4" ht="12.75" customHeight="1">
      <c r="A2759" s="2410" t="str">
        <f t="shared" si="51"/>
        <v>Ressourceneffizienzbeiträge (nationale: REB, Art. 77 bis 83 und Anhang 7 DZV)</v>
      </c>
      <c r="B2759" s="2410" t="s">
        <v>7048</v>
      </c>
      <c r="C2759" s="2410" t="s">
        <v>2591</v>
      </c>
      <c r="D2759" s="2414" t="s">
        <v>9605</v>
      </c>
    </row>
    <row r="2760" spans="1:4" ht="12.75" customHeight="1">
      <c r="A2760" s="2410" t="str">
        <f t="shared" si="51"/>
        <v>Betrag (CHF)</v>
      </c>
      <c r="B2760" s="2410" t="s">
        <v>1107</v>
      </c>
      <c r="C2760" s="2410" t="s">
        <v>1684</v>
      </c>
      <c r="D2760" s="2414" t="s">
        <v>9592</v>
      </c>
    </row>
    <row r="2761" spans="1:4" ht="12.75" customHeight="1">
      <c r="A2761" s="2410" t="str">
        <f t="shared" si="51"/>
        <v xml:space="preserve">Anz. Gaben x </v>
      </c>
      <c r="B2761" s="2410" t="s">
        <v>6056</v>
      </c>
      <c r="C2761" s="2410" t="s">
        <v>5002</v>
      </c>
      <c r="D2761" s="2414" t="s">
        <v>9606</v>
      </c>
    </row>
    <row r="2762" spans="1:4" ht="12.75" customHeight="1">
      <c r="A2762" s="2410" t="str">
        <f t="shared" si="51"/>
        <v>Fläche (ha)</v>
      </c>
      <c r="B2762" s="2410" t="s">
        <v>6410</v>
      </c>
      <c r="C2762" s="2410" t="s">
        <v>5003</v>
      </c>
      <c r="D2762" s="2414" t="s">
        <v>1267</v>
      </c>
    </row>
    <row r="2763" spans="1:4" ht="12.75" customHeight="1">
      <c r="A2763" s="2410" t="str">
        <f t="shared" si="51"/>
        <v>Zwischentotal</v>
      </c>
      <c r="B2763" s="2410" t="s">
        <v>6604</v>
      </c>
      <c r="C2763" s="2410" t="s">
        <v>6296</v>
      </c>
      <c r="D2763" s="2414" t="s">
        <v>9517</v>
      </c>
    </row>
    <row r="2764" spans="1:4" ht="12.75" customHeight="1">
      <c r="A2764" s="2410" t="str">
        <f t="shared" si="51"/>
        <v>Total (CHF)</v>
      </c>
      <c r="B2764" s="2410" t="s">
        <v>1685</v>
      </c>
      <c r="C2764" s="2410" t="s">
        <v>1685</v>
      </c>
      <c r="D2764" s="2414" t="s">
        <v>9518</v>
      </c>
    </row>
    <row r="2765" spans="1:4" ht="12.75" customHeight="1">
      <c r="A2765" s="2410" t="str">
        <f t="shared" si="51"/>
        <v>Emissionsmindernde Ausbringverfahren*</v>
      </c>
      <c r="B2765" s="2410" t="s">
        <v>6</v>
      </c>
      <c r="C2765" s="2410" t="s">
        <v>7</v>
      </c>
      <c r="D2765" s="2414" t="s">
        <v>8795</v>
      </c>
    </row>
    <row r="2766" spans="1:4" ht="12.75" customHeight="1">
      <c r="A2766" s="2410" t="str">
        <f t="shared" si="51"/>
        <v>zu Beiträgen berechtigende Ausbringfläche (ha x Anz. Gaben)</v>
      </c>
      <c r="B2766" s="2410" t="s">
        <v>8</v>
      </c>
      <c r="C2766" s="2410" t="s">
        <v>9</v>
      </c>
      <c r="D2766" s="2414" t="s">
        <v>9607</v>
      </c>
    </row>
    <row r="2767" spans="1:4" ht="12.75" customHeight="1">
      <c r="A2767" s="2410" t="str">
        <f t="shared" si="51"/>
        <v>* Schleppschlauch, Schleppschuh, Gülledrill, tiefe Gülleinjektion;</v>
      </c>
      <c r="B2767" s="2410" t="s">
        <v>1363</v>
      </c>
      <c r="C2767" s="2410" t="s">
        <v>253</v>
      </c>
      <c r="D2767" s="2414" t="s">
        <v>9608</v>
      </c>
    </row>
    <row r="2768" spans="1:4" ht="12.75" customHeight="1">
      <c r="A2768" s="2410" t="str">
        <f t="shared" si="51"/>
        <v xml:space="preserve"> maximal 4 Gaben pro Jahr sind beitragsberechtigt</v>
      </c>
      <c r="B2768" s="2410" t="s">
        <v>832</v>
      </c>
      <c r="C2768" s="2410" t="s">
        <v>3077</v>
      </c>
      <c r="D2768" s="2414" t="s">
        <v>9609</v>
      </c>
    </row>
    <row r="2769" spans="1:4" ht="12.75" customHeight="1">
      <c r="A2769" s="2410">
        <f t="shared" si="51"/>
        <v>0</v>
      </c>
      <c r="B2769" s="2410"/>
      <c r="C2769" s="2410" t="s">
        <v>3078</v>
      </c>
      <c r="D2769" s="2414"/>
    </row>
    <row r="2770" spans="1:4" ht="12.75" customHeight="1">
      <c r="A2770" s="2410" t="str">
        <f t="shared" si="51"/>
        <v>Summe der Beiträge</v>
      </c>
      <c r="B2770" s="2410" t="s">
        <v>2657</v>
      </c>
      <c r="C2770" s="2410" t="s">
        <v>2658</v>
      </c>
      <c r="D2770" s="2414" t="s">
        <v>2659</v>
      </c>
    </row>
    <row r="2771" spans="1:4" ht="12.75" customHeight="1">
      <c r="A2771" s="2410" t="str">
        <f t="shared" si="51"/>
        <v>Schonende Bodenbearbeitung**</v>
      </c>
      <c r="B2771" s="2410" t="s">
        <v>5460</v>
      </c>
      <c r="C2771" s="2410" t="s">
        <v>5461</v>
      </c>
      <c r="D2771" s="2414" t="s">
        <v>742</v>
      </c>
    </row>
    <row r="2772" spans="1:4" ht="12.75" customHeight="1">
      <c r="A2772" s="2410" t="str">
        <f t="shared" si="51"/>
        <v>Fläche (ha)</v>
      </c>
      <c r="B2772" s="2410" t="s">
        <v>6410</v>
      </c>
      <c r="C2772" s="2410" t="s">
        <v>3013</v>
      </c>
      <c r="D2772" s="2414" t="s">
        <v>1267</v>
      </c>
    </row>
    <row r="2773" spans="1:4" ht="12.75" customHeight="1">
      <c r="A2773" s="2410" t="str">
        <f t="shared" si="51"/>
        <v>Direktsaat</v>
      </c>
      <c r="B2773" s="2410" t="s">
        <v>10</v>
      </c>
      <c r="C2773" s="2410" t="s">
        <v>11</v>
      </c>
      <c r="D2773" s="2414" t="s">
        <v>743</v>
      </c>
    </row>
    <row r="2774" spans="1:4" ht="12.75" customHeight="1">
      <c r="A2774" s="2410" t="str">
        <f t="shared" si="51"/>
        <v>Streifensaat</v>
      </c>
      <c r="B2774" s="2410" t="s">
        <v>12</v>
      </c>
      <c r="C2774" s="2410" t="s">
        <v>13</v>
      </c>
      <c r="D2774" s="2414" t="s">
        <v>744</v>
      </c>
    </row>
    <row r="2775" spans="1:4" ht="12.75" customHeight="1">
      <c r="A2775" s="2410" t="str">
        <f t="shared" si="51"/>
        <v>Mulchsaat</v>
      </c>
      <c r="B2775" s="2410" t="s">
        <v>14</v>
      </c>
      <c r="C2775" s="2410" t="s">
        <v>15</v>
      </c>
      <c r="D2775" s="2414" t="s">
        <v>9610</v>
      </c>
    </row>
    <row r="2776" spans="1:4" ht="12.75" customHeight="1">
      <c r="A2776" s="2410" t="str">
        <f t="shared" si="51"/>
        <v>Zusatzbeitrag für herbizidlose, schonende Bodenbearbeitung</v>
      </c>
      <c r="B2776" s="2410" t="s">
        <v>3916</v>
      </c>
      <c r="C2776" s="2410" t="s">
        <v>2449</v>
      </c>
      <c r="D2776" s="2414" t="s">
        <v>9611</v>
      </c>
    </row>
    <row r="2777" spans="1:4" ht="12.75" customHeight="1">
      <c r="A2777" s="2410" t="str">
        <f t="shared" si="51"/>
        <v>** Keine Beiträge werden ausgerichtet für das Anlegen von Weizen oder Triticale nach Mais</v>
      </c>
      <c r="B2777" s="2410" t="s">
        <v>4036</v>
      </c>
      <c r="C2777" s="2410" t="s">
        <v>5462</v>
      </c>
      <c r="D2777" s="2414" t="s">
        <v>11224</v>
      </c>
    </row>
    <row r="2778" spans="1:4" ht="12.75" customHeight="1">
      <c r="A2778" s="2410" t="str">
        <f t="shared" si="51"/>
        <v>Total Ressourceneffizienzbeiträge (jährlich)</v>
      </c>
      <c r="B2778" s="2410" t="s">
        <v>2592</v>
      </c>
      <c r="C2778" s="2410" t="s">
        <v>4049</v>
      </c>
      <c r="D2778" s="2414" t="s">
        <v>9612</v>
      </c>
    </row>
    <row r="2779" spans="1:4" ht="12.75" customHeight="1">
      <c r="A2779" s="2410" t="str">
        <f t="shared" si="51"/>
        <v>2. Driftreduzierende Spritzgeräte in Dauerkulturen:</v>
      </c>
      <c r="B2779" s="2410" t="s">
        <v>2828</v>
      </c>
      <c r="C2779" s="2410" t="s">
        <v>2829</v>
      </c>
      <c r="D2779" s="2414" t="s">
        <v>9613</v>
      </c>
    </row>
    <row r="2780" spans="1:4" ht="12.75" customHeight="1">
      <c r="A2780" s="2410" t="str">
        <f t="shared" si="51"/>
        <v>pro Spritzgebläse mit horizontaler Luftstromlenkung</v>
      </c>
      <c r="B2780" s="2410" t="s">
        <v>1453</v>
      </c>
      <c r="C2780" s="2781" t="s">
        <v>11910</v>
      </c>
      <c r="D2780" s="2780" t="s">
        <v>11911</v>
      </c>
    </row>
    <row r="2781" spans="1:4" ht="12.75" customHeight="1">
      <c r="A2781" s="2410" t="str">
        <f t="shared" si="51"/>
        <v>25 % der Anschaffungskosten, jedoch maximal CHF 6'000.-</v>
      </c>
      <c r="B2781" s="2410" t="s">
        <v>1108</v>
      </c>
      <c r="C2781" s="2410" t="s">
        <v>1109</v>
      </c>
      <c r="D2781" s="2414" t="s">
        <v>9614</v>
      </c>
    </row>
    <row r="2782" spans="1:4" ht="12.75" customHeight="1">
      <c r="A2782" s="2410" t="str">
        <f t="shared" si="51"/>
        <v>Präzise Applikationstechniken*</v>
      </c>
      <c r="B2782" s="2410" t="s">
        <v>11509</v>
      </c>
      <c r="C2782" s="2410" t="s">
        <v>3729</v>
      </c>
      <c r="D2782" s="2414" t="s">
        <v>11510</v>
      </c>
    </row>
    <row r="2783" spans="1:4" ht="12.75" customHeight="1">
      <c r="A2783" s="2410" t="str">
        <f t="shared" si="51"/>
        <v>Ab 2025 gibt es für präzise Applikationstechniken keine Beiträge mehr.</v>
      </c>
      <c r="B2783" s="2410" t="s">
        <v>12196</v>
      </c>
      <c r="C2783" s="2410" t="s">
        <v>12197</v>
      </c>
      <c r="D2783" s="2414" t="s">
        <v>12198</v>
      </c>
    </row>
    <row r="2784" spans="1:4" ht="12.75" customHeight="1">
      <c r="A2784" s="2410" t="str">
        <f t="shared" si="51"/>
        <v>Einmaliger Beitrag pro Maschine</v>
      </c>
      <c r="B2784" s="2410" t="s">
        <v>7132</v>
      </c>
      <c r="C2784" s="2410" t="s">
        <v>933</v>
      </c>
      <c r="D2784" s="2424" t="s">
        <v>9615</v>
      </c>
    </row>
    <row r="2785" spans="1:6" ht="12.75" customHeight="1">
      <c r="A2785" s="2410" t="str">
        <f t="shared" si="51"/>
        <v>1. Unterblattspritztechnik: pro Spritzbalken 75 % der Anschaffungskosten,</v>
      </c>
      <c r="B2785" s="2410" t="s">
        <v>6678</v>
      </c>
      <c r="C2785" s="2781" t="s">
        <v>11912</v>
      </c>
      <c r="D2785" s="2780" t="s">
        <v>11913</v>
      </c>
    </row>
    <row r="2786" spans="1:6" ht="12.75" customHeight="1">
      <c r="A2786" s="2410" t="str">
        <f t="shared" si="51"/>
        <v>jedoch maximal CHF 170.- pro Spritzeinheit</v>
      </c>
      <c r="B2786" s="2410" t="s">
        <v>1110</v>
      </c>
      <c r="C2786" s="2410" t="s">
        <v>1111</v>
      </c>
      <c r="D2786" s="2414" t="s">
        <v>9616</v>
      </c>
    </row>
    <row r="2787" spans="1:6" ht="12.75" customHeight="1">
      <c r="A2787" s="2410" t="str">
        <f t="shared" si="51"/>
        <v>pro Spritzgebläse mit horizontaler Luftstromlenkung und Vegetationsdetektor oder</v>
      </c>
      <c r="B2787" s="2410" t="s">
        <v>1454</v>
      </c>
      <c r="C2787" s="2410" t="s">
        <v>1434</v>
      </c>
      <c r="D2787" s="2780" t="s">
        <v>11914</v>
      </c>
    </row>
    <row r="2788" spans="1:6" ht="12.75" customHeight="1">
      <c r="A2788" s="2410" t="str">
        <f t="shared" si="51"/>
        <v xml:space="preserve">pro Tunnelrecycling-Sprühgerät  </v>
      </c>
      <c r="B2788" s="2410" t="s">
        <v>2830</v>
      </c>
      <c r="C2788" s="2410" t="s">
        <v>1435</v>
      </c>
      <c r="D2788" s="2414" t="s">
        <v>9617</v>
      </c>
    </row>
    <row r="2789" spans="1:6" ht="12.75" customHeight="1">
      <c r="A2789" s="2410" t="str">
        <f t="shared" si="51"/>
        <v>25 % der Anschaffungskosten, jedoch maximal CHF 10'000.-</v>
      </c>
      <c r="B2789" s="2410" t="s">
        <v>1112</v>
      </c>
      <c r="C2789" s="2781" t="s">
        <v>11915</v>
      </c>
      <c r="D2789" s="2414" t="s">
        <v>9618</v>
      </c>
    </row>
    <row r="2790" spans="1:6" ht="24" customHeight="1">
      <c r="A2790" s="2410" t="str">
        <f t="shared" si="51"/>
        <v>* Unterblattspritztechnik (Dropleg), driftreduzierende Spritzgeräte im Obst- und Weinbau</v>
      </c>
      <c r="B2790" s="2410" t="s">
        <v>11511</v>
      </c>
      <c r="C2790" s="2410" t="s">
        <v>12075</v>
      </c>
      <c r="D2790" s="2414" t="s">
        <v>11512</v>
      </c>
      <c r="F2790" s="3076" t="s">
        <v>2998</v>
      </c>
    </row>
    <row r="2791" spans="1:6" ht="12.75" customHeight="1">
      <c r="A2791" s="2410" t="str">
        <f t="shared" si="51"/>
        <v>Total Ressourceneffizienzbeiträge nationale (einmalig)</v>
      </c>
      <c r="B2791" s="2410" t="s">
        <v>1646</v>
      </c>
      <c r="C2791" s="2410" t="s">
        <v>7398</v>
      </c>
      <c r="D2791" s="2414" t="s">
        <v>9619</v>
      </c>
    </row>
    <row r="2792" spans="1:6" ht="12.75" customHeight="1">
      <c r="A2792" s="2410" t="str">
        <f t="shared" si="51"/>
        <v>Ressourceneffizienzbeiträge (regionale, Art. 77 a/b LwG und Art. 62a GSchG)</v>
      </c>
      <c r="B2792" s="2410" t="s">
        <v>2329</v>
      </c>
      <c r="C2792" s="2410" t="s">
        <v>7275</v>
      </c>
      <c r="D2792" s="2414" t="s">
        <v>9620</v>
      </c>
    </row>
    <row r="2793" spans="1:6" ht="12.75" customHeight="1">
      <c r="A2793" s="2410" t="str">
        <f t="shared" si="51"/>
        <v>Betrag (CHF)</v>
      </c>
      <c r="B2793" s="2410" t="s">
        <v>1107</v>
      </c>
      <c r="C2793" s="2410" t="s">
        <v>1684</v>
      </c>
      <c r="D2793" s="2414" t="s">
        <v>9592</v>
      </c>
    </row>
    <row r="2794" spans="1:6" ht="12.75" customHeight="1">
      <c r="A2794" s="2410" t="str">
        <f t="shared" si="51"/>
        <v>Beitrag für die nachhaltige Nutzung der Ressourcen Art. 77a und 77b LwG</v>
      </c>
      <c r="B2794" s="2410" t="s">
        <v>2798</v>
      </c>
      <c r="C2794" s="2410" t="s">
        <v>2799</v>
      </c>
      <c r="D2794" s="2414" t="s">
        <v>7121</v>
      </c>
    </row>
    <row r="2795" spans="1:6" ht="12.75" customHeight="1">
      <c r="A2795" s="2410" t="str">
        <f t="shared" si="51"/>
        <v>Beitrag für den Gewässerschutz Art. 62a GSchG</v>
      </c>
      <c r="B2795" s="2410" t="s">
        <v>2244</v>
      </c>
      <c r="C2795" s="2410" t="s">
        <v>2154</v>
      </c>
      <c r="D2795" s="2414" t="s">
        <v>2155</v>
      </c>
    </row>
    <row r="2796" spans="1:6" ht="12.75" customHeight="1">
      <c r="A2796" s="2410" t="str">
        <f t="shared" si="51"/>
        <v>Beitrag für Spritzen mit separatem Spülwasserkreislauf</v>
      </c>
      <c r="B2796" s="2410" t="s">
        <v>4037</v>
      </c>
      <c r="C2796" s="2410" t="s">
        <v>4038</v>
      </c>
      <c r="D2796" s="2414" t="s">
        <v>4039</v>
      </c>
    </row>
    <row r="2797" spans="1:6" ht="12.75" customHeight="1">
      <c r="A2797" s="2410" t="str">
        <f t="shared" si="51"/>
        <v>pro Spülsystem 50 % der Anschaffungskosten,</v>
      </c>
      <c r="B2797" s="2410" t="s">
        <v>4446</v>
      </c>
      <c r="C2797" s="2410" t="s">
        <v>6057</v>
      </c>
      <c r="D2797" s="2780" t="s">
        <v>11916</v>
      </c>
    </row>
    <row r="2798" spans="1:6" ht="12.75" customHeight="1">
      <c r="A2798" s="2410" t="str">
        <f t="shared" si="51"/>
        <v>jedoch maximal CHF 2‘000.-</v>
      </c>
      <c r="B2798" s="2410" t="s">
        <v>1113</v>
      </c>
      <c r="C2798" s="2410" t="s">
        <v>6058</v>
      </c>
      <c r="D2798" s="2414" t="s">
        <v>9621</v>
      </c>
    </row>
    <row r="2799" spans="1:6" ht="24" customHeight="1">
      <c r="A2799" s="2410" t="str">
        <f t="shared" si="51"/>
        <v>Bis 2022 wird ein einmaliger Betrag für die Ausrüstung der Pflanzenschutzgeräte bezahlt</v>
      </c>
      <c r="B2799" s="2410" t="s">
        <v>4040</v>
      </c>
      <c r="C2799" s="2410" t="s">
        <v>4041</v>
      </c>
      <c r="D2799" s="2414" t="s">
        <v>4042</v>
      </c>
    </row>
    <row r="2800" spans="1:6" ht="12.75" customHeight="1">
      <c r="A2800" s="2410" t="str">
        <f t="shared" si="51"/>
        <v>Beitrag für stickstoffreduzierte Phasenfütterung von Schweinen</v>
      </c>
      <c r="B2800" s="2410" t="s">
        <v>4043</v>
      </c>
      <c r="C2800" s="2410" t="s">
        <v>4044</v>
      </c>
      <c r="D2800" s="2414" t="s">
        <v>9622</v>
      </c>
    </row>
    <row r="2801" spans="1:4" ht="12.75" customHeight="1">
      <c r="A2801" s="2410" t="str">
        <f t="shared" si="51"/>
        <v>Beitrag pro GVE und Jahr (bis 2021 ausbezahlt)</v>
      </c>
      <c r="B2801" s="2410" t="s">
        <v>6841</v>
      </c>
      <c r="C2801" s="2410" t="s">
        <v>6842</v>
      </c>
      <c r="D2801" s="2414" t="s">
        <v>6843</v>
      </c>
    </row>
    <row r="2802" spans="1:4" ht="12.75" customHeight="1">
      <c r="A2802" s="2410" t="str">
        <f t="shared" si="51"/>
        <v>Es sind Auflagen nach Artikel 82c der DZV zu erfüllen</v>
      </c>
      <c r="B2802" s="2410" t="s">
        <v>6844</v>
      </c>
      <c r="C2802" s="2410" t="s">
        <v>6845</v>
      </c>
      <c r="D2802" s="2414" t="s">
        <v>6846</v>
      </c>
    </row>
    <row r="2803" spans="1:4" ht="12.75" customHeight="1">
      <c r="A2803" s="2410" t="str">
        <f t="shared" si="51"/>
        <v>Beitrag für Reduktion von Pflanzenschutzmittel***</v>
      </c>
      <c r="B2803" s="2410" t="s">
        <v>6847</v>
      </c>
      <c r="C2803" s="2410" t="s">
        <v>6848</v>
      </c>
      <c r="D2803" s="2414" t="s">
        <v>7181</v>
      </c>
    </row>
    <row r="2804" spans="1:4" ht="12.75" customHeight="1">
      <c r="A2804" s="2410" t="str">
        <f t="shared" si="51"/>
        <v>Obstbau, Rebbau: Teilverzicht auf Herbizide</v>
      </c>
      <c r="B2804" s="2410" t="s">
        <v>566</v>
      </c>
      <c r="C2804" s="2410" t="s">
        <v>569</v>
      </c>
      <c r="D2804" s="2414" t="s">
        <v>9623</v>
      </c>
    </row>
    <row r="2805" spans="1:4" ht="12.75" customHeight="1">
      <c r="A2805" s="2410" t="str">
        <f t="shared" si="51"/>
        <v>Obstbau, Rebbau: Vollständiger Verzicht auf Herbizide</v>
      </c>
      <c r="B2805" s="2410" t="s">
        <v>567</v>
      </c>
      <c r="C2805" s="2410" t="s">
        <v>570</v>
      </c>
      <c r="D2805" s="2414" t="s">
        <v>9624</v>
      </c>
    </row>
    <row r="2806" spans="1:4" ht="12.75" customHeight="1">
      <c r="A2806" s="2410" t="str">
        <f t="shared" si="51"/>
        <v>Obstbau, Rebbau: Teilverzicht auf Fungizide</v>
      </c>
      <c r="B2806" s="2410" t="s">
        <v>568</v>
      </c>
      <c r="C2806" s="2410" t="s">
        <v>571</v>
      </c>
      <c r="D2806" s="2414" t="s">
        <v>9625</v>
      </c>
    </row>
    <row r="2807" spans="1:4" ht="12.75" customHeight="1">
      <c r="A2807" s="2410" t="str">
        <f t="shared" si="51"/>
        <v>Rebbau: Verzicht auf Fungizide</v>
      </c>
      <c r="B2807" s="2410" t="s">
        <v>6849</v>
      </c>
      <c r="C2807" s="2410" t="s">
        <v>6850</v>
      </c>
      <c r="D2807" s="2414" t="s">
        <v>9626</v>
      </c>
    </row>
    <row r="2808" spans="1:4" ht="12.75" customHeight="1">
      <c r="A2808" s="2410" t="str">
        <f t="shared" si="51"/>
        <v>Zuckerrüben: Mechanische Unkrautbekämpfung ab 4-Blatt-Stadium</v>
      </c>
      <c r="B2808" s="2410" t="s">
        <v>6851</v>
      </c>
      <c r="C2808" s="2410" t="s">
        <v>6852</v>
      </c>
      <c r="D2808" s="2414" t="s">
        <v>9627</v>
      </c>
    </row>
    <row r="2809" spans="1:4" ht="12.75" customHeight="1">
      <c r="A2809" s="2410" t="str">
        <f t="shared" si="51"/>
        <v>Zuckerrüben: Mechanische Unkrautbekämpfung ab Saat</v>
      </c>
      <c r="B2809" s="2410" t="s">
        <v>6853</v>
      </c>
      <c r="C2809" s="2410" t="s">
        <v>6854</v>
      </c>
      <c r="D2809" s="2414" t="s">
        <v>9628</v>
      </c>
    </row>
    <row r="2810" spans="1:4" ht="12.75" customHeight="1">
      <c r="A2810" s="2410" t="str">
        <f t="shared" si="51"/>
        <v>Zuckerrüben: Vollständiger Verzicht auf Herbizide</v>
      </c>
      <c r="B2810" s="2410" t="s">
        <v>7484</v>
      </c>
      <c r="C2810" s="2410" t="s">
        <v>7485</v>
      </c>
      <c r="D2810" s="2414" t="s">
        <v>9629</v>
      </c>
    </row>
    <row r="2811" spans="1:4" ht="12.75" customHeight="1">
      <c r="A2811" s="2410" t="str">
        <f t="shared" si="51"/>
        <v>Zuckerrüben: Funghizid- und Insektizidverzicht</v>
      </c>
      <c r="B2811" s="2410" t="s">
        <v>7486</v>
      </c>
      <c r="C2811" s="2410" t="s">
        <v>7487</v>
      </c>
      <c r="D2811" s="2414" t="s">
        <v>9630</v>
      </c>
    </row>
    <row r="2812" spans="1:4" ht="12.75" customHeight="1">
      <c r="A2812" s="2410" t="str">
        <f t="shared" si="51"/>
        <v>Offene Ackerfläche: Voll- oder Teilverzicht auf Herbizide,</v>
      </c>
      <c r="B2812" s="2410" t="s">
        <v>7489</v>
      </c>
      <c r="C2812" s="2410" t="s">
        <v>1187</v>
      </c>
      <c r="D2812" s="2424" t="s">
        <v>9631</v>
      </c>
    </row>
    <row r="2813" spans="1:4" ht="12.75" customHeight="1">
      <c r="A2813" s="2410" t="str">
        <f t="shared" si="51"/>
        <v>ab der Saat bzw. der Pflanzung bis zur Ernte der Hauptkultur</v>
      </c>
      <c r="B2813" s="2410" t="s">
        <v>7490</v>
      </c>
      <c r="C2813" s="2410" t="s">
        <v>7491</v>
      </c>
      <c r="D2813" s="2424" t="s">
        <v>9632</v>
      </c>
    </row>
    <row r="2814" spans="1:4" ht="12.75" customHeight="1">
      <c r="A2814" s="2410" t="str">
        <f t="shared" si="51"/>
        <v>*** Es sind Auflagen nach Artikel 82e der DZV zu erfüllen</v>
      </c>
      <c r="B2814" s="2410" t="s">
        <v>7488</v>
      </c>
      <c r="C2814" s="2410" t="s">
        <v>11334</v>
      </c>
      <c r="D2814" s="2414" t="s">
        <v>9633</v>
      </c>
    </row>
    <row r="2815" spans="1:4" ht="12.75" customHeight="1">
      <c r="A2815" s="2410" t="str">
        <f t="shared" si="51"/>
        <v>GVE</v>
      </c>
      <c r="B2815" s="2410" t="s">
        <v>6685</v>
      </c>
      <c r="C2815" s="2410" t="s">
        <v>3184</v>
      </c>
      <c r="D2815" s="2414" t="s">
        <v>199</v>
      </c>
    </row>
    <row r="2816" spans="1:4" ht="12.75" customHeight="1">
      <c r="A2816" s="2410">
        <f t="shared" si="51"/>
        <v>0</v>
      </c>
      <c r="B2816" s="2410"/>
      <c r="C2816" s="2410"/>
      <c r="D2816" s="2414"/>
    </row>
    <row r="2817" spans="1:4" ht="12.75" customHeight="1">
      <c r="A2817" s="2410">
        <f t="shared" si="51"/>
        <v>0</v>
      </c>
      <c r="B2817" s="2410"/>
      <c r="C2817" s="2410"/>
      <c r="D2817" s="2414"/>
    </row>
    <row r="2818" spans="1:4" ht="12.75" customHeight="1">
      <c r="A2818" s="2410">
        <f t="shared" si="51"/>
        <v>0</v>
      </c>
      <c r="B2818" s="2410"/>
      <c r="C2818" s="2410"/>
      <c r="D2818" s="2414"/>
    </row>
    <row r="2819" spans="1:4" ht="12.75" customHeight="1">
      <c r="A2819" s="2410" t="str">
        <f t="shared" si="51"/>
        <v>Total Ressourceneffizienzbeiträge regional</v>
      </c>
      <c r="B2819" s="2410" t="s">
        <v>2938</v>
      </c>
      <c r="C2819" s="2410" t="s">
        <v>2037</v>
      </c>
      <c r="D2819" s="2414" t="s">
        <v>9634</v>
      </c>
    </row>
    <row r="2820" spans="1:4" ht="12.75" customHeight="1">
      <c r="A2820" s="2410">
        <f t="shared" si="51"/>
        <v>0</v>
      </c>
      <c r="B2820" s="2410"/>
      <c r="C2820" s="2410"/>
      <c r="D2820" s="2414"/>
    </row>
    <row r="2821" spans="1:4" ht="12.75" customHeight="1">
      <c r="A2821" s="2410" t="str">
        <f t="shared" si="51"/>
        <v>Übergangsbeitrag (ÜGB, Art. 84 bis 96 DZV)</v>
      </c>
      <c r="B2821" s="2410" t="s">
        <v>1895</v>
      </c>
      <c r="C2821" s="2410" t="s">
        <v>1896</v>
      </c>
      <c r="D2821" s="2414" t="s">
        <v>11225</v>
      </c>
    </row>
    <row r="2822" spans="1:4" ht="12.75" customHeight="1">
      <c r="A2822" s="2410" t="str">
        <f t="shared" si="51"/>
        <v>Total (CHF)</v>
      </c>
      <c r="B2822" s="2410" t="s">
        <v>1685</v>
      </c>
      <c r="C2822" s="2410" t="s">
        <v>1685</v>
      </c>
      <c r="D2822" s="2414" t="s">
        <v>9518</v>
      </c>
    </row>
    <row r="2823" spans="1:4" ht="12.75" customHeight="1">
      <c r="A2823" s="2410" t="str">
        <f t="shared" si="51"/>
        <v>Flächenbeiträge des Referenzjahres*</v>
      </c>
      <c r="B2823" s="2410" t="s">
        <v>2890</v>
      </c>
      <c r="C2823" s="2410" t="s">
        <v>1987</v>
      </c>
      <c r="D2823" s="2414" t="s">
        <v>11226</v>
      </c>
    </row>
    <row r="2824" spans="1:4" ht="12.75" customHeight="1">
      <c r="A2824" s="2410" t="str">
        <f t="shared" si="51"/>
        <v>Beiträge für die Haltung Raufutter verzehrender Nutztiere des Referenzjahres*</v>
      </c>
      <c r="B2824" s="2410" t="s">
        <v>3823</v>
      </c>
      <c r="C2824" s="2410" t="s">
        <v>3433</v>
      </c>
      <c r="D2824" s="2414" t="s">
        <v>11227</v>
      </c>
    </row>
    <row r="2825" spans="1:4" ht="12.75" customHeight="1">
      <c r="A2825" s="2410" t="str">
        <f t="shared" si="51"/>
        <v>Beiträge für die Tierhaltung unter erschwerenden Produktionsbedingungen des Referenzjahres*</v>
      </c>
      <c r="B2825" s="2410" t="s">
        <v>6672</v>
      </c>
      <c r="C2825" s="2410" t="s">
        <v>5164</v>
      </c>
      <c r="D2825" s="2414" t="s">
        <v>5198</v>
      </c>
    </row>
    <row r="2826" spans="1:4" ht="12.75" customHeight="1">
      <c r="A2826" s="2410" t="str">
        <f t="shared" si="51"/>
        <v>Hangbeiträge des Referenzjahres*</v>
      </c>
      <c r="B2826" s="2410" t="s">
        <v>1567</v>
      </c>
      <c r="C2826" s="2410" t="s">
        <v>1568</v>
      </c>
      <c r="D2826" s="2414" t="s">
        <v>5637</v>
      </c>
    </row>
    <row r="2827" spans="1:4" ht="12.75" customHeight="1">
      <c r="A2827" s="2410" t="str">
        <f t="shared" si="51"/>
        <v>Total allgemeine Direktzahlungen des Referenzjahres*</v>
      </c>
      <c r="B2827" s="2410" t="s">
        <v>4709</v>
      </c>
      <c r="C2827" s="2410" t="s">
        <v>2920</v>
      </c>
      <c r="D2827" s="2414" t="s">
        <v>3542</v>
      </c>
    </row>
    <row r="2828" spans="1:4" ht="12.75" customHeight="1">
      <c r="A2828" s="2410" t="str">
        <f t="shared" si="51"/>
        <v>* Jahr mit den höchsten Direktzahlungen im Zeitraum 2011 bis 2013</v>
      </c>
      <c r="B2828" s="2410" t="s">
        <v>2921</v>
      </c>
      <c r="C2828" s="2410" t="s">
        <v>833</v>
      </c>
      <c r="D2828" s="2414" t="s">
        <v>11228</v>
      </c>
    </row>
    <row r="2829" spans="1:4" ht="12.75" customHeight="1">
      <c r="A2829" s="2410" t="str">
        <f t="shared" si="51"/>
        <v>Berechnete Werte</v>
      </c>
      <c r="B2829" s="2410" t="s">
        <v>70</v>
      </c>
      <c r="C2829" s="2410" t="s">
        <v>72</v>
      </c>
      <c r="D2829" s="2424" t="s">
        <v>9635</v>
      </c>
    </row>
    <row r="2830" spans="1:4" ht="12.75" customHeight="1">
      <c r="A2830" s="2410" t="str">
        <f t="shared" si="51"/>
        <v>(vorstehende Seiten)</v>
      </c>
      <c r="B2830" s="2410" t="s">
        <v>71</v>
      </c>
      <c r="C2830" s="2410" t="s">
        <v>73</v>
      </c>
      <c r="D2830" s="2424" t="s">
        <v>9636</v>
      </c>
    </row>
    <row r="2831" spans="1:4" ht="12.75" customHeight="1">
      <c r="A2831" s="2410" t="str">
        <f t="shared" si="51"/>
        <v>Übertragung der berech-</v>
      </c>
      <c r="B2831" s="2410" t="s">
        <v>1235</v>
      </c>
      <c r="C2831" s="2410" t="s">
        <v>7410</v>
      </c>
      <c r="D2831" s="2424" t="s">
        <v>9637</v>
      </c>
    </row>
    <row r="2832" spans="1:4" ht="12.75" customHeight="1">
      <c r="A2832" s="2410" t="str">
        <f t="shared" si="51"/>
        <v>neten Werte oder an-</v>
      </c>
      <c r="B2832" s="2410" t="s">
        <v>1236</v>
      </c>
      <c r="C2832" s="2410" t="s">
        <v>6145</v>
      </c>
      <c r="D2832" s="2424" t="s">
        <v>9638</v>
      </c>
    </row>
    <row r="2833" spans="1:4" ht="12.75" customHeight="1">
      <c r="A2833" s="2410" t="str">
        <f t="shared" si="51"/>
        <v>gepasste Werte gemäss</v>
      </c>
      <c r="B2833" s="2410" t="s">
        <v>74</v>
      </c>
      <c r="C2833" s="2410" t="s">
        <v>4717</v>
      </c>
      <c r="D2833" s="2424" t="s">
        <v>9639</v>
      </c>
    </row>
    <row r="2834" spans="1:4" ht="12.75" customHeight="1">
      <c r="A2834" s="2410" t="str">
        <f t="shared" si="51"/>
        <v>Strukturen des Referenz-</v>
      </c>
      <c r="B2834" s="2410" t="s">
        <v>7409</v>
      </c>
      <c r="C2834" s="2410" t="s">
        <v>4718</v>
      </c>
      <c r="D2834" s="2424" t="s">
        <v>9640</v>
      </c>
    </row>
    <row r="2835" spans="1:4" ht="12.75" customHeight="1">
      <c r="A2835" s="2410" t="str">
        <f t="shared" si="51"/>
        <v>betriebes*</v>
      </c>
      <c r="B2835" s="2410" t="s">
        <v>7408</v>
      </c>
      <c r="C2835" s="2410" t="s">
        <v>4719</v>
      </c>
      <c r="D2835" s="2424" t="s">
        <v>9641</v>
      </c>
    </row>
    <row r="2836" spans="1:4" ht="12.75" customHeight="1">
      <c r="A2836" s="2410" t="str">
        <f t="shared" ref="A2836:A2899" si="52">IF($A$2=1,B2836,IF($A$2=2,C2836,IF($A$2=3,IF(D2836="",C2836,D2836),"")))</f>
        <v>Kulturlandschaftsbeiträge**</v>
      </c>
      <c r="B2836" s="2410" t="s">
        <v>3988</v>
      </c>
      <c r="C2836" s="2410" t="s">
        <v>4158</v>
      </c>
      <c r="D2836" s="2414" t="s">
        <v>9642</v>
      </c>
    </row>
    <row r="2837" spans="1:4" ht="12.75" customHeight="1">
      <c r="A2837" s="2410" t="str">
        <f t="shared" si="52"/>
        <v>Versorgungssicherheitsbeiträge**</v>
      </c>
      <c r="B2837" s="2410" t="s">
        <v>3989</v>
      </c>
      <c r="C2837" s="2410" t="s">
        <v>3990</v>
      </c>
      <c r="D2837" s="2414" t="s">
        <v>5649</v>
      </c>
    </row>
    <row r="2838" spans="1:4" ht="12.75" customHeight="1">
      <c r="A2838" s="2410" t="str">
        <f t="shared" si="52"/>
        <v>Einzelbetrieblicher Basiswert</v>
      </c>
      <c r="B2838" s="2410" t="s">
        <v>3122</v>
      </c>
      <c r="C2838" s="2410" t="s">
        <v>5004</v>
      </c>
      <c r="D2838" s="2414" t="s">
        <v>9643</v>
      </c>
    </row>
    <row r="2839" spans="1:4" ht="12.75" customHeight="1">
      <c r="A2839" s="2410" t="str">
        <f t="shared" si="52"/>
        <v>gemäss Verfügung des kantonalen Landwirtschaftsamtes im Sommer 2014</v>
      </c>
      <c r="B2839" s="2418" t="s">
        <v>6141</v>
      </c>
      <c r="C2839" s="2410" t="s">
        <v>1446</v>
      </c>
      <c r="D2839" s="2414" t="s">
        <v>9644</v>
      </c>
    </row>
    <row r="2840" spans="1:4" ht="12.75" customHeight="1">
      <c r="A2840" s="2410">
        <f t="shared" si="52"/>
        <v>0</v>
      </c>
      <c r="B2840" s="2410"/>
      <c r="C2840" s="2410"/>
      <c r="D2840" s="2414"/>
    </row>
    <row r="2841" spans="1:4" ht="12.75" customHeight="1">
      <c r="A2841" s="2410">
        <f t="shared" si="52"/>
        <v>0</v>
      </c>
      <c r="B2841" s="2410"/>
      <c r="C2841" s="2410"/>
      <c r="D2841" s="2414"/>
    </row>
    <row r="2842" spans="1:4" ht="12.75" customHeight="1">
      <c r="A2842" s="2410" t="str">
        <f t="shared" si="52"/>
        <v>Faktor (Total verfügbare Mittel/ Total Bedarf)</v>
      </c>
      <c r="B2842" s="2410" t="s">
        <v>2862</v>
      </c>
      <c r="C2842" s="2410" t="s">
        <v>2844</v>
      </c>
      <c r="D2842" s="2414" t="s">
        <v>11566</v>
      </c>
    </row>
    <row r="2843" spans="1:4" ht="12.75" customHeight="1">
      <c r="A2843" s="2410" t="str">
        <f t="shared" si="52"/>
        <v>WBF: 2014: 0.4727; 2015: 0.2796, 2016: 0.2619, 2017: 0.2116</v>
      </c>
      <c r="B2843" s="2410" t="s">
        <v>211</v>
      </c>
      <c r="C2843" s="2410" t="s">
        <v>212</v>
      </c>
      <c r="D2843" s="2414" t="s">
        <v>212</v>
      </c>
    </row>
    <row r="2844" spans="1:4" ht="12.75" customHeight="1">
      <c r="A2844" s="2410" t="str">
        <f t="shared" si="52"/>
        <v>Berechnung des Übergangsbeitrags</v>
      </c>
      <c r="B2844" s="2410" t="s">
        <v>6135</v>
      </c>
      <c r="C2844" s="2410" t="s">
        <v>7248</v>
      </c>
      <c r="D2844" s="2414" t="s">
        <v>9645</v>
      </c>
    </row>
    <row r="2845" spans="1:4" ht="12.75" customHeight="1">
      <c r="A2845" s="2410" t="str">
        <f t="shared" si="52"/>
        <v>Kürzung auf Grund des steuerbaren Einkommens um CHF*</v>
      </c>
      <c r="B2845" s="2410" t="s">
        <v>1114</v>
      </c>
      <c r="C2845" s="2410" t="s">
        <v>1115</v>
      </c>
      <c r="D2845" s="2414" t="s">
        <v>9646</v>
      </c>
    </row>
    <row r="2846" spans="1:4" ht="12.75" customHeight="1">
      <c r="A2846" s="2410" t="str">
        <f t="shared" si="52"/>
        <v>Kürzung auf Grund des massgeblichen Vermögens um CHF*</v>
      </c>
      <c r="B2846" s="2410" t="s">
        <v>1116</v>
      </c>
      <c r="C2846" s="2410" t="s">
        <v>1117</v>
      </c>
      <c r="D2846" s="2414" t="s">
        <v>9647</v>
      </c>
    </row>
    <row r="2847" spans="1:4" ht="12.75" customHeight="1">
      <c r="A2847" s="2410" t="str">
        <f t="shared" si="52"/>
        <v>* siehe Register "SAK und RED"</v>
      </c>
      <c r="B2847" s="2410" t="s">
        <v>4221</v>
      </c>
      <c r="C2847" s="2410" t="s">
        <v>4222</v>
      </c>
      <c r="D2847" s="2414" t="s">
        <v>9648</v>
      </c>
    </row>
    <row r="2848" spans="1:4" ht="12.75" customHeight="1">
      <c r="A2848" s="2410" t="str">
        <f t="shared" si="52"/>
        <v>Übergangsbeitrag ausbezahlt</v>
      </c>
      <c r="B2848" s="2410" t="s">
        <v>7249</v>
      </c>
      <c r="C2848" s="2410" t="s">
        <v>7250</v>
      </c>
      <c r="D2848" s="2414" t="s">
        <v>9649</v>
      </c>
    </row>
    <row r="2849" spans="1:4" ht="12.75" customHeight="1">
      <c r="A2849" s="2410" t="str">
        <f t="shared" si="52"/>
        <v>Zusammenfassung der Direktzahlungen und Beiträge</v>
      </c>
      <c r="B2849" s="2410" t="s">
        <v>3431</v>
      </c>
      <c r="C2849" s="2410" t="s">
        <v>6133</v>
      </c>
      <c r="D2849" s="2414" t="s">
        <v>9650</v>
      </c>
    </row>
    <row r="2850" spans="1:4" ht="12.2" customHeight="1">
      <c r="A2850" s="2410" t="str">
        <f t="shared" si="52"/>
        <v>Beitrag für Maschinenanschaffungen bei REB, einmalig</v>
      </c>
      <c r="B2850" s="2410" t="s">
        <v>2149</v>
      </c>
      <c r="C2850" s="2410" t="s">
        <v>1443</v>
      </c>
      <c r="D2850" s="2414" t="s">
        <v>9651</v>
      </c>
    </row>
    <row r="2851" spans="1:4" ht="12.75" customHeight="1">
      <c r="A2851" s="2410" t="str">
        <f t="shared" si="52"/>
        <v>jährlich</v>
      </c>
      <c r="B2851" s="2410" t="s">
        <v>1444</v>
      </c>
      <c r="C2851" s="2410" t="s">
        <v>1445</v>
      </c>
      <c r="D2851" s="2414" t="s">
        <v>9652</v>
      </c>
    </row>
    <row r="2852" spans="1:4" ht="12.75" customHeight="1">
      <c r="A2852" s="2410">
        <f t="shared" si="52"/>
        <v>0</v>
      </c>
      <c r="B2852" s="2410"/>
      <c r="C2852" s="2410"/>
      <c r="D2852" s="2414"/>
    </row>
    <row r="2853" spans="1:4" ht="12.75" customHeight="1">
      <c r="A2853" s="2410">
        <f t="shared" si="52"/>
        <v>0</v>
      </c>
      <c r="B2853" s="2410"/>
      <c r="C2853" s="2410"/>
      <c r="D2853" s="2414"/>
    </row>
    <row r="2854" spans="1:4" ht="12.75" customHeight="1">
      <c r="A2854" s="2410">
        <f t="shared" si="52"/>
        <v>0</v>
      </c>
      <c r="B2854" s="2410"/>
      <c r="C2854" s="2410"/>
      <c r="D2854" s="2414"/>
    </row>
    <row r="2855" spans="1:4" ht="12.75" customHeight="1">
      <c r="A2855" s="2410" t="str">
        <f t="shared" si="52"/>
        <v>Ressourceneffizienzbeiträge (REB, Art. 76, 77a u. 77b LwG, Art. 62a GSchG)</v>
      </c>
      <c r="B2855" s="2410" t="s">
        <v>3430</v>
      </c>
      <c r="C2855" s="2410" t="s">
        <v>7350</v>
      </c>
      <c r="D2855" s="2414" t="s">
        <v>2382</v>
      </c>
    </row>
    <row r="2856" spans="1:4" ht="12.75" customHeight="1">
      <c r="A2856" s="2410" t="str">
        <f t="shared" si="52"/>
        <v>Einzelkulturbeiträge (Art.1 bis 6 EKBV)</v>
      </c>
      <c r="B2856" s="2410" t="s">
        <v>4506</v>
      </c>
      <c r="C2856" s="2410" t="s">
        <v>5673</v>
      </c>
      <c r="D2856" s="2414" t="s">
        <v>3677</v>
      </c>
    </row>
    <row r="2857" spans="1:4" ht="12.75" customHeight="1">
      <c r="A2857" s="2410" t="str">
        <f t="shared" si="52"/>
        <v>Kürzung aufgrund der Begrenzung pro SAK (siehe Register "SAK und Begrenzung")</v>
      </c>
      <c r="B2857" s="2410" t="s">
        <v>2567</v>
      </c>
      <c r="C2857" s="2410" t="s">
        <v>4055</v>
      </c>
      <c r="D2857" s="2414" t="s">
        <v>9653</v>
      </c>
    </row>
    <row r="2858" spans="1:4" ht="12.75" customHeight="1">
      <c r="A2858" s="2410" t="str">
        <f t="shared" si="52"/>
        <v>Total Direktzahlungen und Beiträge</v>
      </c>
      <c r="B2858" s="2410" t="s">
        <v>6304</v>
      </c>
      <c r="C2858" s="2410" t="s">
        <v>6305</v>
      </c>
      <c r="D2858" s="2414" t="s">
        <v>9654</v>
      </c>
    </row>
    <row r="2859" spans="1:4" ht="12.75" customHeight="1">
      <c r="A2859" s="2410" t="str">
        <f t="shared" si="52"/>
        <v xml:space="preserve">heutige Beiträge inkl. Anbaubeiträge nach </v>
      </c>
      <c r="B2859" s="2410" t="s">
        <v>3216</v>
      </c>
      <c r="C2859" s="2410" t="s">
        <v>2563</v>
      </c>
      <c r="D2859" s="2414" t="s">
        <v>9655</v>
      </c>
    </row>
    <row r="2860" spans="1:4" ht="12.75" customHeight="1">
      <c r="A2860" s="2410" t="str">
        <f t="shared" si="52"/>
        <v>ABBV, Beiträge nach ÖQV, Sömmerungsbeiträge und Beiträge nach 77a/b LwG (Ressourcenprogramme)</v>
      </c>
      <c r="B2860" s="2410" t="s">
        <v>3217</v>
      </c>
      <c r="C2860" s="2410" t="s">
        <v>2564</v>
      </c>
      <c r="D2860" s="2414" t="s">
        <v>9656</v>
      </c>
    </row>
    <row r="2861" spans="1:4" ht="12.75" customHeight="1">
      <c r="A2861" s="2410" t="str">
        <f t="shared" si="52"/>
        <v>und Beträge nach Art. 62a GSchG.</v>
      </c>
      <c r="B2861" s="2410" t="s">
        <v>2566</v>
      </c>
      <c r="C2861" s="2410" t="s">
        <v>2565</v>
      </c>
      <c r="D2861" s="2414" t="s">
        <v>9657</v>
      </c>
    </row>
    <row r="2862" spans="1:4" ht="12.75" customHeight="1">
      <c r="A2862" s="2410">
        <f t="shared" si="52"/>
        <v>0</v>
      </c>
      <c r="B2862" s="2410"/>
      <c r="C2862" s="2410"/>
      <c r="D2862" s="2414"/>
    </row>
    <row r="2863" spans="1:4" ht="12.75" customHeight="1">
      <c r="A2863" s="2410" t="str">
        <f t="shared" si="52"/>
        <v>Beiträge 2014 in % der heutigen Beiträge</v>
      </c>
      <c r="B2863" s="2410" t="s">
        <v>6298</v>
      </c>
      <c r="C2863" s="2410" t="s">
        <v>6341</v>
      </c>
      <c r="D2863" s="2414" t="s">
        <v>3386</v>
      </c>
    </row>
    <row r="2864" spans="1:4" ht="12.75" customHeight="1">
      <c r="A2864" s="2410">
        <f t="shared" si="52"/>
        <v>0</v>
      </c>
      <c r="B2864" s="2410"/>
      <c r="C2864" s="2410"/>
      <c r="D2864" s="2414"/>
    </row>
    <row r="2865" spans="1:6" ht="12.75" customHeight="1">
      <c r="A2865" s="2410" t="str">
        <f t="shared" si="52"/>
        <v xml:space="preserve"> Beiträge nach Art. 62a GSchG</v>
      </c>
      <c r="B2865" s="2410" t="s">
        <v>4835</v>
      </c>
      <c r="C2865" s="2410" t="s">
        <v>68</v>
      </c>
      <c r="D2865" s="2414" t="s">
        <v>9658</v>
      </c>
    </row>
    <row r="2866" spans="1:6" ht="12.75" customHeight="1">
      <c r="A2866" s="2410" t="str">
        <f t="shared" si="52"/>
        <v>Zur Erinnerung: Eintretenskriterien und zu Beiträgen berechtigende Fläche</v>
      </c>
      <c r="B2866" s="2410" t="s">
        <v>2724</v>
      </c>
      <c r="C2866" s="2410" t="s">
        <v>5381</v>
      </c>
      <c r="D2866" s="2414" t="s">
        <v>4251</v>
      </c>
    </row>
    <row r="2867" spans="1:6" ht="24" customHeight="1">
      <c r="A2867" s="2410" t="str">
        <f t="shared" si="52"/>
        <v>- Beitragsberechtigte Landwirtschaftliche Nutzfläche: Landwirtschaftliche Nutzfläche, ohne Baumschulen, Forstpflanzen, Christbäume,</v>
      </c>
      <c r="B2867" s="2418" t="s">
        <v>4065</v>
      </c>
      <c r="C2867" s="2418" t="s">
        <v>5382</v>
      </c>
      <c r="D2867" s="2414" t="s">
        <v>9659</v>
      </c>
    </row>
    <row r="2868" spans="1:6" ht="12.75" customHeight="1">
      <c r="A2868" s="2410" t="str">
        <f t="shared" si="52"/>
        <v xml:space="preserve">  Zierpflanzen, Hanf und Gewächshäuser mit festem Fundament </v>
      </c>
      <c r="B2868" s="2410" t="s">
        <v>5516</v>
      </c>
      <c r="C2868" s="2410" t="s">
        <v>2519</v>
      </c>
      <c r="D2868" s="2414" t="s">
        <v>9660</v>
      </c>
    </row>
    <row r="2869" spans="1:6" ht="12.75" customHeight="1">
      <c r="A2869" s="2410" t="str">
        <f t="shared" si="52"/>
        <v>- Mindestarbeitsaufkommen: 0.20 SAK</v>
      </c>
      <c r="B2869" s="2785" t="s">
        <v>11917</v>
      </c>
      <c r="C2869" s="2785" t="s">
        <v>11920</v>
      </c>
      <c r="D2869" s="2786" t="s">
        <v>11924</v>
      </c>
    </row>
    <row r="2870" spans="1:6" ht="12.75" customHeight="1">
      <c r="A2870" s="2410" t="str">
        <f t="shared" si="52"/>
        <v>- Mindestanteil betriebseigener Arbeitskräfte: 50 %</v>
      </c>
      <c r="B2870" s="2785" t="s">
        <v>11918</v>
      </c>
      <c r="C2870" s="2785" t="s">
        <v>11921</v>
      </c>
      <c r="D2870" s="2786" t="s">
        <v>11925</v>
      </c>
    </row>
    <row r="2871" spans="1:6" ht="12.75" customHeight="1">
      <c r="A2871" s="2410" t="str">
        <f t="shared" si="52"/>
        <v>- Altersgrenze: 65 Jahre</v>
      </c>
      <c r="B2871" s="2785" t="s">
        <v>11919</v>
      </c>
      <c r="C2871" s="2785" t="s">
        <v>11922</v>
      </c>
      <c r="D2871" s="2786" t="s">
        <v>11923</v>
      </c>
    </row>
    <row r="2872" spans="1:6" ht="12.75" customHeight="1">
      <c r="A2872" s="2410" t="str">
        <f t="shared" si="52"/>
        <v>- Landwirtschaftliche Ausbildung</v>
      </c>
      <c r="B2872" s="2418" t="s">
        <v>5938</v>
      </c>
      <c r="C2872" s="2410" t="s">
        <v>5939</v>
      </c>
      <c r="D2872" s="2414" t="s">
        <v>4594</v>
      </c>
      <c r="E2872" s="2428"/>
      <c r="F2872" s="2428"/>
    </row>
    <row r="2873" spans="1:6" ht="12.75" customHeight="1">
      <c r="A2873" s="2410" t="str">
        <f t="shared" si="52"/>
        <v>- Ökologischer Leistungsnachweis ÖLN</v>
      </c>
      <c r="B2873" s="2418" t="s">
        <v>6394</v>
      </c>
      <c r="C2873" s="2418" t="s">
        <v>6395</v>
      </c>
      <c r="D2873" s="2786" t="s">
        <v>11926</v>
      </c>
      <c r="E2873" s="2428"/>
      <c r="F2873" s="2428"/>
    </row>
    <row r="2874" spans="1:6" ht="12.75" customHeight="1">
      <c r="A2874" s="2410" t="str">
        <f t="shared" si="52"/>
        <v>Zusammenstellung für Übertrag in Erfolgs- und Mittelflussrechnung</v>
      </c>
      <c r="B2874" s="2410" t="s">
        <v>514</v>
      </c>
      <c r="C2874" s="2410" t="s">
        <v>4714</v>
      </c>
      <c r="D2874" s="2780" t="s">
        <v>11927</v>
      </c>
    </row>
    <row r="2875" spans="1:6" ht="24" customHeight="1">
      <c r="A2875" s="2410" t="str">
        <f t="shared" si="52"/>
        <v>NHG-, kantonale und kommunale Naturschutzbeiträge sowie kantonale Hangbeiträge</v>
      </c>
      <c r="B2875" s="2410" t="s">
        <v>119</v>
      </c>
      <c r="C2875" s="2410" t="s">
        <v>6343</v>
      </c>
      <c r="D2875" s="2780" t="s">
        <v>11928</v>
      </c>
    </row>
    <row r="2876" spans="1:6" ht="12.75" customHeight="1">
      <c r="A2876" s="2410" t="str">
        <f t="shared" si="52"/>
        <v xml:space="preserve">abzüglich Einzelkulturbeiträge </v>
      </c>
      <c r="B2876" s="2410" t="s">
        <v>6300</v>
      </c>
      <c r="C2876" s="2410" t="s">
        <v>6301</v>
      </c>
      <c r="D2876" s="2414" t="s">
        <v>11567</v>
      </c>
    </row>
    <row r="2877" spans="1:6" ht="12.75" customHeight="1">
      <c r="A2877" s="2410" t="str">
        <f t="shared" si="52"/>
        <v>Einmaliger Beitrag für Maschinenanschaffungen bei REB</v>
      </c>
      <c r="B2877" s="2410" t="s">
        <v>6302</v>
      </c>
      <c r="C2877" s="2410" t="s">
        <v>6303</v>
      </c>
      <c r="D2877" s="2414" t="s">
        <v>9663</v>
      </c>
    </row>
    <row r="2878" spans="1:6" ht="12.75" customHeight="1">
      <c r="A2878" s="2410" t="str">
        <f t="shared" si="52"/>
        <v>Direktzahlungen und andere Beiträge für Übertrag in Erfolgs- und Mittelflussrechnung</v>
      </c>
      <c r="B2878" s="2410" t="s">
        <v>513</v>
      </c>
      <c r="C2878" s="2410" t="s">
        <v>4225</v>
      </c>
      <c r="D2878" s="2414" t="s">
        <v>9664</v>
      </c>
    </row>
    <row r="2879" spans="1:6" ht="12.75" customHeight="1">
      <c r="A2879" s="2410">
        <f t="shared" si="52"/>
        <v>0</v>
      </c>
      <c r="B2879" s="2410"/>
      <c r="C2879" s="2410"/>
      <c r="D2879" s="2414"/>
    </row>
    <row r="2880" spans="1:6" ht="24" customHeight="1">
      <c r="A2880" s="2410" t="str">
        <f t="shared" si="52"/>
        <v xml:space="preserve">Die einzelnen SAK-Faktoren werden aufgrund des seit 2004 erfolgten technischen Fortschritts angepasst. Die der Festlegung der </v>
      </c>
      <c r="B2880" s="2410" t="s">
        <v>5054</v>
      </c>
      <c r="C2880" s="2410" t="s">
        <v>5835</v>
      </c>
      <c r="D2880" s="2414" t="s">
        <v>9665</v>
      </c>
    </row>
    <row r="2881" spans="1:4" ht="24" customHeight="1">
      <c r="A2881" s="2410" t="str">
        <f t="shared" si="52"/>
        <v>SAK-Faktoren zugrunde liegenden Jahresarbeitseinheiten werden dabei von 2800 Stunden auf 2600 Stunden herabgesetzt und</v>
      </c>
      <c r="B2881" s="2410" t="s">
        <v>5055</v>
      </c>
      <c r="C2881" s="2410" t="s">
        <v>5052</v>
      </c>
      <c r="D2881" s="2414" t="s">
        <v>9666</v>
      </c>
    </row>
    <row r="2882" spans="1:4" ht="12.75" customHeight="1">
      <c r="A2882" s="2410" t="str">
        <f t="shared" si="52"/>
        <v>auf das Jahr 2016 werden neue Faktoren eingeführt.</v>
      </c>
      <c r="B2882" s="2410" t="s">
        <v>5056</v>
      </c>
      <c r="C2882" s="2410" t="s">
        <v>5053</v>
      </c>
      <c r="D2882" s="2414" t="s">
        <v>4899</v>
      </c>
    </row>
    <row r="2883" spans="1:4" ht="12.75" customHeight="1">
      <c r="A2883" s="2410">
        <f t="shared" si="52"/>
        <v>0</v>
      </c>
      <c r="B2883" s="2410"/>
      <c r="C2883" s="2410"/>
      <c r="D2883" s="2414"/>
    </row>
    <row r="2884" spans="1:4" ht="12.75" customHeight="1">
      <c r="A2884" s="2410" t="s">
        <v>5834</v>
      </c>
      <c r="B2884" s="2410" t="s">
        <v>6432</v>
      </c>
      <c r="C2884" s="2410"/>
      <c r="D2884" s="2424"/>
    </row>
    <row r="2885" spans="1:4" ht="12.75" customHeight="1">
      <c r="A2885" s="2410" t="s">
        <v>5834</v>
      </c>
      <c r="B2885" s="2410" t="s">
        <v>6431</v>
      </c>
      <c r="C2885" s="2410" t="s">
        <v>5638</v>
      </c>
      <c r="D2885" s="2414" t="s">
        <v>2979</v>
      </c>
    </row>
    <row r="2886" spans="1:4" ht="12.75" customHeight="1">
      <c r="A2886" s="2410" t="s">
        <v>5834</v>
      </c>
      <c r="B2886" s="2781" t="s">
        <v>11947</v>
      </c>
      <c r="C2886" s="2781" t="s">
        <v>11948</v>
      </c>
      <c r="D2886" s="2424"/>
    </row>
    <row r="2887" spans="1:4" ht="12.75" customHeight="1">
      <c r="A2887" s="2410" t="str">
        <f t="shared" si="52"/>
        <v>Berechnung der Standard-Arbeitskräfte (SAK) für Direktzahlungen</v>
      </c>
      <c r="B2887" s="2410" t="s">
        <v>4525</v>
      </c>
      <c r="C2887" s="2410" t="s">
        <v>5927</v>
      </c>
      <c r="D2887" s="2414" t="s">
        <v>6943</v>
      </c>
    </row>
    <row r="2888" spans="1:4" ht="12.75" customHeight="1">
      <c r="A2888" s="2410" t="str">
        <f t="shared" si="52"/>
        <v>ha bzw. GVE</v>
      </c>
      <c r="B2888" s="2410" t="s">
        <v>4526</v>
      </c>
      <c r="C2888" s="2410" t="s">
        <v>803</v>
      </c>
      <c r="D2888" s="2414" t="s">
        <v>9667</v>
      </c>
    </row>
    <row r="2889" spans="1:4" ht="12.75" customHeight="1">
      <c r="A2889" s="2410" t="str">
        <f t="shared" si="52"/>
        <v>Ansatz/Einheit</v>
      </c>
      <c r="B2889" s="2410" t="s">
        <v>4527</v>
      </c>
      <c r="C2889" s="2410" t="s">
        <v>804</v>
      </c>
      <c r="D2889" s="2414" t="s">
        <v>9668</v>
      </c>
    </row>
    <row r="2890" spans="1:4" ht="12.75" customHeight="1">
      <c r="A2890" s="2410" t="str">
        <f t="shared" si="52"/>
        <v>SAK</v>
      </c>
      <c r="B2890" s="2410" t="s">
        <v>2165</v>
      </c>
      <c r="C2890" s="2410" t="s">
        <v>4850</v>
      </c>
      <c r="D2890" s="2414" t="s">
        <v>4245</v>
      </c>
    </row>
    <row r="2891" spans="1:4" ht="12.75" customHeight="1">
      <c r="A2891" s="2410" t="str">
        <f t="shared" si="52"/>
        <v>LN ohne Spezialkulturen</v>
      </c>
      <c r="B2891" s="2410" t="s">
        <v>2637</v>
      </c>
      <c r="C2891" s="2410" t="s">
        <v>805</v>
      </c>
      <c r="D2891" s="2414" t="s">
        <v>2656</v>
      </c>
    </row>
    <row r="2892" spans="1:4" ht="12.75" customHeight="1">
      <c r="A2892" s="2410" t="str">
        <f t="shared" si="52"/>
        <v>inkl. Hecken, Feld- und Ufergehölze, Uferwiesen</v>
      </c>
      <c r="B2892" s="2781" t="s">
        <v>11941</v>
      </c>
      <c r="C2892" s="2781" t="s">
        <v>11942</v>
      </c>
      <c r="D2892" s="2780" t="s">
        <v>11943</v>
      </c>
    </row>
    <row r="2893" spans="1:4" ht="12.75" customHeight="1">
      <c r="A2893" s="2410" t="str">
        <f t="shared" si="52"/>
        <v xml:space="preserve">  Zuschlag für Biolandbau</v>
      </c>
      <c r="B2893" s="2410" t="s">
        <v>2133</v>
      </c>
      <c r="C2893" s="2410" t="s">
        <v>3705</v>
      </c>
      <c r="D2893" s="2414" t="s">
        <v>3706</v>
      </c>
    </row>
    <row r="2894" spans="1:4" ht="12.75" customHeight="1">
      <c r="A2894" s="2410" t="str">
        <f t="shared" si="52"/>
        <v>Spezialkulturen ohne Rebbau in Hanglagen und Terrassenbau</v>
      </c>
      <c r="B2894" s="2410" t="s">
        <v>7414</v>
      </c>
      <c r="C2894" s="2410" t="s">
        <v>6294</v>
      </c>
      <c r="D2894" s="2414" t="s">
        <v>9669</v>
      </c>
    </row>
    <row r="2895" spans="1:4" ht="12.75" customHeight="1">
      <c r="A2895" s="2410" t="str">
        <f t="shared" si="52"/>
        <v>Rebfläche in Steil- und Terrassenlagen</v>
      </c>
      <c r="B2895" s="2410" t="s">
        <v>2808</v>
      </c>
      <c r="C2895" s="2410" t="s">
        <v>4206</v>
      </c>
      <c r="D2895" s="2414" t="s">
        <v>9670</v>
      </c>
    </row>
    <row r="2896" spans="1:4" ht="12.75" customHeight="1">
      <c r="A2896" s="2410" t="str">
        <f t="shared" si="52"/>
        <v>Flächen in Hanglage, 18 - 35 %</v>
      </c>
      <c r="B2896" s="2781" t="s">
        <v>11938</v>
      </c>
      <c r="C2896" s="2781" t="s">
        <v>11939</v>
      </c>
      <c r="D2896" s="2780" t="s">
        <v>11940</v>
      </c>
    </row>
    <row r="2897" spans="1:4" ht="12.75" customHeight="1">
      <c r="A2897" s="2410" t="str">
        <f t="shared" si="52"/>
        <v>Flächen in Hanglage, &gt; 35 - 50 %</v>
      </c>
      <c r="B2897" s="2781" t="s">
        <v>11946</v>
      </c>
      <c r="C2897" s="2781" t="s">
        <v>11945</v>
      </c>
      <c r="D2897" s="2780" t="s">
        <v>11944</v>
      </c>
    </row>
    <row r="2898" spans="1:4" ht="12.75" customHeight="1">
      <c r="A2898" s="2410" t="str">
        <f t="shared" si="52"/>
        <v>2014 - 2016: &gt; 35 - 50% und &gt; 50% = 0.03</v>
      </c>
      <c r="B2898" s="2787" t="s">
        <v>11929</v>
      </c>
      <c r="C2898" s="2781" t="s">
        <v>11931</v>
      </c>
      <c r="D2898" s="2780" t="s">
        <v>11933</v>
      </c>
    </row>
    <row r="2899" spans="1:4" ht="12.75" customHeight="1">
      <c r="A2899" s="2410" t="str">
        <f t="shared" si="52"/>
        <v>ab 2017: &gt; 35 - 50 % = 0.025; &gt; 50% = 0.05</v>
      </c>
      <c r="B2899" s="2781" t="s">
        <v>11930</v>
      </c>
      <c r="C2899" s="2781" t="s">
        <v>11932</v>
      </c>
      <c r="D2899" s="2780" t="s">
        <v>11934</v>
      </c>
    </row>
    <row r="2900" spans="1:4" ht="12.75" customHeight="1">
      <c r="A2900" s="2410" t="str">
        <f t="shared" ref="A2900:A2963" si="53">IF($A$2=1,B2900,IF($A$2=2,C2900,IF($A$2=3,IF(D2900="",C2900,D2900),"")))</f>
        <v>Flächen in Hanglage, &gt; 50 %</v>
      </c>
      <c r="B2900" s="2781" t="s">
        <v>11937</v>
      </c>
      <c r="C2900" s="2781" t="s">
        <v>11935</v>
      </c>
      <c r="D2900" s="2780" t="s">
        <v>11936</v>
      </c>
    </row>
    <row r="2901" spans="1:4" ht="12.75" customHeight="1">
      <c r="A2901" s="2410" t="str">
        <f t="shared" si="53"/>
        <v>Milchkühe, Milchschafe und Milchziegen</v>
      </c>
      <c r="B2901" s="2410" t="s">
        <v>6386</v>
      </c>
      <c r="C2901" s="2410" t="s">
        <v>3558</v>
      </c>
      <c r="D2901" s="2414" t="s">
        <v>9671</v>
      </c>
    </row>
    <row r="2902" spans="1:4" ht="12.75" customHeight="1">
      <c r="A2902" s="2410" t="str">
        <f t="shared" si="53"/>
        <v>Mastschweine, Remonten über 26 kg und abgesetzte Ferkel</v>
      </c>
      <c r="B2902" s="2410" t="s">
        <v>4014</v>
      </c>
      <c r="C2902" s="2410" t="s">
        <v>4015</v>
      </c>
      <c r="D2902" s="2414" t="s">
        <v>11229</v>
      </c>
    </row>
    <row r="2903" spans="1:4" ht="12.75" customHeight="1">
      <c r="A2903" s="2410" t="str">
        <f t="shared" si="53"/>
        <v>Zuchtschweine</v>
      </c>
      <c r="B2903" s="2410" t="s">
        <v>6035</v>
      </c>
      <c r="C2903" s="2410" t="s">
        <v>3559</v>
      </c>
      <c r="D2903" s="2414" t="s">
        <v>9672</v>
      </c>
    </row>
    <row r="2904" spans="1:4" ht="12.75" customHeight="1">
      <c r="A2904" s="2410" t="str">
        <f t="shared" si="53"/>
        <v>Andere Nutztiere</v>
      </c>
      <c r="B2904" s="2410" t="s">
        <v>675</v>
      </c>
      <c r="C2904" s="2410" t="s">
        <v>3560</v>
      </c>
      <c r="D2904" s="2414" t="s">
        <v>9673</v>
      </c>
    </row>
    <row r="2905" spans="1:4" ht="12.75" customHeight="1">
      <c r="A2905" s="2410" t="str">
        <f t="shared" si="53"/>
        <v>Hochstamm-Feldobstbäume</v>
      </c>
      <c r="B2905" s="2410" t="s">
        <v>4514</v>
      </c>
      <c r="C2905" s="2410" t="s">
        <v>2547</v>
      </c>
      <c r="D2905" s="2414" t="s">
        <v>8435</v>
      </c>
    </row>
    <row r="2906" spans="1:4" ht="12.75" customHeight="1">
      <c r="A2906" s="2410" t="str">
        <f t="shared" si="53"/>
        <v>pro Baum</v>
      </c>
      <c r="B2906" s="2410" t="s">
        <v>6265</v>
      </c>
      <c r="C2906" s="2410" t="s">
        <v>6266</v>
      </c>
      <c r="D2906" s="2414" t="s">
        <v>4591</v>
      </c>
    </row>
    <row r="2907" spans="1:4" ht="12.75" customHeight="1">
      <c r="A2907" s="2410" t="str">
        <f t="shared" si="53"/>
        <v>Total</v>
      </c>
      <c r="B2907" s="2410" t="s">
        <v>4802</v>
      </c>
      <c r="C2907" s="2410" t="s">
        <v>4802</v>
      </c>
      <c r="D2907" s="2414" t="s">
        <v>8612</v>
      </c>
    </row>
    <row r="2908" spans="1:4" ht="12.75" customHeight="1">
      <c r="A2908" s="2410" t="str">
        <f t="shared" si="53"/>
        <v xml:space="preserve">SAK: Zuschläge gültig für Bodenrecht, Pachtrecht, Massnahmen im Bereich </v>
      </c>
      <c r="B2908" s="2410" t="s">
        <v>727</v>
      </c>
      <c r="C2908" s="2410" t="s">
        <v>4045</v>
      </c>
      <c r="D2908" s="2414" t="s">
        <v>9674</v>
      </c>
    </row>
    <row r="2909" spans="1:4" ht="12.75" customHeight="1">
      <c r="A2909" s="2410" t="str">
        <f t="shared" si="53"/>
        <v>der Raumplanung, Strukturverbesserungen und soziale Begleitmassnahmen</v>
      </c>
      <c r="B2909" s="2410" t="s">
        <v>726</v>
      </c>
      <c r="C2909" s="2410" t="s">
        <v>4046</v>
      </c>
      <c r="D2909" s="2414" t="s">
        <v>2576</v>
      </c>
    </row>
    <row r="2910" spans="1:4" ht="12.75" customHeight="1">
      <c r="A2910" s="2410" t="str">
        <f t="shared" si="53"/>
        <v>Einheit</v>
      </c>
      <c r="B2910" s="2410" t="s">
        <v>6392</v>
      </c>
      <c r="C2910" s="2410" t="s">
        <v>6215</v>
      </c>
      <c r="D2910" s="2414" t="s">
        <v>1418</v>
      </c>
    </row>
    <row r="2911" spans="1:4" ht="12.75" customHeight="1">
      <c r="A2911" s="2410" t="str">
        <f t="shared" si="53"/>
        <v>Anzahl Einheiten</v>
      </c>
      <c r="B2911" s="2410" t="s">
        <v>3065</v>
      </c>
      <c r="C2911" s="2410" t="s">
        <v>1550</v>
      </c>
      <c r="D2911" s="2414" t="s">
        <v>8438</v>
      </c>
    </row>
    <row r="2912" spans="1:4" ht="12.75" customHeight="1">
      <c r="A2912" s="2410" t="str">
        <f t="shared" si="53"/>
        <v>Ansatz / Einh.</v>
      </c>
      <c r="B2912" s="2781" t="s">
        <v>11949</v>
      </c>
      <c r="C2912" s="2781" t="s">
        <v>11950</v>
      </c>
      <c r="D2912" s="2780" t="s">
        <v>11951</v>
      </c>
    </row>
    <row r="2913" spans="1:4" ht="12.75" customHeight="1">
      <c r="A2913" s="2410" t="str">
        <f t="shared" si="53"/>
        <v>Standard - AK</v>
      </c>
      <c r="B2913" s="2410" t="s">
        <v>2636</v>
      </c>
      <c r="C2913" s="2410" t="s">
        <v>4850</v>
      </c>
      <c r="D2913" s="2414" t="s">
        <v>4245</v>
      </c>
    </row>
    <row r="2914" spans="1:4" ht="12.75" customHeight="1">
      <c r="A2914" s="2410" t="str">
        <f t="shared" si="53"/>
        <v>Normalstösse</v>
      </c>
      <c r="B2914" s="2410" t="s">
        <v>3411</v>
      </c>
      <c r="C2914" s="2410" t="s">
        <v>6312</v>
      </c>
      <c r="D2914" s="2414" t="s">
        <v>9675</v>
      </c>
    </row>
    <row r="2915" spans="1:4" ht="12.75" customHeight="1">
      <c r="A2915" s="2410" t="str">
        <f t="shared" si="53"/>
        <v>Hektaren</v>
      </c>
      <c r="B2915" s="2410" t="s">
        <v>1982</v>
      </c>
      <c r="C2915" s="2410" t="s">
        <v>2532</v>
      </c>
      <c r="D2915" s="2414" t="s">
        <v>9676</v>
      </c>
    </row>
    <row r="2916" spans="1:4" ht="12.75" customHeight="1">
      <c r="A2916" s="2410" t="str">
        <f t="shared" si="53"/>
        <v>Aren</v>
      </c>
      <c r="B2916" s="2410" t="s">
        <v>2445</v>
      </c>
      <c r="C2916" s="2410" t="s">
        <v>2533</v>
      </c>
      <c r="D2916" s="2414" t="s">
        <v>9677</v>
      </c>
    </row>
    <row r="2917" spans="1:4" ht="12.75" customHeight="1">
      <c r="A2917" s="2410" t="str">
        <f t="shared" si="53"/>
        <v xml:space="preserve">Stunden </v>
      </c>
      <c r="B2917" s="2410" t="s">
        <v>2531</v>
      </c>
      <c r="C2917" s="2410" t="s">
        <v>1936</v>
      </c>
      <c r="D2917" s="2414" t="s">
        <v>9678</v>
      </c>
    </row>
    <row r="2918" spans="1:4" ht="12.75" customHeight="1">
      <c r="A2918" s="2410" t="str">
        <f t="shared" si="53"/>
        <v>pro Jahr</v>
      </c>
      <c r="B2918" s="2410" t="s">
        <v>6502</v>
      </c>
      <c r="C2918" s="2410" t="s">
        <v>6706</v>
      </c>
      <c r="D2918" s="2780" t="s">
        <v>11952</v>
      </c>
    </row>
    <row r="2919" spans="1:4" ht="12.75" customHeight="1">
      <c r="A2919" s="2410" t="str">
        <f t="shared" si="53"/>
        <v>Übertrag Standard-Arbeitskräfte für Direktzahlungen</v>
      </c>
      <c r="B2919" s="2410" t="s">
        <v>3440</v>
      </c>
      <c r="C2919" s="2410" t="s">
        <v>4078</v>
      </c>
      <c r="D2919" s="2414" t="s">
        <v>9679</v>
      </c>
    </row>
    <row r="2920" spans="1:4" ht="12.75" customHeight="1">
      <c r="A2920" s="2410" t="str">
        <f t="shared" si="53"/>
        <v>Milchkühe auf selbstbewirtschaftetem Sömmerungsbetrieb</v>
      </c>
      <c r="B2920" s="2410" t="s">
        <v>1924</v>
      </c>
      <c r="C2920" s="2410" t="s">
        <v>836</v>
      </c>
      <c r="D2920" s="2414" t="s">
        <v>9680</v>
      </c>
    </row>
    <row r="2921" spans="1:4" ht="12.75" customHeight="1">
      <c r="A2921" s="2410" t="str">
        <f t="shared" si="53"/>
        <v>Nutztiere auf selbstbewirtschaftetem Sömmerungsbetrieb</v>
      </c>
      <c r="B2921" s="2410" t="s">
        <v>4924</v>
      </c>
      <c r="C2921" s="2410" t="s">
        <v>837</v>
      </c>
      <c r="D2921" s="2414" t="s">
        <v>9681</v>
      </c>
    </row>
    <row r="2922" spans="1:4" ht="12.75" customHeight="1">
      <c r="A2922" s="2410" t="str">
        <f t="shared" si="53"/>
        <v>Kartoffeln</v>
      </c>
      <c r="B2922" s="2410" t="s">
        <v>5700</v>
      </c>
      <c r="C2922" s="2410" t="s">
        <v>1785</v>
      </c>
      <c r="D2922" s="2414" t="s">
        <v>8667</v>
      </c>
    </row>
    <row r="2923" spans="1:4" ht="12.75" customHeight="1">
      <c r="A2923" s="2410" t="str">
        <f t="shared" si="53"/>
        <v>Beeren, Heil- und Gewürzpflanzen</v>
      </c>
      <c r="B2923" s="2410" t="s">
        <v>4490</v>
      </c>
      <c r="C2923" s="2410" t="s">
        <v>838</v>
      </c>
      <c r="D2923" s="2414" t="s">
        <v>11230</v>
      </c>
    </row>
    <row r="2924" spans="1:4" ht="12.75" customHeight="1">
      <c r="A2924" s="2410" t="str">
        <f t="shared" si="53"/>
        <v>Rebbau mit eigener Kelterei</v>
      </c>
      <c r="B2924" s="2410" t="s">
        <v>5160</v>
      </c>
      <c r="C2924" s="2410" t="s">
        <v>6705</v>
      </c>
      <c r="D2924" s="2414" t="s">
        <v>1813</v>
      </c>
    </row>
    <row r="2925" spans="1:4" ht="12.75" customHeight="1">
      <c r="A2925" s="2410" t="str">
        <f t="shared" si="53"/>
        <v>Gewächshaus mit festen Fundamenten</v>
      </c>
      <c r="B2925" s="2410" t="s">
        <v>1345</v>
      </c>
      <c r="C2925" s="2410" t="s">
        <v>839</v>
      </c>
      <c r="D2925" s="2414" t="s">
        <v>924</v>
      </c>
    </row>
    <row r="2926" spans="1:4" ht="12.75" customHeight="1">
      <c r="A2926" s="2410" t="str">
        <f t="shared" si="53"/>
        <v>Hochtunnel oder Treibbeet</v>
      </c>
      <c r="B2926" s="2410" t="s">
        <v>1346</v>
      </c>
      <c r="C2926" s="2410" t="s">
        <v>840</v>
      </c>
      <c r="D2926" s="2414" t="s">
        <v>9682</v>
      </c>
    </row>
    <row r="2927" spans="1:4" ht="12.75" customHeight="1">
      <c r="A2927" s="2410" t="str">
        <f t="shared" si="53"/>
        <v>Pilzproduktion in Hochtunneln oder Gebäuden</v>
      </c>
      <c r="B2927" s="2410" t="s">
        <v>267</v>
      </c>
      <c r="C2927" s="2410" t="s">
        <v>841</v>
      </c>
      <c r="D2927" s="2414" t="s">
        <v>9683</v>
      </c>
    </row>
    <row r="2928" spans="1:4" ht="12.75" customHeight="1">
      <c r="A2928" s="2410" t="str">
        <f t="shared" si="53"/>
        <v>Champignonproduktion in Gebäuden</v>
      </c>
      <c r="B2928" s="2410" t="s">
        <v>3349</v>
      </c>
      <c r="C2928" s="2410" t="s">
        <v>5107</v>
      </c>
      <c r="D2928" s="2414" t="s">
        <v>9684</v>
      </c>
    </row>
    <row r="2929" spans="1:4" ht="12.75" customHeight="1">
      <c r="A2929" s="2410" t="str">
        <f t="shared" si="53"/>
        <v>Brüsselerproduktion in Gebäuden</v>
      </c>
      <c r="B2929" s="2410" t="s">
        <v>2857</v>
      </c>
      <c r="C2929" s="2410" t="s">
        <v>5108</v>
      </c>
      <c r="D2929" s="2414" t="s">
        <v>9685</v>
      </c>
    </row>
    <row r="2930" spans="1:4" ht="12.75" customHeight="1">
      <c r="A2930" s="2410" t="str">
        <f t="shared" si="53"/>
        <v>Sprossenproduktion in Gebäuden</v>
      </c>
      <c r="B2930" s="2410" t="s">
        <v>1096</v>
      </c>
      <c r="C2930" s="2410" t="s">
        <v>5109</v>
      </c>
      <c r="D2930" s="2414" t="s">
        <v>9686</v>
      </c>
    </row>
    <row r="2931" spans="1:4" ht="12.75" customHeight="1">
      <c r="A2931" s="2410" t="str">
        <f t="shared" si="53"/>
        <v>Produzierender Gartenbau: Gewächshaus mit festen</v>
      </c>
      <c r="B2931" s="2410" t="s">
        <v>3826</v>
      </c>
      <c r="C2931" s="2410" t="s">
        <v>7063</v>
      </c>
      <c r="D2931" s="2414" t="s">
        <v>9687</v>
      </c>
    </row>
    <row r="2932" spans="1:4" ht="12.75" customHeight="1">
      <c r="A2932" s="2410" t="str">
        <f t="shared" si="53"/>
        <v>Fundamenten oder Hochtunnel für Pflanzen in Behältern</v>
      </c>
      <c r="B2932" s="2410" t="s">
        <v>3827</v>
      </c>
      <c r="C2932" s="2410" t="s">
        <v>7064</v>
      </c>
      <c r="D2932" s="2414" t="s">
        <v>9688</v>
      </c>
    </row>
    <row r="2933" spans="1:4" ht="12.75" customHeight="1">
      <c r="A2933" s="2410" t="str">
        <f t="shared" si="53"/>
        <v>Christbaumkulturen</v>
      </c>
      <c r="B2933" s="2410" t="s">
        <v>6823</v>
      </c>
      <c r="C2933" s="2410" t="s">
        <v>7065</v>
      </c>
      <c r="D2933" s="2414" t="s">
        <v>8526</v>
      </c>
    </row>
    <row r="2934" spans="1:4" ht="12.75" customHeight="1">
      <c r="A2934" s="2410" t="str">
        <f t="shared" si="53"/>
        <v>Betriebseigener Wald</v>
      </c>
      <c r="B2934" s="2410" t="s">
        <v>2612</v>
      </c>
      <c r="C2934" s="2410" t="s">
        <v>7066</v>
      </c>
      <c r="D2934" s="2414" t="s">
        <v>7087</v>
      </c>
    </row>
    <row r="2935" spans="1:4" ht="12.75" customHeight="1">
      <c r="A2935" s="2410" t="str">
        <f t="shared" si="53"/>
        <v xml:space="preserve">Aufbereitung, Lagerung und Verkauf </v>
      </c>
      <c r="B2935" s="2410" t="s">
        <v>3086</v>
      </c>
      <c r="C2935" s="2410" t="s">
        <v>7067</v>
      </c>
      <c r="D2935" s="2414" t="s">
        <v>9689</v>
      </c>
    </row>
    <row r="2936" spans="1:4" ht="12.75" customHeight="1">
      <c r="A2936" s="2410" t="str">
        <f t="shared" si="53"/>
        <v>selbstprodroduzierter landwirtschaftlicher Erzeugnisse</v>
      </c>
      <c r="B2936" s="2410" t="s">
        <v>3087</v>
      </c>
      <c r="C2936" s="2410" t="s">
        <v>1623</v>
      </c>
      <c r="D2936" s="2414" t="s">
        <v>9690</v>
      </c>
    </row>
    <row r="2937" spans="1:4" ht="12.75" customHeight="1">
      <c r="A2937" s="2410" t="str">
        <f t="shared" si="53"/>
        <v>Landwirtschaftsnahe Tätigkeiten</v>
      </c>
      <c r="B2937" s="2410" t="s">
        <v>7068</v>
      </c>
      <c r="C2937" s="2410" t="s">
        <v>7069</v>
      </c>
      <c r="D2937" s="2424" t="s">
        <v>9691</v>
      </c>
    </row>
    <row r="2938" spans="1:4" ht="12.75" customHeight="1">
      <c r="A2938" s="2410" t="str">
        <f t="shared" si="53"/>
        <v xml:space="preserve"> (ab 2016)</v>
      </c>
      <c r="B2938" s="2410" t="s">
        <v>3538</v>
      </c>
      <c r="C2938" s="2410" t="s">
        <v>3539</v>
      </c>
      <c r="D2938" s="2414" t="s">
        <v>3540</v>
      </c>
    </row>
    <row r="2939" spans="1:4" ht="12.75" customHeight="1">
      <c r="A2939" s="2410" t="str">
        <f t="shared" si="53"/>
        <v>Rohleistung</v>
      </c>
      <c r="B2939" s="2410" t="s">
        <v>2858</v>
      </c>
      <c r="C2939" s="2410" t="s">
        <v>5832</v>
      </c>
      <c r="D2939" s="2424" t="s">
        <v>9223</v>
      </c>
    </row>
    <row r="2940" spans="1:4" ht="12.75" customHeight="1">
      <c r="A2940" s="2410" t="str">
        <f t="shared" si="53"/>
        <v>in CHF</v>
      </c>
      <c r="B2940" s="2410" t="s">
        <v>7222</v>
      </c>
      <c r="C2940" s="2410" t="s">
        <v>7223</v>
      </c>
      <c r="D2940" s="2424" t="s">
        <v>9692</v>
      </c>
    </row>
    <row r="2941" spans="1:4" ht="12.75" customHeight="1">
      <c r="A2941" s="2410" t="str">
        <f t="shared" si="53"/>
        <v>Gesamttotal SAK, inklusive Zuschläge</v>
      </c>
      <c r="B2941" s="2410" t="s">
        <v>5997</v>
      </c>
      <c r="C2941" s="2410" t="s">
        <v>728</v>
      </c>
      <c r="D2941" s="2414" t="s">
        <v>9693</v>
      </c>
    </row>
    <row r="2942" spans="1:4" ht="12.75" customHeight="1">
      <c r="A2942" s="2410">
        <f t="shared" si="53"/>
        <v>0</v>
      </c>
      <c r="B2942" s="2410"/>
      <c r="C2942" s="2410"/>
      <c r="D2942" s="2414"/>
    </row>
    <row r="2943" spans="1:4" ht="12.75" customHeight="1">
      <c r="A2943" s="2410" t="str">
        <f t="shared" si="53"/>
        <v>Berechnung der einkommens- und vermögensbedingten Reduktion der DZ</v>
      </c>
      <c r="B2943" s="2410" t="s">
        <v>4938</v>
      </c>
      <c r="C2943" s="2410" t="s">
        <v>2033</v>
      </c>
      <c r="D2943" s="2414" t="s">
        <v>9694</v>
      </c>
    </row>
    <row r="2944" spans="1:4" ht="12.75" customHeight="1">
      <c r="A2944" s="2410" t="str">
        <f t="shared" si="53"/>
        <v>Einkommensabzug</v>
      </c>
      <c r="B2944" s="2410" t="s">
        <v>706</v>
      </c>
      <c r="C2944" s="2410" t="s">
        <v>707</v>
      </c>
      <c r="D2944" s="2414" t="s">
        <v>9695</v>
      </c>
    </row>
    <row r="2945" spans="1:6" ht="12.75" customHeight="1">
      <c r="A2945" s="2410" t="str">
        <f t="shared" si="53"/>
        <v>Steuerbares Einkommen (dir. Bundessteuer)</v>
      </c>
      <c r="B2945" s="2410" t="s">
        <v>1439</v>
      </c>
      <c r="C2945" s="2410" t="s">
        <v>1881</v>
      </c>
      <c r="D2945" s="2414" t="s">
        <v>2655</v>
      </c>
    </row>
    <row r="2946" spans="1:6" ht="12.75" customHeight="1">
      <c r="A2946" s="2410" t="str">
        <f t="shared" si="53"/>
        <v>- Abzug pro verheirateter Betriebsleiter (CHF 50'000.-)</v>
      </c>
      <c r="B2946" s="2418" t="s">
        <v>1118</v>
      </c>
      <c r="C2946" s="2410" t="s">
        <v>1119</v>
      </c>
      <c r="D2946" s="2414" t="s">
        <v>9696</v>
      </c>
    </row>
    <row r="2947" spans="1:6" ht="12.75" customHeight="1">
      <c r="A2947" s="2410" t="str">
        <f t="shared" si="53"/>
        <v>= massgebendes Einkommen</v>
      </c>
      <c r="B2947" s="2418" t="s">
        <v>2479</v>
      </c>
      <c r="C2947" s="2410" t="s">
        <v>3862</v>
      </c>
      <c r="D2947" s="2414" t="s">
        <v>9697</v>
      </c>
      <c r="F2947" s="2428"/>
    </row>
    <row r="2948" spans="1:6" ht="12.75" customHeight="1">
      <c r="A2948" s="2410" t="str">
        <f t="shared" si="53"/>
        <v>Abzug für massgebendes Einkommen höher als 80'000</v>
      </c>
      <c r="B2948" s="2410" t="s">
        <v>3615</v>
      </c>
      <c r="C2948" s="2410" t="s">
        <v>5393</v>
      </c>
      <c r="D2948" s="2414" t="s">
        <v>9698</v>
      </c>
    </row>
    <row r="2949" spans="1:6" ht="12.75" customHeight="1">
      <c r="A2949" s="2410" t="str">
        <f t="shared" si="53"/>
        <v>Vermögensabzug</v>
      </c>
      <c r="B2949" s="2410" t="s">
        <v>4699</v>
      </c>
      <c r="C2949" s="2410" t="s">
        <v>705</v>
      </c>
      <c r="D2949" s="2414" t="s">
        <v>9699</v>
      </c>
    </row>
    <row r="2950" spans="1:6" ht="12.75" customHeight="1">
      <c r="A2950" s="2410" t="str">
        <f t="shared" si="53"/>
        <v>steuerbares Vermögen</v>
      </c>
      <c r="B2950" s="2410" t="s">
        <v>1608</v>
      </c>
      <c r="C2950" s="2410" t="s">
        <v>2157</v>
      </c>
      <c r="D2950" s="2414" t="s">
        <v>2158</v>
      </c>
    </row>
    <row r="2951" spans="1:6" ht="12.75" customHeight="1">
      <c r="A2951" s="2410" t="str">
        <f t="shared" si="53"/>
        <v>- Abzug pro verheirateter Betriebsleiter (CHF 340'000.-)</v>
      </c>
      <c r="B2951" s="2418" t="s">
        <v>1120</v>
      </c>
      <c r="C2951" s="2410" t="s">
        <v>1121</v>
      </c>
      <c r="D2951" s="2414" t="s">
        <v>9700</v>
      </c>
    </row>
    <row r="2952" spans="1:6" ht="15" customHeight="1">
      <c r="A2952" s="2410" t="str">
        <f t="shared" si="53"/>
        <v>- Abzug pro SAK a)</v>
      </c>
      <c r="B2952" s="2418" t="s">
        <v>4593</v>
      </c>
      <c r="C2952" s="2410" t="s">
        <v>11341</v>
      </c>
      <c r="D2952" s="2414" t="s">
        <v>9701</v>
      </c>
      <c r="E2952" s="2428"/>
    </row>
    <row r="2953" spans="1:6" ht="12.75" customHeight="1">
      <c r="A2953" s="2410" t="str">
        <f t="shared" si="53"/>
        <v>SAK x</v>
      </c>
      <c r="B2953" s="2410" t="s">
        <v>6487</v>
      </c>
      <c r="C2953" s="2410" t="s">
        <v>6488</v>
      </c>
      <c r="D2953" s="2414" t="s">
        <v>6486</v>
      </c>
    </row>
    <row r="2954" spans="1:6" ht="12.75" customHeight="1">
      <c r="A2954" s="2410" t="str">
        <f t="shared" si="53"/>
        <v>= massgebendes Vermögen</v>
      </c>
      <c r="B2954" s="2418" t="s">
        <v>5610</v>
      </c>
      <c r="C2954" s="2410" t="s">
        <v>5611</v>
      </c>
      <c r="D2954" s="2414" t="s">
        <v>9702</v>
      </c>
      <c r="F2954" s="2428"/>
    </row>
    <row r="2955" spans="1:6" ht="12.75" customHeight="1">
      <c r="A2955" s="2410" t="str">
        <f t="shared" si="53"/>
        <v>Abzug für massgebendes Vermögen</v>
      </c>
      <c r="B2955" s="2410" t="s">
        <v>4836</v>
      </c>
      <c r="C2955" s="2410" t="s">
        <v>6968</v>
      </c>
      <c r="D2955" s="2414" t="s">
        <v>4724</v>
      </c>
    </row>
    <row r="2956" spans="1:6" ht="12.75" customHeight="1">
      <c r="A2956" s="2410" t="str">
        <f t="shared" si="53"/>
        <v>zwischen 800'000 und 1'000'000:</v>
      </c>
      <c r="B2956" s="2410" t="s">
        <v>6967</v>
      </c>
      <c r="C2956" s="2410" t="s">
        <v>6969</v>
      </c>
      <c r="D2956" s="2414" t="s">
        <v>9703</v>
      </c>
    </row>
    <row r="2957" spans="1:6" ht="12.75" customHeight="1">
      <c r="A2957" s="2410" t="str">
        <f t="shared" si="53"/>
        <v>Abzug für massgebendes Vermögen &gt; 1 Mio.</v>
      </c>
      <c r="B2957" s="2410" t="s">
        <v>1147</v>
      </c>
      <c r="C2957" s="2410" t="s">
        <v>7103</v>
      </c>
      <c r="D2957" s="2780" t="s">
        <v>11955</v>
      </c>
    </row>
    <row r="2958" spans="1:6" ht="12.75" customHeight="1">
      <c r="A2958" s="2410" t="str">
        <f t="shared" si="53"/>
        <v>entspricht 100 % des Übergangsbeitrags:</v>
      </c>
      <c r="B2958" s="2781" t="s">
        <v>11953</v>
      </c>
      <c r="C2958" s="2781" t="s">
        <v>11954</v>
      </c>
      <c r="D2958" s="2414" t="s">
        <v>9704</v>
      </c>
    </row>
    <row r="2959" spans="1:6" ht="12.75" customHeight="1">
      <c r="A2959" s="2410" t="str">
        <f t="shared" si="53"/>
        <v>Begrenzung pro Standardarbeitskraft</v>
      </c>
      <c r="B2959" s="2410" t="s">
        <v>5248</v>
      </c>
      <c r="C2959" s="2410" t="s">
        <v>7568</v>
      </c>
      <c r="D2959" s="2414" t="s">
        <v>9705</v>
      </c>
    </row>
    <row r="2960" spans="1:6" ht="12.75" customHeight="1">
      <c r="A2960" s="2410" t="str">
        <f t="shared" si="53"/>
        <v>von der Grenze pro SAK betroffene Direktzahlungen:</v>
      </c>
      <c r="B2960" s="2410" t="s">
        <v>7569</v>
      </c>
      <c r="C2960" s="2410" t="s">
        <v>1989</v>
      </c>
      <c r="D2960" s="2414" t="s">
        <v>9706</v>
      </c>
    </row>
    <row r="2961" spans="1:4" ht="12.75" customHeight="1">
      <c r="A2961" s="2410" t="str">
        <f t="shared" si="53"/>
        <v>Zwischentotal Kulturlandschaftsbeiträge</v>
      </c>
      <c r="B2961" s="2410" t="s">
        <v>618</v>
      </c>
      <c r="C2961" s="2410" t="s">
        <v>3022</v>
      </c>
      <c r="D2961" s="2414" t="s">
        <v>9707</v>
      </c>
    </row>
    <row r="2962" spans="1:4" ht="12.75" customHeight="1">
      <c r="A2962" s="2410" t="str">
        <f t="shared" si="53"/>
        <v>auf dem Ganzjahresbetrieb</v>
      </c>
      <c r="B2962" s="2410" t="s">
        <v>3021</v>
      </c>
      <c r="C2962" s="2410" t="s">
        <v>3023</v>
      </c>
      <c r="D2962" s="2414" t="s">
        <v>9708</v>
      </c>
    </row>
    <row r="2963" spans="1:4" ht="12.75" customHeight="1">
      <c r="A2963" s="2410" t="str">
        <f t="shared" si="53"/>
        <v>Versorgungssicherheitsbeiträge</v>
      </c>
      <c r="B2963" s="2410" t="s">
        <v>1162</v>
      </c>
      <c r="C2963" s="2410" t="s">
        <v>252</v>
      </c>
      <c r="D2963" s="2414" t="s">
        <v>5649</v>
      </c>
    </row>
    <row r="2964" spans="1:4" ht="12.75" customHeight="1">
      <c r="A2964" s="2410" t="str">
        <f t="shared" ref="A2964:A3005" si="54">IF($A$2=1,B2964,IF($A$2=2,C2964,IF($A$2=3,IF(D2964="",C2964,D2964),"")))</f>
        <v>Biodiversitätsbeiträge (ohne Vernetzungsbeitrag)</v>
      </c>
      <c r="B2964" s="2410" t="s">
        <v>1990</v>
      </c>
      <c r="C2964" s="2410" t="s">
        <v>1991</v>
      </c>
      <c r="D2964" s="2414" t="s">
        <v>9709</v>
      </c>
    </row>
    <row r="2965" spans="1:4" ht="12.75" customHeight="1">
      <c r="A2965" s="2410" t="str">
        <f t="shared" si="54"/>
        <v>Produktionssystembeiträge</v>
      </c>
      <c r="B2965" s="2410" t="s">
        <v>890</v>
      </c>
      <c r="C2965" s="2410" t="s">
        <v>891</v>
      </c>
      <c r="D2965" s="2414" t="s">
        <v>2243</v>
      </c>
    </row>
    <row r="2966" spans="1:4" ht="12.75" customHeight="1">
      <c r="A2966" s="2410" t="str">
        <f t="shared" si="54"/>
        <v>Ressourceneffizienzbeiträge (nationale)</v>
      </c>
      <c r="B2966" s="2410" t="s">
        <v>818</v>
      </c>
      <c r="C2966" s="2410" t="s">
        <v>1574</v>
      </c>
      <c r="D2966" s="2414" t="s">
        <v>1575</v>
      </c>
    </row>
    <row r="2967" spans="1:4" ht="12.75" customHeight="1">
      <c r="A2967" s="2410" t="str">
        <f t="shared" si="54"/>
        <v>Obergrenze der betroffenen Direktzahlungen:</v>
      </c>
      <c r="B2967" s="2410" t="s">
        <v>3519</v>
      </c>
      <c r="C2967" s="2410" t="s">
        <v>3219</v>
      </c>
      <c r="D2967" s="2414" t="s">
        <v>9710</v>
      </c>
    </row>
    <row r="2968" spans="1:4" ht="12.75" customHeight="1">
      <c r="A2968" s="2410" t="str">
        <f t="shared" si="54"/>
        <v>Grenze (CHF/ SAK)</v>
      </c>
      <c r="B2968" s="2410" t="s">
        <v>1122</v>
      </c>
      <c r="C2968" s="2410" t="s">
        <v>1123</v>
      </c>
      <c r="D2968" s="2414" t="s">
        <v>9711</v>
      </c>
    </row>
    <row r="2969" spans="1:4" ht="12.75" customHeight="1">
      <c r="A2969" s="2410" t="str">
        <f t="shared" si="54"/>
        <v>effektiv gezahlte Summe der betroffenen Direktzahlungen:</v>
      </c>
      <c r="B2969" s="2410" t="s">
        <v>1195</v>
      </c>
      <c r="C2969" s="2410" t="s">
        <v>3243</v>
      </c>
      <c r="D2969" s="2414" t="s">
        <v>9712</v>
      </c>
    </row>
    <row r="2970" spans="1:4" ht="12.75" customHeight="1">
      <c r="A2970" s="2410" t="str">
        <f t="shared" si="54"/>
        <v>Minimum von b) und c)</v>
      </c>
      <c r="B2970" s="2410" t="s">
        <v>3244</v>
      </c>
      <c r="C2970" s="2410" t="s">
        <v>3506</v>
      </c>
      <c r="D2970" s="2414" t="s">
        <v>9662</v>
      </c>
    </row>
    <row r="2971" spans="1:4" ht="12.75" customHeight="1">
      <c r="A2971" s="2410" t="str">
        <f t="shared" si="54"/>
        <v>Kürzung des Gesamtbetrags der Direktzahlungen</v>
      </c>
      <c r="B2971" s="2410" t="s">
        <v>4488</v>
      </c>
      <c r="C2971" s="2410" t="s">
        <v>4489</v>
      </c>
      <c r="D2971" s="2414" t="s">
        <v>9713</v>
      </c>
    </row>
    <row r="2972" spans="1:4" ht="12.75" customHeight="1">
      <c r="A2972" s="2410" t="str">
        <f>IF($A$2=1,B2972,IF($A$2=2,C2972,IF($A$2=3,IF(D2972="",C2972,D2972),"")))</f>
        <v>Total</v>
      </c>
      <c r="B2972" s="2410" t="s">
        <v>4802</v>
      </c>
      <c r="C2972" s="2410" t="s">
        <v>4802</v>
      </c>
      <c r="D2972" s="2414" t="s">
        <v>8612</v>
      </c>
    </row>
    <row r="2973" spans="1:4" ht="12.75" customHeight="1">
      <c r="A2973" s="2410" t="str">
        <f t="shared" si="54"/>
        <v>Kosten Gebäude, Meliorationen und feste Einrichtungen</v>
      </c>
      <c r="B2973" s="2410" t="s">
        <v>4926</v>
      </c>
      <c r="C2973" s="2410" t="s">
        <v>6077</v>
      </c>
      <c r="D2973" s="2414" t="s">
        <v>9714</v>
      </c>
    </row>
    <row r="2974" spans="1:4" ht="12.75" customHeight="1">
      <c r="A2974" s="2410" t="str">
        <f t="shared" si="54"/>
        <v>Gestehungs-</v>
      </c>
      <c r="B2974" s="2410" t="s">
        <v>4927</v>
      </c>
      <c r="C2974" s="2410" t="s">
        <v>6075</v>
      </c>
      <c r="D2974" s="2414" t="s">
        <v>9715</v>
      </c>
    </row>
    <row r="2975" spans="1:4" ht="12.75" customHeight="1">
      <c r="A2975" s="2410" t="str">
        <f t="shared" si="54"/>
        <v>kosten (GK)</v>
      </c>
      <c r="B2975" s="2410" t="s">
        <v>144</v>
      </c>
      <c r="C2975" s="2410" t="s">
        <v>6076</v>
      </c>
      <c r="D2975" s="2414" t="s">
        <v>9716</v>
      </c>
    </row>
    <row r="2976" spans="1:4" ht="12.75" customHeight="1">
      <c r="A2976" s="2410" t="str">
        <f t="shared" si="54"/>
        <v>WBW*</v>
      </c>
      <c r="B2976" s="2410" t="s">
        <v>272</v>
      </c>
      <c r="C2976" s="2410" t="s">
        <v>6752</v>
      </c>
      <c r="D2976" s="2414" t="s">
        <v>9136</v>
      </c>
    </row>
    <row r="2977" spans="1:4" ht="12.75" customHeight="1">
      <c r="A2977" s="2410" t="str">
        <f t="shared" si="54"/>
        <v>Abschreibung</v>
      </c>
      <c r="B2977" s="2410" t="s">
        <v>4928</v>
      </c>
      <c r="C2977" s="2410" t="s">
        <v>2884</v>
      </c>
      <c r="D2977" s="2414" t="s">
        <v>5821</v>
      </c>
    </row>
    <row r="2978" spans="1:4" ht="12.75" customHeight="1">
      <c r="A2978" s="2410" t="str">
        <f t="shared" si="54"/>
        <v>von den GK</v>
      </c>
      <c r="B2978" s="2410" t="s">
        <v>145</v>
      </c>
      <c r="C2978" s="2410" t="s">
        <v>5867</v>
      </c>
      <c r="D2978" s="2414" t="s">
        <v>9717</v>
      </c>
    </row>
    <row r="2979" spans="1:4" ht="12.75" customHeight="1">
      <c r="A2979" s="2410" t="str">
        <f t="shared" si="54"/>
        <v>Rep./Unterhalt</v>
      </c>
      <c r="B2979" s="2410" t="s">
        <v>4929</v>
      </c>
      <c r="C2979" s="2410" t="s">
        <v>5868</v>
      </c>
      <c r="D2979" s="2414" t="s">
        <v>9718</v>
      </c>
    </row>
    <row r="2980" spans="1:4" ht="12.75" customHeight="1">
      <c r="A2980" s="2410" t="str">
        <f t="shared" si="54"/>
        <v>vom WBW*</v>
      </c>
      <c r="B2980" s="2410" t="s">
        <v>146</v>
      </c>
      <c r="C2980" s="2410" t="s">
        <v>5869</v>
      </c>
      <c r="D2980" s="2414" t="s">
        <v>9719</v>
      </c>
    </row>
    <row r="2981" spans="1:4" ht="12.75" customHeight="1">
      <c r="A2981" s="2410" t="str">
        <f t="shared" si="54"/>
        <v>Wohnhaus</v>
      </c>
      <c r="B2981" s="2410" t="s">
        <v>4099</v>
      </c>
      <c r="C2981" s="2410" t="s">
        <v>4100</v>
      </c>
      <c r="D2981" s="2414" t="s">
        <v>5822</v>
      </c>
    </row>
    <row r="2982" spans="1:4" ht="12.75" customHeight="1">
      <c r="A2982" s="2410" t="str">
        <f t="shared" si="54"/>
        <v>Wohnhaus total</v>
      </c>
      <c r="B2982" s="2410" t="s">
        <v>7848</v>
      </c>
      <c r="C2982" s="2410" t="s">
        <v>7849</v>
      </c>
      <c r="D2982" s="2414" t="s">
        <v>9720</v>
      </c>
    </row>
    <row r="2983" spans="1:4" ht="12.75" customHeight="1">
      <c r="A2983" s="2410" t="str">
        <f t="shared" si="54"/>
        <v>Ökonomiegebäude</v>
      </c>
      <c r="B2983" s="2410" t="s">
        <v>1344</v>
      </c>
      <c r="C2983" s="2410" t="s">
        <v>5870</v>
      </c>
      <c r="D2983" s="2414" t="s">
        <v>5823</v>
      </c>
    </row>
    <row r="2984" spans="1:4" ht="12.75" customHeight="1">
      <c r="A2984" s="2410" t="str">
        <f t="shared" si="54"/>
        <v>Ökonomiegebäude total</v>
      </c>
      <c r="B2984" s="2410" t="s">
        <v>7845</v>
      </c>
      <c r="C2984" s="2410" t="s">
        <v>7850</v>
      </c>
      <c r="D2984" s="2414" t="s">
        <v>9721</v>
      </c>
    </row>
    <row r="2985" spans="1:4" ht="12.75" customHeight="1">
      <c r="A2985" s="2410" t="str">
        <f t="shared" si="54"/>
        <v>Meliorationen</v>
      </c>
      <c r="B2985" s="2410" t="s">
        <v>3354</v>
      </c>
      <c r="C2985" s="2410" t="s">
        <v>4482</v>
      </c>
      <c r="D2985" s="2414" t="s">
        <v>9722</v>
      </c>
    </row>
    <row r="2986" spans="1:4" ht="12.75" customHeight="1">
      <c r="A2986" s="2410" t="str">
        <f t="shared" si="54"/>
        <v>Meliorationen total</v>
      </c>
      <c r="B2986" s="2410" t="s">
        <v>7846</v>
      </c>
      <c r="C2986" s="2410" t="s">
        <v>2171</v>
      </c>
      <c r="D2986" s="2414" t="s">
        <v>9723</v>
      </c>
    </row>
    <row r="2987" spans="1:4" ht="12.75" customHeight="1">
      <c r="A2987" s="2410" t="str">
        <f t="shared" si="54"/>
        <v>Feste Einrichtungen</v>
      </c>
      <c r="B2987" s="2410" t="s">
        <v>3403</v>
      </c>
      <c r="C2987" s="2410" t="s">
        <v>6148</v>
      </c>
      <c r="D2987" s="2414" t="s">
        <v>9147</v>
      </c>
    </row>
    <row r="2988" spans="1:4">
      <c r="A2988" s="2410" t="str">
        <f t="shared" si="54"/>
        <v xml:space="preserve">Übertrag aus </v>
      </c>
      <c r="B2988" s="2410" t="s">
        <v>7967</v>
      </c>
      <c r="C2988" s="2410" t="s">
        <v>7968</v>
      </c>
      <c r="D2988" s="2414" t="s">
        <v>7969</v>
      </c>
    </row>
    <row r="2989" spans="1:4" ht="12.75" customHeight="1">
      <c r="A2989" s="2410" t="str">
        <f t="shared" si="54"/>
        <v>Feste Einrichtungen total</v>
      </c>
      <c r="B2989" s="2410" t="s">
        <v>7847</v>
      </c>
      <c r="C2989" s="2410" t="s">
        <v>7934</v>
      </c>
      <c r="D2989" s="2414" t="s">
        <v>9724</v>
      </c>
    </row>
    <row r="2990" spans="1:4" ht="12.75" customHeight="1">
      <c r="A2990" s="2410" t="str">
        <f t="shared" si="54"/>
        <v>Kosten Motorfahrzeuge</v>
      </c>
      <c r="B2990" s="2410" t="s">
        <v>6941</v>
      </c>
      <c r="C2990" s="2410" t="s">
        <v>3638</v>
      </c>
      <c r="D2990" s="2414" t="s">
        <v>9725</v>
      </c>
    </row>
    <row r="2991" spans="1:4" ht="12.75" customHeight="1">
      <c r="A2991" s="2410" t="str">
        <f t="shared" si="54"/>
        <v>Fahrzeug</v>
      </c>
      <c r="B2991" s="2410" t="s">
        <v>6942</v>
      </c>
      <c r="C2991" s="2410" t="s">
        <v>4171</v>
      </c>
      <c r="D2991" s="2414" t="s">
        <v>7122</v>
      </c>
    </row>
    <row r="2992" spans="1:4" ht="12.75" customHeight="1">
      <c r="A2992" s="2410" t="str">
        <f t="shared" si="54"/>
        <v>Anschaffungs-</v>
      </c>
      <c r="B2992" s="2410" t="s">
        <v>271</v>
      </c>
      <c r="C2992" s="2410" t="s">
        <v>6751</v>
      </c>
      <c r="D2992" s="2414" t="s">
        <v>9135</v>
      </c>
    </row>
    <row r="2993" spans="1:4" ht="12.75" customHeight="1">
      <c r="A2993" s="2410" t="str">
        <f t="shared" si="54"/>
        <v>preis</v>
      </c>
      <c r="B2993" s="2410" t="s">
        <v>4469</v>
      </c>
      <c r="C2993" s="2410" t="s">
        <v>6748</v>
      </c>
      <c r="D2993" s="2414" t="s">
        <v>9133</v>
      </c>
    </row>
    <row r="2994" spans="1:4" ht="12.75" customHeight="1">
      <c r="A2994" s="2410" t="str">
        <f t="shared" si="54"/>
        <v>Var. Kosten</v>
      </c>
      <c r="B2994" s="2410" t="s">
        <v>7851</v>
      </c>
      <c r="C2994" s="2410" t="s">
        <v>4172</v>
      </c>
      <c r="D2994" s="2414" t="s">
        <v>9239</v>
      </c>
    </row>
    <row r="2995" spans="1:4" ht="12.75" customHeight="1">
      <c r="A2995" s="2410" t="str">
        <f t="shared" si="54"/>
        <v>CHF / h</v>
      </c>
      <c r="B2995" s="2410" t="s">
        <v>11037</v>
      </c>
      <c r="C2995" s="2410" t="s">
        <v>11037</v>
      </c>
      <c r="D2995" s="2414" t="s">
        <v>11231</v>
      </c>
    </row>
    <row r="2996" spans="1:4" ht="12.75" customHeight="1">
      <c r="A2996" s="2410" t="str">
        <f t="shared" si="54"/>
        <v>pro h</v>
      </c>
      <c r="B2996" s="2410" t="s">
        <v>3804</v>
      </c>
      <c r="C2996" s="2410" t="s">
        <v>6078</v>
      </c>
      <c r="D2996" s="2414"/>
    </row>
    <row r="2997" spans="1:4" ht="12.75" customHeight="1">
      <c r="A2997" s="2410" t="str">
        <f t="shared" si="54"/>
        <v>h pro</v>
      </c>
      <c r="B2997" s="2410" t="s">
        <v>11040</v>
      </c>
      <c r="C2997" s="2410" t="s">
        <v>11041</v>
      </c>
      <c r="D2997" s="2414" t="s">
        <v>11039</v>
      </c>
    </row>
    <row r="2998" spans="1:4" ht="12.75" customHeight="1">
      <c r="A2998" s="2410" t="str">
        <f t="shared" si="54"/>
        <v>Jahr</v>
      </c>
      <c r="B2998" s="2410" t="s">
        <v>6093</v>
      </c>
      <c r="C2998" s="2410" t="s">
        <v>4958</v>
      </c>
      <c r="D2998" s="2414" t="s">
        <v>11038</v>
      </c>
    </row>
    <row r="2999" spans="1:4" ht="12.75" customHeight="1">
      <c r="A2999" s="2410" t="str">
        <f t="shared" si="54"/>
        <v>Abschreibung</v>
      </c>
      <c r="B2999" s="2410" t="s">
        <v>4928</v>
      </c>
      <c r="C2999" s="2410" t="s">
        <v>2884</v>
      </c>
      <c r="D2999" s="2414" t="s">
        <v>5821</v>
      </c>
    </row>
    <row r="3000" spans="1:4" ht="12.75" customHeight="1">
      <c r="A3000" s="2410" t="str">
        <f t="shared" si="54"/>
        <v>Vers.</v>
      </c>
      <c r="B3000" s="2410" t="s">
        <v>3803</v>
      </c>
      <c r="C3000" s="2410" t="s">
        <v>7098</v>
      </c>
      <c r="D3000" s="2414" t="s">
        <v>6552</v>
      </c>
    </row>
    <row r="3001" spans="1:4" ht="12.75" customHeight="1">
      <c r="A3001" s="2410" t="str">
        <f t="shared" si="54"/>
        <v>Geb.</v>
      </c>
      <c r="B3001" s="2410" t="s">
        <v>3805</v>
      </c>
      <c r="C3001" s="2410" t="s">
        <v>7099</v>
      </c>
      <c r="D3001" s="2414" t="s">
        <v>4007</v>
      </c>
    </row>
    <row r="3002" spans="1:4" ht="12.75" customHeight="1">
      <c r="A3002" s="2410" t="str">
        <f t="shared" si="54"/>
        <v>Var. Kosten</v>
      </c>
      <c r="B3002" s="2410" t="s">
        <v>7851</v>
      </c>
      <c r="C3002" s="2410" t="s">
        <v>4172</v>
      </c>
      <c r="D3002" s="2414" t="s">
        <v>9239</v>
      </c>
    </row>
    <row r="3003" spans="1:4" ht="12.75" customHeight="1">
      <c r="A3003" s="2410" t="str">
        <f t="shared" si="54"/>
        <v>total</v>
      </c>
      <c r="B3003" s="2410" t="s">
        <v>4333</v>
      </c>
      <c r="C3003" s="2410" t="s">
        <v>4333</v>
      </c>
      <c r="D3003" s="2414" t="s">
        <v>6340</v>
      </c>
    </row>
    <row r="3004" spans="1:4" ht="12.75" customHeight="1">
      <c r="A3004" s="2410" t="str">
        <f t="shared" si="54"/>
        <v>Zwischentotal</v>
      </c>
      <c r="B3004" s="2410" t="s">
        <v>6604</v>
      </c>
      <c r="C3004" s="2410" t="s">
        <v>6296</v>
      </c>
      <c r="D3004" s="2414" t="s">
        <v>9726</v>
      </c>
    </row>
    <row r="3005" spans="1:4" ht="12.75" customHeight="1">
      <c r="A3005" s="2410" t="str">
        <f t="shared" si="54"/>
        <v>abzüglich Zollrückerstattung</v>
      </c>
      <c r="B3005" s="2410" t="s">
        <v>4136</v>
      </c>
      <c r="C3005" s="2410" t="s">
        <v>7100</v>
      </c>
      <c r="D3005" s="2414" t="s">
        <v>11232</v>
      </c>
    </row>
    <row r="3006" spans="1:4">
      <c r="A3006" s="2410" t="str">
        <f t="shared" ref="A3006:A3030" si="55">IF($A$2=1,B3006,IF($A$2=2,C3006,IF($A$2=3,IF(D3006="",C3006,D3006),"")))</f>
        <v>Kosten Motorfahrzeuge total</v>
      </c>
      <c r="B3006" s="2410" t="s">
        <v>7875</v>
      </c>
      <c r="C3006" s="2410" t="s">
        <v>7876</v>
      </c>
      <c r="D3006" s="2414" t="s">
        <v>9727</v>
      </c>
    </row>
    <row r="3007" spans="1:4" ht="12.75" customHeight="1">
      <c r="A3007" s="2410" t="str">
        <f t="shared" si="55"/>
        <v>Total</v>
      </c>
      <c r="B3007" s="2410" t="s">
        <v>4802</v>
      </c>
      <c r="C3007" s="2410" t="s">
        <v>7876</v>
      </c>
      <c r="D3007" s="2414" t="s">
        <v>9728</v>
      </c>
    </row>
    <row r="3008" spans="1:4" ht="12.75" customHeight="1">
      <c r="A3008" s="2410" t="str">
        <f t="shared" si="55"/>
        <v>Maschinen- und Gerätekosten</v>
      </c>
      <c r="B3008" s="2410" t="s">
        <v>4137</v>
      </c>
      <c r="C3008" s="2410" t="s">
        <v>7101</v>
      </c>
      <c r="D3008" s="2414" t="s">
        <v>9729</v>
      </c>
    </row>
    <row r="3009" spans="1:4" ht="12.75" customHeight="1">
      <c r="A3009" s="2410" t="str">
        <f t="shared" si="55"/>
        <v>Maschinenkategorie</v>
      </c>
      <c r="B3009" s="2410" t="s">
        <v>4138</v>
      </c>
      <c r="C3009" s="2410" t="s">
        <v>6771</v>
      </c>
      <c r="D3009" s="2414" t="s">
        <v>6554</v>
      </c>
    </row>
    <row r="3010" spans="1:4" ht="12.75" customHeight="1">
      <c r="A3010" s="2410" t="str">
        <f t="shared" si="55"/>
        <v>Anschaffungs-</v>
      </c>
      <c r="B3010" s="2410" t="s">
        <v>271</v>
      </c>
      <c r="C3010" s="2410" t="s">
        <v>6751</v>
      </c>
      <c r="D3010" s="2414" t="s">
        <v>9135</v>
      </c>
    </row>
    <row r="3011" spans="1:4" ht="12.75" customHeight="1">
      <c r="A3011" s="2410" t="str">
        <f t="shared" si="55"/>
        <v>preis</v>
      </c>
      <c r="B3011" s="2410" t="s">
        <v>4469</v>
      </c>
      <c r="C3011" s="2410" t="s">
        <v>6748</v>
      </c>
      <c r="D3011" s="2414" t="s">
        <v>9133</v>
      </c>
    </row>
    <row r="3012" spans="1:4" ht="12.75" customHeight="1">
      <c r="A3012" s="2410" t="str">
        <f t="shared" si="55"/>
        <v>WBW*</v>
      </c>
      <c r="B3012" s="2410" t="s">
        <v>272</v>
      </c>
      <c r="C3012" s="2410" t="s">
        <v>6752</v>
      </c>
      <c r="D3012" s="2414" t="s">
        <v>9136</v>
      </c>
    </row>
    <row r="3013" spans="1:4" ht="12.75" customHeight="1">
      <c r="A3013" s="2410" t="str">
        <f t="shared" si="55"/>
        <v>Abschreibung</v>
      </c>
      <c r="B3013" s="2410" t="s">
        <v>4928</v>
      </c>
      <c r="C3013" s="2410" t="s">
        <v>2884</v>
      </c>
      <c r="D3013" s="2414" t="s">
        <v>5821</v>
      </c>
    </row>
    <row r="3014" spans="1:4" ht="12.75" customHeight="1">
      <c r="A3014" s="2410" t="str">
        <f t="shared" si="55"/>
        <v>vom Ansch.preis</v>
      </c>
      <c r="B3014" s="2410" t="s">
        <v>443</v>
      </c>
      <c r="C3014" s="2410" t="s">
        <v>6772</v>
      </c>
      <c r="D3014" s="2414" t="s">
        <v>9717</v>
      </c>
    </row>
    <row r="3015" spans="1:4" ht="12.75" customHeight="1">
      <c r="A3015" s="2410" t="str">
        <f t="shared" si="55"/>
        <v>Reparaturen</v>
      </c>
      <c r="B3015" s="2410" t="s">
        <v>4139</v>
      </c>
      <c r="C3015" s="2410" t="s">
        <v>6773</v>
      </c>
      <c r="D3015" s="2414" t="s">
        <v>9718</v>
      </c>
    </row>
    <row r="3016" spans="1:4" ht="12.75" customHeight="1">
      <c r="A3016" s="2410" t="str">
        <f t="shared" si="55"/>
        <v>vom WBW*</v>
      </c>
      <c r="B3016" s="2410" t="s">
        <v>146</v>
      </c>
      <c r="C3016" s="2410" t="s">
        <v>5869</v>
      </c>
      <c r="D3016" s="2414" t="s">
        <v>9719</v>
      </c>
    </row>
    <row r="3017" spans="1:4" ht="12.75" customHeight="1">
      <c r="A3017" s="2410" t="str">
        <f t="shared" si="55"/>
        <v>Zwischentotal</v>
      </c>
      <c r="B3017" s="2410" t="s">
        <v>6604</v>
      </c>
      <c r="C3017" s="2410" t="s">
        <v>6296</v>
      </c>
      <c r="D3017" s="2414" t="s">
        <v>9730</v>
      </c>
    </row>
    <row r="3018" spans="1:4">
      <c r="A3018" s="2410" t="str">
        <f t="shared" si="55"/>
        <v xml:space="preserve">Autokosten zu Lasten Betrieb aus </v>
      </c>
      <c r="B3018" s="2410" t="s">
        <v>7938</v>
      </c>
      <c r="C3018" s="2410" t="s">
        <v>7939</v>
      </c>
      <c r="D3018" s="2414" t="s">
        <v>9731</v>
      </c>
    </row>
    <row r="3019" spans="1:4">
      <c r="A3019" s="2410" t="str">
        <f t="shared" si="55"/>
        <v xml:space="preserve">Nicht zugeteilte Arbeiten durch Dritte und Maschinenmiete aus </v>
      </c>
      <c r="B3019" s="2410" t="s">
        <v>7936</v>
      </c>
      <c r="C3019" s="2410" t="s">
        <v>7937</v>
      </c>
      <c r="D3019" s="2414" t="s">
        <v>9732</v>
      </c>
    </row>
    <row r="3020" spans="1:4" ht="12.75" customHeight="1">
      <c r="A3020" s="2410" t="str">
        <f t="shared" si="55"/>
        <v>Kleingeräte und -material</v>
      </c>
      <c r="B3020" s="2410" t="s">
        <v>7935</v>
      </c>
      <c r="C3020" s="2410" t="s">
        <v>4493</v>
      </c>
      <c r="D3020" s="2414" t="s">
        <v>9733</v>
      </c>
    </row>
    <row r="3021" spans="1:4">
      <c r="A3021" s="2410" t="str">
        <f t="shared" si="55"/>
        <v>Maschinen- und Gerätekosten total</v>
      </c>
      <c r="B3021" s="2410" t="s">
        <v>7877</v>
      </c>
      <c r="C3021" s="2410" t="s">
        <v>7844</v>
      </c>
      <c r="D3021" s="2414" t="s">
        <v>9734</v>
      </c>
    </row>
    <row r="3022" spans="1:4" ht="12.75" customHeight="1">
      <c r="A3022" s="2410" t="str">
        <f t="shared" si="55"/>
        <v>* WBW = Wiederbeschaffungswert</v>
      </c>
      <c r="B3022" s="2410" t="s">
        <v>1930</v>
      </c>
      <c r="C3022" s="2410" t="s">
        <v>1929</v>
      </c>
      <c r="D3022" s="2414" t="s">
        <v>9735</v>
      </c>
    </row>
    <row r="3023" spans="1:4" ht="12.75" customHeight="1">
      <c r="A3023" s="2410">
        <f t="shared" si="55"/>
        <v>0</v>
      </c>
      <c r="B3023" s="2410"/>
      <c r="C3023" s="2410"/>
      <c r="D3023" s="2414"/>
    </row>
    <row r="3024" spans="1:4" ht="12.75" customHeight="1">
      <c r="A3024" s="2410" t="str">
        <f t="shared" si="55"/>
        <v>Allgemeine Betriebskosten</v>
      </c>
      <c r="B3024" s="2410" t="s">
        <v>5909</v>
      </c>
      <c r="C3024" s="2410" t="s">
        <v>2027</v>
      </c>
      <c r="D3024" s="2414" t="s">
        <v>4721</v>
      </c>
    </row>
    <row r="3025" spans="1:4" ht="12.75" customHeight="1">
      <c r="A3025" s="2410" t="str">
        <f t="shared" si="55"/>
        <v>Haftpflichtversicherung</v>
      </c>
      <c r="B3025" s="2410" t="s">
        <v>7837</v>
      </c>
      <c r="C3025" s="2410" t="s">
        <v>7832</v>
      </c>
      <c r="D3025" s="2414" t="s">
        <v>9736</v>
      </c>
    </row>
    <row r="3026" spans="1:4" ht="12.75" customHeight="1">
      <c r="A3026" s="2410" t="str">
        <f t="shared" si="55"/>
        <v>Mobiliarversicherung</v>
      </c>
      <c r="B3026" s="2410" t="s">
        <v>5910</v>
      </c>
      <c r="C3026" s="2410" t="s">
        <v>4583</v>
      </c>
      <c r="D3026" s="2414" t="s">
        <v>9737</v>
      </c>
    </row>
    <row r="3027" spans="1:4" ht="12.75" customHeight="1">
      <c r="A3027" s="2410" t="str">
        <f t="shared" si="55"/>
        <v>Übrige Sachversicherungen und Gebühren</v>
      </c>
      <c r="B3027" s="2410" t="s">
        <v>7838</v>
      </c>
      <c r="C3027" s="2410" t="s">
        <v>7833</v>
      </c>
      <c r="D3027" s="2414" t="s">
        <v>9738</v>
      </c>
    </row>
    <row r="3028" spans="1:4" ht="12.75" customHeight="1">
      <c r="A3028" s="2410" t="str">
        <f t="shared" si="55"/>
        <v>Elektrische Energie</v>
      </c>
      <c r="B3028" s="2410" t="s">
        <v>5911</v>
      </c>
      <c r="C3028" s="2410" t="s">
        <v>7834</v>
      </c>
      <c r="D3028" s="2414" t="s">
        <v>9739</v>
      </c>
    </row>
    <row r="3029" spans="1:4" ht="12.75" customHeight="1">
      <c r="A3029" s="2410" t="str">
        <f t="shared" si="55"/>
        <v>Heizmaterial</v>
      </c>
      <c r="B3029" s="2410" t="s">
        <v>3771</v>
      </c>
      <c r="C3029" s="2410" t="s">
        <v>2223</v>
      </c>
      <c r="D3029" s="2414" t="s">
        <v>9740</v>
      </c>
    </row>
    <row r="3030" spans="1:4" ht="12.75" customHeight="1">
      <c r="A3030" s="2410" t="str">
        <f t="shared" si="55"/>
        <v>Übrige Energie- und Entsorgungskosten</v>
      </c>
      <c r="B3030" s="2410" t="s">
        <v>7839</v>
      </c>
      <c r="C3030" s="2410" t="s">
        <v>7835</v>
      </c>
      <c r="D3030" s="2414" t="s">
        <v>9741</v>
      </c>
    </row>
    <row r="3031" spans="1:4" ht="12.75" customHeight="1">
      <c r="A3031" s="2410" t="str">
        <f>IF($A$2=1,B3031,IF($A$2=2,C3030,IF($A$2=3,IF(D3031="",C3030,D3031),"")))</f>
        <v>Wasser</v>
      </c>
      <c r="B3031" s="2410" t="s">
        <v>3772</v>
      </c>
      <c r="C3031" s="2410" t="s">
        <v>1286</v>
      </c>
      <c r="D3031" s="2414" t="s">
        <v>4722</v>
      </c>
    </row>
    <row r="3032" spans="1:4" ht="12.75" customHeight="1">
      <c r="A3032" s="2410" t="str">
        <f>IF($A$2=1,B3032,IF($A$2=2,C3032,IF($A$2=3,IF(D3032="",C3032,D3032),"")))</f>
        <v>Telekommunikation</v>
      </c>
      <c r="B3032" s="2410" t="s">
        <v>7840</v>
      </c>
      <c r="C3032" s="2410" t="s">
        <v>5885</v>
      </c>
      <c r="D3032" s="2414" t="s">
        <v>9742</v>
      </c>
    </row>
    <row r="3033" spans="1:4" ht="12.75" customHeight="1">
      <c r="A3033" s="2410" t="str">
        <f t="shared" ref="A3033:A3139" si="56">IF($A$2=1,B3033,IF($A$2=2,C3033,IF($A$2=3,IF(D3033="",C3033,D3033),"")))</f>
        <v>Übrige Verwaltungs- und Informatikkosten</v>
      </c>
      <c r="B3033" s="2410" t="s">
        <v>7841</v>
      </c>
      <c r="C3033" s="2410" t="s">
        <v>7836</v>
      </c>
      <c r="D3033" s="2414" t="s">
        <v>4723</v>
      </c>
    </row>
    <row r="3034" spans="1:4" ht="12.75" customHeight="1">
      <c r="A3034" s="2410" t="str">
        <f t="shared" si="56"/>
        <v>Allgemeine Betriebskosten total</v>
      </c>
      <c r="B3034" s="2410" t="s">
        <v>7842</v>
      </c>
      <c r="C3034" s="2410" t="s">
        <v>7843</v>
      </c>
      <c r="D3034" s="2414" t="s">
        <v>9743</v>
      </c>
    </row>
    <row r="3035" spans="1:4" ht="12.75" customHeight="1">
      <c r="A3035" s="2410" t="str">
        <f t="shared" si="56"/>
        <v>Schuldzinsen</v>
      </c>
      <c r="B3035" s="2410" t="s">
        <v>3092</v>
      </c>
      <c r="C3035" s="2410" t="s">
        <v>260</v>
      </c>
      <c r="D3035" s="2414" t="s">
        <v>9744</v>
      </c>
    </row>
    <row r="3036" spans="1:4" ht="12.75" customHeight="1">
      <c r="A3036" s="2410" t="str">
        <f t="shared" si="56"/>
        <v xml:space="preserve">Hypotheken u. Investitionskredite </v>
      </c>
      <c r="B3036" s="2410" t="s">
        <v>6451</v>
      </c>
      <c r="C3036" s="2410" t="s">
        <v>261</v>
      </c>
      <c r="D3036" s="2414" t="s">
        <v>9745</v>
      </c>
    </row>
    <row r="3037" spans="1:4" ht="12.75" customHeight="1">
      <c r="A3037" s="2410" t="str">
        <f t="shared" si="56"/>
        <v>Betrag</v>
      </c>
      <c r="B3037" s="2410" t="s">
        <v>2013</v>
      </c>
      <c r="C3037" s="2410" t="s">
        <v>262</v>
      </c>
      <c r="D3037" s="2414" t="s">
        <v>1190</v>
      </c>
    </row>
    <row r="3038" spans="1:4" ht="12.75" customHeight="1">
      <c r="A3038" s="2410" t="str">
        <f t="shared" si="56"/>
        <v>Zins</v>
      </c>
      <c r="B3038" s="2410" t="s">
        <v>6452</v>
      </c>
      <c r="C3038" s="2410" t="s">
        <v>4116</v>
      </c>
      <c r="D3038" s="2414" t="s">
        <v>1191</v>
      </c>
    </row>
    <row r="3039" spans="1:4" ht="12.75" customHeight="1">
      <c r="A3039" s="2410" t="str">
        <f t="shared" si="56"/>
        <v>Tilgung</v>
      </c>
      <c r="B3039" s="2410" t="s">
        <v>6453</v>
      </c>
      <c r="C3039" s="2410" t="s">
        <v>4117</v>
      </c>
      <c r="D3039" s="2414" t="s">
        <v>5821</v>
      </c>
    </row>
    <row r="3040" spans="1:4" ht="12.75" customHeight="1">
      <c r="A3040" s="2410" t="str">
        <f t="shared" si="56"/>
        <v>Schuldzinsen total</v>
      </c>
      <c r="B3040" s="2410" t="s">
        <v>7870</v>
      </c>
      <c r="C3040" s="2410" t="s">
        <v>7871</v>
      </c>
      <c r="D3040" s="2414" t="s">
        <v>9746</v>
      </c>
    </row>
    <row r="3041" spans="1:4" ht="12.75" customHeight="1">
      <c r="A3041" s="2410" t="str">
        <f t="shared" si="56"/>
        <v>Pacht- und Mietzinsen</v>
      </c>
      <c r="B3041" s="2410" t="s">
        <v>6690</v>
      </c>
      <c r="C3041" s="2410" t="s">
        <v>4118</v>
      </c>
      <c r="D3041" s="2414" t="s">
        <v>1192</v>
      </c>
    </row>
    <row r="3042" spans="1:4" ht="12.75" customHeight="1">
      <c r="A3042" s="2410" t="str">
        <f t="shared" si="56"/>
        <v>Bezeichnung Pachtobjekt</v>
      </c>
      <c r="B3042" s="2410" t="s">
        <v>6454</v>
      </c>
      <c r="C3042" s="2410" t="s">
        <v>3204</v>
      </c>
      <c r="D3042" s="2414" t="s">
        <v>9747</v>
      </c>
    </row>
    <row r="3043" spans="1:4" ht="12.75" customHeight="1">
      <c r="A3043" s="2410" t="str">
        <f t="shared" si="56"/>
        <v>Pachtland</v>
      </c>
      <c r="B3043" s="2410" t="s">
        <v>4801</v>
      </c>
      <c r="C3043" s="2410" t="s">
        <v>5064</v>
      </c>
      <c r="D3043" s="2414" t="s">
        <v>9748</v>
      </c>
    </row>
    <row r="3044" spans="1:4" ht="12.75" customHeight="1">
      <c r="A3044" s="2410" t="str">
        <f t="shared" si="56"/>
        <v>Pachtzins/ha</v>
      </c>
      <c r="B3044" s="2410" t="s">
        <v>35</v>
      </c>
      <c r="C3044" s="2410" t="s">
        <v>614</v>
      </c>
      <c r="D3044" s="2414" t="s">
        <v>1193</v>
      </c>
    </row>
    <row r="3045" spans="1:4" ht="12.75" customHeight="1">
      <c r="A3045" s="2410" t="str">
        <f t="shared" si="56"/>
        <v>Betrag</v>
      </c>
      <c r="B3045" s="2410" t="s">
        <v>2013</v>
      </c>
      <c r="C3045" s="2410" t="s">
        <v>262</v>
      </c>
      <c r="D3045" s="2414" t="s">
        <v>1190</v>
      </c>
    </row>
    <row r="3046" spans="1:4" ht="12.75" customHeight="1">
      <c r="A3046" s="2410" t="str">
        <f t="shared" si="56"/>
        <v>Miete Zusatzmenge Milch</v>
      </c>
      <c r="B3046" s="2410" t="s">
        <v>1302</v>
      </c>
      <c r="C3046" s="2410" t="s">
        <v>3934</v>
      </c>
      <c r="D3046" s="2414" t="s">
        <v>9749</v>
      </c>
    </row>
    <row r="3047" spans="1:4" ht="12.75" customHeight="1">
      <c r="A3047" s="2410" t="str">
        <f t="shared" si="56"/>
        <v>Eigentümer</v>
      </c>
      <c r="B3047" s="2410" t="s">
        <v>36</v>
      </c>
      <c r="C3047" s="2410" t="s">
        <v>615</v>
      </c>
      <c r="D3047" s="2414" t="s">
        <v>1146</v>
      </c>
    </row>
    <row r="3048" spans="1:4" ht="12.75" customHeight="1">
      <c r="A3048" s="2410" t="str">
        <f t="shared" si="56"/>
        <v>Beschreibung</v>
      </c>
      <c r="B3048" s="2410" t="s">
        <v>37</v>
      </c>
      <c r="C3048" s="2410" t="s">
        <v>5193</v>
      </c>
      <c r="D3048" s="2414" t="s">
        <v>1144</v>
      </c>
    </row>
    <row r="3049" spans="1:4" ht="12.75" customHeight="1">
      <c r="A3049" s="2410" t="str">
        <f t="shared" si="56"/>
        <v>Gebäude-miete, CHF</v>
      </c>
      <c r="B3049" s="2410" t="s">
        <v>1124</v>
      </c>
      <c r="C3049" s="2410" t="s">
        <v>1125</v>
      </c>
      <c r="D3049" s="2414" t="s">
        <v>9750</v>
      </c>
    </row>
    <row r="3050" spans="1:4" ht="12.75" customHeight="1">
      <c r="A3050" s="2410" t="str">
        <f t="shared" si="56"/>
        <v>Miete Zusatz-menge Milch</v>
      </c>
      <c r="B3050" s="2410" t="s">
        <v>1303</v>
      </c>
      <c r="C3050" s="2410" t="s">
        <v>3935</v>
      </c>
      <c r="D3050" s="2414" t="s">
        <v>9751</v>
      </c>
    </row>
    <row r="3051" spans="1:4" ht="12.75" customHeight="1">
      <c r="A3051" s="2410" t="str">
        <f t="shared" si="56"/>
        <v>Land, ha</v>
      </c>
      <c r="B3051" s="2410" t="s">
        <v>6651</v>
      </c>
      <c r="C3051" s="2410" t="s">
        <v>5194</v>
      </c>
      <c r="D3051" s="2424" t="s">
        <v>9752</v>
      </c>
    </row>
    <row r="3052" spans="1:4" ht="12.75" customHeight="1">
      <c r="A3052" s="2410" t="str">
        <f t="shared" si="56"/>
        <v>Pachtzins pro ha</v>
      </c>
      <c r="B3052" s="2410" t="s">
        <v>2881</v>
      </c>
      <c r="C3052" s="2410" t="s">
        <v>614</v>
      </c>
      <c r="D3052" s="2424" t="s">
        <v>9753</v>
      </c>
    </row>
    <row r="3053" spans="1:4" ht="12.75" customHeight="1">
      <c r="A3053" s="2410" t="str">
        <f t="shared" si="56"/>
        <v>Betrag</v>
      </c>
      <c r="B3053" s="2410" t="s">
        <v>2013</v>
      </c>
      <c r="C3053" s="2410" t="s">
        <v>262</v>
      </c>
      <c r="D3053" s="2424" t="s">
        <v>1190</v>
      </c>
    </row>
    <row r="3054" spans="1:4" ht="12.75" customHeight="1">
      <c r="A3054" s="2410" t="str">
        <f t="shared" si="56"/>
        <v>Dritte</v>
      </c>
      <c r="B3054" s="2410" t="s">
        <v>2882</v>
      </c>
      <c r="C3054" s="2410" t="s">
        <v>2982</v>
      </c>
      <c r="D3054" s="2424" t="s">
        <v>9754</v>
      </c>
    </row>
    <row r="3055" spans="1:4" ht="12.75" customHeight="1">
      <c r="A3055" s="2410" t="str">
        <f t="shared" si="56"/>
        <v>Pacht- und Mietzinsen total</v>
      </c>
      <c r="B3055" s="2410" t="s">
        <v>7940</v>
      </c>
      <c r="C3055" s="2410" t="s">
        <v>7866</v>
      </c>
      <c r="D3055" s="2414" t="s">
        <v>9755</v>
      </c>
    </row>
    <row r="3056" spans="1:4" ht="12.75" customHeight="1">
      <c r="A3056" s="2410" t="str">
        <f t="shared" si="56"/>
        <v>Eigenmiete Geschäftslokalitäten</v>
      </c>
      <c r="B3056" s="2410" t="s">
        <v>7857</v>
      </c>
      <c r="C3056" s="2410" t="s">
        <v>7858</v>
      </c>
      <c r="D3056" s="2414" t="s">
        <v>9756</v>
      </c>
    </row>
    <row r="3057" spans="1:4" ht="12.75" customHeight="1">
      <c r="A3057" s="2410" t="str">
        <f t="shared" si="56"/>
        <v>Anschaffungswert</v>
      </c>
      <c r="B3057" s="2410" t="s">
        <v>7861</v>
      </c>
      <c r="C3057" s="2410" t="s">
        <v>7862</v>
      </c>
      <c r="D3057" s="2414" t="s">
        <v>9757</v>
      </c>
    </row>
    <row r="3058" spans="1:4" ht="12.75" customHeight="1">
      <c r="A3058" s="2410" t="str">
        <f t="shared" si="56"/>
        <v>gemäss landw. Richtzahlen</v>
      </c>
      <c r="B3058" s="2410" t="s">
        <v>7864</v>
      </c>
      <c r="C3058" s="2410" t="s">
        <v>7863</v>
      </c>
      <c r="D3058" s="2414" t="s">
        <v>9758</v>
      </c>
    </row>
    <row r="3059" spans="1:4" ht="12.75" customHeight="1">
      <c r="A3059" s="2410" t="str">
        <f t="shared" si="56"/>
        <v xml:space="preserve"> ± Korrekturzeile nach Bedarf</v>
      </c>
      <c r="B3059" s="2410" t="s">
        <v>8366</v>
      </c>
      <c r="C3059" s="2410" t="s">
        <v>8367</v>
      </c>
      <c r="D3059" s="2414" t="s">
        <v>9759</v>
      </c>
    </row>
    <row r="3060" spans="1:4" ht="12.75" customHeight="1">
      <c r="A3060" s="2410" t="str">
        <f t="shared" si="56"/>
        <v xml:space="preserve"> ± Korrekturzeile nach Bedarf</v>
      </c>
      <c r="B3060" s="2410" t="s">
        <v>8366</v>
      </c>
      <c r="C3060" s="2410" t="s">
        <v>8367</v>
      </c>
      <c r="D3060" s="2414" t="s">
        <v>9759</v>
      </c>
    </row>
    <row r="3061" spans="1:4" ht="12.75" customHeight="1">
      <c r="A3061" s="2410" t="str">
        <f t="shared" si="56"/>
        <v>Satz</v>
      </c>
      <c r="B3061" s="2414" t="s">
        <v>7860</v>
      </c>
      <c r="C3061" s="2410" t="s">
        <v>7859</v>
      </c>
      <c r="D3061" s="2414" t="s">
        <v>9760</v>
      </c>
    </row>
    <row r="3062" spans="1:4" ht="12.75" customHeight="1">
      <c r="A3062" s="2410" t="str">
        <f t="shared" si="56"/>
        <v>jährlich anpassen</v>
      </c>
      <c r="B3062" s="2410" t="s">
        <v>7867</v>
      </c>
      <c r="C3062" s="2410" t="s">
        <v>7869</v>
      </c>
      <c r="D3062" s="2414" t="s">
        <v>9761</v>
      </c>
    </row>
    <row r="3063" spans="1:4" ht="12.75" customHeight="1">
      <c r="A3063" s="2410" t="str">
        <f t="shared" si="56"/>
        <v>gemäss Richtzahlen zur landwirtschaftl. Buchhaltung</v>
      </c>
      <c r="B3063" s="2410" t="s">
        <v>7868</v>
      </c>
      <c r="C3063" s="2410" t="s">
        <v>7872</v>
      </c>
      <c r="D3063" s="2414" t="s">
        <v>9762</v>
      </c>
    </row>
    <row r="3064" spans="1:4">
      <c r="A3064" s="2410" t="str">
        <f t="shared" si="56"/>
        <v>Eigenmiete Geschäftslokalitäten total</v>
      </c>
      <c r="B3064" s="2410" t="s">
        <v>7873</v>
      </c>
      <c r="C3064" s="2410" t="s">
        <v>7874</v>
      </c>
      <c r="D3064" s="2414" t="s">
        <v>9763</v>
      </c>
    </row>
    <row r="3065" spans="1:4" ht="12.75" customHeight="1">
      <c r="A3065" s="2410" t="str">
        <f t="shared" si="56"/>
        <v xml:space="preserve"> + Krankenversicherung</v>
      </c>
      <c r="B3065" s="2410" t="s">
        <v>7887</v>
      </c>
      <c r="C3065" s="2410" t="s">
        <v>3310</v>
      </c>
      <c r="D3065" s="2414" t="s">
        <v>9764</v>
      </c>
    </row>
    <row r="3066" spans="1:4" ht="12.75" customHeight="1">
      <c r="A3066" s="2410" t="str">
        <f t="shared" si="56"/>
        <v xml:space="preserve"> = Total Kosten</v>
      </c>
      <c r="B3066" s="2410" t="s">
        <v>686</v>
      </c>
      <c r="C3066" s="2410" t="s">
        <v>3311</v>
      </c>
      <c r="D3066" s="2414" t="s">
        <v>9765</v>
      </c>
    </row>
    <row r="3067" spans="1:4" ht="12.75" customHeight="1">
      <c r="A3067" s="2410" t="str">
        <f t="shared" si="56"/>
        <v xml:space="preserve"> x  Anzahl Arbeitsmonate</v>
      </c>
      <c r="B3067" s="2410" t="s">
        <v>687</v>
      </c>
      <c r="C3067" s="2410" t="s">
        <v>5422</v>
      </c>
      <c r="D3067" s="2414" t="s">
        <v>9766</v>
      </c>
    </row>
    <row r="3068" spans="1:4" ht="12.75" customHeight="1">
      <c r="A3068" s="2410" t="str">
        <f t="shared" si="56"/>
        <v xml:space="preserve"> = Total Kosten je Person</v>
      </c>
      <c r="B3068" s="2410" t="s">
        <v>688</v>
      </c>
      <c r="C3068" s="2410" t="s">
        <v>541</v>
      </c>
      <c r="D3068" s="2414" t="s">
        <v>9767</v>
      </c>
    </row>
    <row r="3069" spans="1:4" ht="12.75" customHeight="1">
      <c r="A3069" s="2410" t="str">
        <f t="shared" si="56"/>
        <v>Sozialversicherungen Betriebsleitende</v>
      </c>
      <c r="B3069" s="2410" t="s">
        <v>7879</v>
      </c>
      <c r="C3069" s="2410" t="s">
        <v>7880</v>
      </c>
      <c r="D3069" s="2414" t="s">
        <v>9768</v>
      </c>
    </row>
    <row r="3070" spans="1:4" ht="12.75" customHeight="1">
      <c r="A3070" s="2410" t="str">
        <f t="shared" si="56"/>
        <v>Sozialversicherungen total pro Person</v>
      </c>
      <c r="B3070" s="2410" t="s">
        <v>7881</v>
      </c>
      <c r="C3070" s="2410" t="s">
        <v>7882</v>
      </c>
      <c r="D3070" s="2414" t="s">
        <v>9769</v>
      </c>
    </row>
    <row r="3071" spans="1:4" ht="12.75" customHeight="1">
      <c r="A3071" s="2410" t="str">
        <f t="shared" si="56"/>
        <v>Sozialversicherungen Betriebsleitende total</v>
      </c>
      <c r="B3071" s="2410" t="s">
        <v>7883</v>
      </c>
      <c r="C3071" s="2410" t="s">
        <v>7884</v>
      </c>
      <c r="D3071" s="2414" t="s">
        <v>9770</v>
      </c>
    </row>
    <row r="3072" spans="1:4" ht="12.75" customHeight="1">
      <c r="A3072" s="2410">
        <f t="shared" si="56"/>
        <v>0</v>
      </c>
      <c r="B3072" s="2410"/>
      <c r="C3072" s="2410"/>
      <c r="D3072" s="2414"/>
    </row>
    <row r="3073" spans="1:5" ht="11.25" customHeight="1">
      <c r="A3073" s="2410" t="str">
        <f t="shared" si="56"/>
        <v>Personalkosten</v>
      </c>
      <c r="B3073" s="2410" t="s">
        <v>4237</v>
      </c>
      <c r="C3073" s="2410" t="s">
        <v>7878</v>
      </c>
      <c r="D3073" s="2414" t="s">
        <v>9771</v>
      </c>
    </row>
    <row r="3074" spans="1:5" ht="12.75" customHeight="1">
      <c r="A3074" s="2410" t="str">
        <f t="shared" si="56"/>
        <v>Angestelltenkosten</v>
      </c>
      <c r="B3074" s="2410" t="s">
        <v>7885</v>
      </c>
      <c r="C3074" s="2410" t="s">
        <v>7886</v>
      </c>
      <c r="D3074" s="2414" t="s">
        <v>9772</v>
      </c>
    </row>
    <row r="3075" spans="1:5" ht="12.75" customHeight="1">
      <c r="A3075" s="2410" t="str">
        <f t="shared" si="56"/>
        <v>Person</v>
      </c>
      <c r="B3075" s="2410" t="s">
        <v>4238</v>
      </c>
      <c r="C3075" s="2410" t="s">
        <v>6687</v>
      </c>
      <c r="D3075" s="2414" t="s">
        <v>4888</v>
      </c>
    </row>
    <row r="3076" spans="1:5" ht="12.75" customHeight="1">
      <c r="A3076" s="2410" t="str">
        <f t="shared" si="56"/>
        <v>AHV, IV, EO - 1.Säule</v>
      </c>
      <c r="B3076" s="2410" t="s">
        <v>8373</v>
      </c>
      <c r="C3076" s="2410" t="s">
        <v>8374</v>
      </c>
      <c r="D3076" s="2414" t="s">
        <v>11233</v>
      </c>
    </row>
    <row r="3077" spans="1:5" ht="12.75" customHeight="1">
      <c r="A3077" s="2410" t="str">
        <f t="shared" si="56"/>
        <v>Ordentliche Beiträge BV - 2. Säule</v>
      </c>
      <c r="B3077" s="2410" t="s">
        <v>8375</v>
      </c>
      <c r="C3077" s="2410" t="s">
        <v>8377</v>
      </c>
      <c r="D3077" s="2414" t="s">
        <v>9773</v>
      </c>
    </row>
    <row r="3078" spans="1:5" ht="12.75" customHeight="1">
      <c r="A3078" s="2410" t="str">
        <f t="shared" si="56"/>
        <v>Übrige Beiträge für Sozialversicherungen</v>
      </c>
      <c r="B3078" s="2410" t="s">
        <v>8376</v>
      </c>
      <c r="C3078" s="2410" t="s">
        <v>8378</v>
      </c>
      <c r="D3078" s="2414" t="s">
        <v>9774</v>
      </c>
    </row>
    <row r="3079" spans="1:5" ht="12.75" customHeight="1">
      <c r="A3079" s="2410" t="str">
        <f t="shared" si="56"/>
        <v>pro Monat</v>
      </c>
      <c r="B3079" s="2410" t="s">
        <v>4241</v>
      </c>
      <c r="C3079" s="2410" t="s">
        <v>4128</v>
      </c>
      <c r="D3079" s="2414" t="s">
        <v>1145</v>
      </c>
    </row>
    <row r="3080" spans="1:5" ht="12.75" customHeight="1">
      <c r="A3080" s="2410" t="str">
        <f t="shared" si="56"/>
        <v>% vom Bruttolohn</v>
      </c>
      <c r="B3080" s="2410" t="s">
        <v>3497</v>
      </c>
      <c r="C3080" s="2410" t="s">
        <v>6686</v>
      </c>
      <c r="D3080" s="2414" t="s">
        <v>4655</v>
      </c>
    </row>
    <row r="3081" spans="1:5" ht="12.75" customHeight="1">
      <c r="A3081" s="2410" t="str">
        <f t="shared" si="56"/>
        <v>Berechnung Bruttolohn</v>
      </c>
      <c r="B3081" s="2410" t="s">
        <v>4239</v>
      </c>
      <c r="C3081" s="2410" t="s">
        <v>6688</v>
      </c>
      <c r="D3081" s="2414" t="s">
        <v>9775</v>
      </c>
    </row>
    <row r="3082" spans="1:5" ht="12.75" customHeight="1">
      <c r="A3082" s="2410" t="str">
        <f t="shared" si="56"/>
        <v>Barlohn</v>
      </c>
      <c r="B3082" s="2410" t="s">
        <v>4240</v>
      </c>
      <c r="C3082" s="2410" t="s">
        <v>4463</v>
      </c>
      <c r="D3082" s="2414" t="s">
        <v>4656</v>
      </c>
    </row>
    <row r="3083" spans="1:5" ht="12.75" customHeight="1">
      <c r="A3083" s="2410" t="str">
        <f t="shared" si="56"/>
        <v xml:space="preserve"> + Naturallohnansatz</v>
      </c>
      <c r="B3083" s="2410" t="s">
        <v>5265</v>
      </c>
      <c r="C3083" s="2410" t="s">
        <v>3731</v>
      </c>
      <c r="D3083" s="2414" t="s">
        <v>9776</v>
      </c>
    </row>
    <row r="3084" spans="1:5" ht="12.75" customHeight="1">
      <c r="A3084" s="2410" t="str">
        <f t="shared" si="56"/>
        <v xml:space="preserve"> = Bruttolohn</v>
      </c>
      <c r="B3084" s="2410" t="s">
        <v>5266</v>
      </c>
      <c r="C3084" s="2410" t="s">
        <v>5321</v>
      </c>
      <c r="D3084" s="2425" t="s">
        <v>9777</v>
      </c>
      <c r="E3084" s="2428"/>
    </row>
    <row r="3085" spans="1:5" ht="12.75" customHeight="1">
      <c r="A3085" s="2410" t="str">
        <f t="shared" si="56"/>
        <v>Berechnung der erfolgswirksamen Kosten</v>
      </c>
      <c r="B3085" s="2410" t="s">
        <v>2617</v>
      </c>
      <c r="C3085" s="2410" t="s">
        <v>5819</v>
      </c>
      <c r="D3085" s="2414" t="s">
        <v>9778</v>
      </c>
    </row>
    <row r="3086" spans="1:5" ht="12.75" customHeight="1">
      <c r="A3086" s="2410" t="str">
        <f t="shared" si="56"/>
        <v>Barlohn</v>
      </c>
      <c r="B3086" s="2410" t="s">
        <v>4240</v>
      </c>
      <c r="C3086" s="2410" t="s">
        <v>4463</v>
      </c>
      <c r="D3086" s="2414" t="s">
        <v>4656</v>
      </c>
    </row>
    <row r="3087" spans="1:5" ht="12.75" customHeight="1">
      <c r="A3087" s="2410" t="str">
        <f t="shared" si="56"/>
        <v xml:space="preserve"> + Uebrige Ausgaben</v>
      </c>
      <c r="B3087" s="2410" t="s">
        <v>2618</v>
      </c>
      <c r="C3087" s="2410" t="s">
        <v>7591</v>
      </c>
      <c r="D3087" s="2414" t="s">
        <v>9779</v>
      </c>
    </row>
    <row r="3088" spans="1:5" ht="12.75" customHeight="1">
      <c r="A3088" s="2410" t="str">
        <f t="shared" si="56"/>
        <v xml:space="preserve"> + Mietwert Wohnräume</v>
      </c>
      <c r="B3088" s="2410" t="s">
        <v>2619</v>
      </c>
      <c r="C3088" s="2410" t="s">
        <v>2638</v>
      </c>
      <c r="D3088" s="2414" t="s">
        <v>9780</v>
      </c>
    </row>
    <row r="3089" spans="1:5" ht="12.75" customHeight="1">
      <c r="A3089" s="2410" t="str">
        <f t="shared" si="56"/>
        <v xml:space="preserve"> + Naturallieferungen</v>
      </c>
      <c r="B3089" s="2410" t="s">
        <v>7336</v>
      </c>
      <c r="C3089" s="2410" t="s">
        <v>2190</v>
      </c>
      <c r="D3089" s="2414" t="s">
        <v>9781</v>
      </c>
    </row>
    <row r="3090" spans="1:5" ht="12.75" customHeight="1">
      <c r="A3090" s="2410" t="str">
        <f t="shared" si="56"/>
        <v xml:space="preserve"> + Pensionskasse: Prämie</v>
      </c>
      <c r="B3090" s="2410" t="s">
        <v>7337</v>
      </c>
      <c r="C3090" s="2410" t="s">
        <v>2191</v>
      </c>
      <c r="D3090" s="2414" t="s">
        <v>9782</v>
      </c>
    </row>
    <row r="3091" spans="1:5" ht="12.75" customHeight="1">
      <c r="A3091" s="2410" t="str">
        <f t="shared" si="56"/>
        <v>Koordinationsabzug</v>
      </c>
      <c r="B3091" s="2410" t="s">
        <v>7338</v>
      </c>
      <c r="C3091" s="2410" t="s">
        <v>2192</v>
      </c>
      <c r="D3091" s="2414" t="s">
        <v>9783</v>
      </c>
    </row>
    <row r="3092" spans="1:5" ht="12.75" customHeight="1">
      <c r="A3092" s="2410" t="str">
        <f t="shared" si="56"/>
        <v xml:space="preserve"> + Staatl. Sozialleistungen</v>
      </c>
      <c r="B3092" s="2410" t="s">
        <v>3498</v>
      </c>
      <c r="C3092" s="2410" t="s">
        <v>3714</v>
      </c>
      <c r="D3092" s="2425" t="s">
        <v>9784</v>
      </c>
    </row>
    <row r="3093" spans="1:5" ht="12.75" customHeight="1">
      <c r="A3093" s="2410" t="str">
        <f t="shared" si="56"/>
        <v xml:space="preserve"> + Unfallversicherung</v>
      </c>
      <c r="B3093" s="2410" t="s">
        <v>3499</v>
      </c>
      <c r="C3093" s="2410" t="s">
        <v>3715</v>
      </c>
      <c r="D3093" s="2414" t="s">
        <v>9785</v>
      </c>
    </row>
    <row r="3094" spans="1:5" ht="12.75" customHeight="1">
      <c r="A3094" s="2410" t="str">
        <f t="shared" si="56"/>
        <v xml:space="preserve"> + Krankentaggeld</v>
      </c>
      <c r="B3094" s="2410" t="s">
        <v>3500</v>
      </c>
      <c r="C3094" s="2410" t="s">
        <v>3309</v>
      </c>
      <c r="D3094" s="2414" t="s">
        <v>9786</v>
      </c>
    </row>
    <row r="3095" spans="1:5" ht="12.75" customHeight="1">
      <c r="A3095" s="2410" t="str">
        <f t="shared" si="56"/>
        <v xml:space="preserve"> + Krankenversicherung</v>
      </c>
      <c r="B3095" s="2410" t="s">
        <v>7887</v>
      </c>
      <c r="C3095" s="2410" t="s">
        <v>3310</v>
      </c>
      <c r="D3095" s="2414" t="s">
        <v>9764</v>
      </c>
    </row>
    <row r="3096" spans="1:5" ht="12.75" customHeight="1">
      <c r="A3096" s="2410" t="str">
        <f t="shared" si="56"/>
        <v xml:space="preserve"> = Kosten total</v>
      </c>
      <c r="B3096" s="2410" t="s">
        <v>7889</v>
      </c>
      <c r="C3096" s="2410" t="s">
        <v>3311</v>
      </c>
      <c r="D3096" s="2425" t="s">
        <v>9787</v>
      </c>
    </row>
    <row r="3097" spans="1:5" ht="12.75" customHeight="1">
      <c r="A3097" s="2410" t="str">
        <f t="shared" si="56"/>
        <v xml:space="preserve"> x  Anzahl Arbeitsmonate</v>
      </c>
      <c r="B3097" s="2410" t="s">
        <v>687</v>
      </c>
      <c r="C3097" s="2410" t="s">
        <v>5422</v>
      </c>
      <c r="D3097" s="2414" t="s">
        <v>9766</v>
      </c>
    </row>
    <row r="3098" spans="1:5" ht="12.75" customHeight="1">
      <c r="A3098" s="2410" t="str">
        <f t="shared" si="56"/>
        <v xml:space="preserve"> = Kosten total je Person</v>
      </c>
      <c r="B3098" s="2410" t="s">
        <v>7892</v>
      </c>
      <c r="C3098" s="2410" t="s">
        <v>541</v>
      </c>
      <c r="D3098" s="2425" t="s">
        <v>9767</v>
      </c>
      <c r="E3098" s="2428"/>
    </row>
    <row r="3099" spans="1:5" ht="12.75" customHeight="1">
      <c r="A3099" s="2410" t="str">
        <f t="shared" si="56"/>
        <v>Angestelltenkosten total</v>
      </c>
      <c r="B3099" s="2410" t="s">
        <v>7888</v>
      </c>
      <c r="C3099" s="2410" t="s">
        <v>7890</v>
      </c>
      <c r="D3099" s="2414" t="s">
        <v>11234</v>
      </c>
    </row>
    <row r="3100" spans="1:5" ht="12.75" customHeight="1">
      <c r="A3100" s="2410" t="str">
        <f t="shared" si="56"/>
        <v>Personalkosten total</v>
      </c>
      <c r="B3100" s="2410" t="s">
        <v>7865</v>
      </c>
      <c r="C3100" s="2410" t="s">
        <v>7891</v>
      </c>
      <c r="D3100" s="2414" t="s">
        <v>9788</v>
      </c>
    </row>
    <row r="3101" spans="1:5" ht="12.75" customHeight="1">
      <c r="A3101" s="2410">
        <f t="shared" si="56"/>
        <v>0</v>
      </c>
      <c r="B3101" s="2410"/>
      <c r="C3101" s="2410"/>
      <c r="D3101" s="2414"/>
    </row>
    <row r="3102" spans="1:5" ht="12.75" customHeight="1">
      <c r="A3102" s="2410" t="str">
        <f t="shared" si="56"/>
        <v>Nebeneinkommen und Eigenkapital Partner</v>
      </c>
      <c r="B3102" s="2410" t="s">
        <v>4075</v>
      </c>
      <c r="C3102" s="2410" t="s">
        <v>4075</v>
      </c>
      <c r="D3102" s="2414" t="s">
        <v>9789</v>
      </c>
    </row>
    <row r="3103" spans="1:5" ht="12.75" customHeight="1">
      <c r="A3103" s="2410">
        <f t="shared" si="56"/>
        <v>0</v>
      </c>
      <c r="B3103" s="2410"/>
      <c r="C3103" s="2410"/>
      <c r="D3103" s="2414"/>
    </row>
    <row r="3104" spans="1:5" ht="12.75" customHeight="1">
      <c r="A3104" s="2410" t="str">
        <f t="shared" si="56"/>
        <v>Erfolg Nebenbetriebe und betriebliche Liegenschaften</v>
      </c>
      <c r="B3104" s="2410" t="s">
        <v>7908</v>
      </c>
      <c r="C3104" s="2410" t="s">
        <v>7902</v>
      </c>
      <c r="D3104" s="2414" t="s">
        <v>9790</v>
      </c>
    </row>
    <row r="3105" spans="1:4" ht="12.75" customHeight="1">
      <c r="A3105" s="2410" t="str">
        <f t="shared" si="56"/>
        <v>Erfolg Nebenbetriebe, 7000er Konten</v>
      </c>
      <c r="B3105" s="2410" t="s">
        <v>8022</v>
      </c>
      <c r="C3105" s="2410" t="s">
        <v>8054</v>
      </c>
      <c r="D3105" s="2414" t="s">
        <v>9791</v>
      </c>
    </row>
    <row r="3106" spans="1:4" ht="12.75" customHeight="1">
      <c r="A3106" s="2410" t="str">
        <f t="shared" si="56"/>
        <v>Bezeichnung</v>
      </c>
      <c r="B3106" s="2410" t="s">
        <v>1620</v>
      </c>
      <c r="C3106" s="2410" t="s">
        <v>1514</v>
      </c>
      <c r="D3106" s="2414" t="s">
        <v>1144</v>
      </c>
    </row>
    <row r="3107" spans="1:4" ht="12.75" customHeight="1">
      <c r="A3107" s="2410" t="str">
        <f t="shared" si="56"/>
        <v>Ertrag</v>
      </c>
      <c r="B3107" s="2410" t="s">
        <v>4260</v>
      </c>
      <c r="C3107" s="2410" t="s">
        <v>1515</v>
      </c>
      <c r="D3107" s="2414" t="s">
        <v>9792</v>
      </c>
    </row>
    <row r="3108" spans="1:4" ht="12.75" customHeight="1">
      <c r="A3108" s="2410" t="str">
        <f t="shared" si="56"/>
        <v>Aufwand</v>
      </c>
      <c r="B3108" s="2410" t="s">
        <v>3524</v>
      </c>
      <c r="C3108" s="2410" t="s">
        <v>1516</v>
      </c>
      <c r="D3108" s="2414" t="s">
        <v>5934</v>
      </c>
    </row>
    <row r="3109" spans="1:4" ht="12.75" customHeight="1">
      <c r="A3109" s="2410" t="str">
        <f t="shared" si="56"/>
        <v>Erfolg Nebenbetriebe total</v>
      </c>
      <c r="B3109" s="2410" t="s">
        <v>7901</v>
      </c>
      <c r="C3109" s="2410" t="s">
        <v>7903</v>
      </c>
      <c r="D3109" s="2414" t="s">
        <v>9793</v>
      </c>
    </row>
    <row r="3110" spans="1:4" ht="12.75" customHeight="1">
      <c r="A3110" s="2410" t="str">
        <f t="shared" si="56"/>
        <v>Einnahmen betriebliche Liegenschaften, 7500er Konten</v>
      </c>
      <c r="B3110" s="2410" t="s">
        <v>8053</v>
      </c>
      <c r="C3110" s="2410" t="s">
        <v>8055</v>
      </c>
      <c r="D3110" s="2414" t="s">
        <v>9794</v>
      </c>
    </row>
    <row r="3111" spans="1:4" ht="12.75" customHeight="1">
      <c r="A3111" s="2410" t="str">
        <f t="shared" si="56"/>
        <v>Mietzinseinnahmen Geschäftslokalitäten</v>
      </c>
      <c r="B3111" s="2410" t="s">
        <v>8113</v>
      </c>
      <c r="C3111" s="2410" t="s">
        <v>7904</v>
      </c>
      <c r="D3111" s="2414" t="s">
        <v>9795</v>
      </c>
    </row>
    <row r="3112" spans="1:4" ht="12.75" customHeight="1">
      <c r="A3112" s="2410" t="str">
        <f t="shared" si="56"/>
        <v>Mietzinseinnahmen Wohnungen</v>
      </c>
      <c r="B3112" s="2410" t="s">
        <v>8112</v>
      </c>
      <c r="C3112" s="2410" t="s">
        <v>7905</v>
      </c>
      <c r="D3112" s="2414" t="s">
        <v>9796</v>
      </c>
    </row>
    <row r="3113" spans="1:4" ht="12.75" customHeight="1">
      <c r="A3113" s="2410" t="str">
        <f t="shared" si="56"/>
        <v>Pachtzinseinnahmen</v>
      </c>
      <c r="B3113" s="2410" t="s">
        <v>8111</v>
      </c>
      <c r="C3113" s="2410" t="s">
        <v>7906</v>
      </c>
      <c r="D3113" s="2414" t="s">
        <v>9797</v>
      </c>
    </row>
    <row r="3114" spans="1:4" ht="12.75" customHeight="1">
      <c r="A3114" s="2410" t="str">
        <f t="shared" si="56"/>
        <v>Einnahmen betriebliche Liegenschaften total</v>
      </c>
      <c r="B3114" s="2410" t="s">
        <v>7974</v>
      </c>
      <c r="C3114" s="2410" t="s">
        <v>7907</v>
      </c>
      <c r="D3114" s="2414" t="s">
        <v>9798</v>
      </c>
    </row>
    <row r="3115" spans="1:4" ht="12.75" customHeight="1">
      <c r="A3115" s="2410">
        <f t="shared" si="56"/>
        <v>0</v>
      </c>
      <c r="B3115" s="2410"/>
      <c r="C3115" s="2410"/>
      <c r="D3115" s="2414"/>
    </row>
    <row r="3116" spans="1:4" ht="12.75" customHeight="1">
      <c r="A3116" s="2410">
        <f t="shared" si="56"/>
        <v>0</v>
      </c>
      <c r="B3116" s="2410"/>
      <c r="C3116" s="2410"/>
      <c r="D3116" s="2414"/>
    </row>
    <row r="3117" spans="1:4" ht="12.75" customHeight="1">
      <c r="A3117" s="2410">
        <f t="shared" si="56"/>
        <v>0</v>
      </c>
      <c r="B3117" s="2410"/>
      <c r="C3117" s="2410"/>
      <c r="D3117" s="2414"/>
    </row>
    <row r="3118" spans="1:4" ht="12.75" customHeight="1">
      <c r="A3118" s="2410">
        <f t="shared" si="56"/>
        <v>0</v>
      </c>
      <c r="B3118" s="2410"/>
      <c r="C3118" s="2410"/>
      <c r="D3118" s="2414"/>
    </row>
    <row r="3119" spans="1:4" ht="12.75" customHeight="1">
      <c r="A3119" s="2410">
        <f t="shared" si="56"/>
        <v>0</v>
      </c>
      <c r="B3119" s="2410"/>
      <c r="C3119" s="2410"/>
      <c r="D3119" s="2414"/>
    </row>
    <row r="3120" spans="1:4" ht="12.75" customHeight="1">
      <c r="A3120" s="2410">
        <f t="shared" si="56"/>
        <v>0</v>
      </c>
      <c r="B3120" s="2410"/>
      <c r="C3120" s="2410"/>
      <c r="D3120" s="2414"/>
    </row>
    <row r="3121" spans="1:4" ht="12.75" customHeight="1">
      <c r="A3121" s="2410">
        <f t="shared" si="56"/>
        <v>0</v>
      </c>
      <c r="B3121" s="2410"/>
      <c r="C3121" s="2410"/>
      <c r="D3121" s="2414"/>
    </row>
    <row r="3122" spans="1:4" ht="12.75" customHeight="1">
      <c r="A3122" s="2410">
        <f t="shared" si="56"/>
        <v>0</v>
      </c>
      <c r="B3122" s="2410"/>
      <c r="C3122" s="2410"/>
      <c r="D3122" s="2414"/>
    </row>
    <row r="3123" spans="1:4" ht="12.75" customHeight="1">
      <c r="A3123" s="2410">
        <f t="shared" si="56"/>
        <v>0</v>
      </c>
      <c r="B3123" s="2410"/>
      <c r="C3123" s="2410"/>
      <c r="D3123" s="2414"/>
    </row>
    <row r="3124" spans="1:4" ht="12.75" customHeight="1">
      <c r="A3124" s="2410" t="str">
        <f t="shared" si="56"/>
        <v>Selbständiges Nebeneinkommen</v>
      </c>
      <c r="B3124" s="2410" t="s">
        <v>3522</v>
      </c>
      <c r="C3124" s="2410" t="s">
        <v>509</v>
      </c>
      <c r="D3124" s="2414" t="s">
        <v>4657</v>
      </c>
    </row>
    <row r="3125" spans="1:4" ht="12.75" customHeight="1">
      <c r="A3125" s="2410" t="str">
        <f t="shared" si="56"/>
        <v>Erfolg aus Nebenbetrieben</v>
      </c>
      <c r="B3125" s="2410" t="s">
        <v>1619</v>
      </c>
      <c r="C3125" s="2410" t="s">
        <v>510</v>
      </c>
      <c r="D3125" s="2414" t="s">
        <v>9799</v>
      </c>
    </row>
    <row r="3126" spans="1:4" ht="12.75" customHeight="1">
      <c r="A3126" s="2410" t="str">
        <f t="shared" si="56"/>
        <v>Bezeichnung</v>
      </c>
      <c r="B3126" s="2410" t="s">
        <v>1620</v>
      </c>
      <c r="C3126" s="2410" t="s">
        <v>1514</v>
      </c>
      <c r="D3126" s="2414" t="s">
        <v>1144</v>
      </c>
    </row>
    <row r="3127" spans="1:4" ht="12.75" customHeight="1">
      <c r="A3127" s="2410" t="str">
        <f t="shared" si="56"/>
        <v>Ertrag</v>
      </c>
      <c r="B3127" s="2410" t="s">
        <v>4260</v>
      </c>
      <c r="C3127" s="2410" t="s">
        <v>1515</v>
      </c>
      <c r="D3127" s="2414" t="s">
        <v>9792</v>
      </c>
    </row>
    <row r="3128" spans="1:4" ht="12.75" customHeight="1">
      <c r="A3128" s="2410" t="str">
        <f t="shared" si="56"/>
        <v>Aufwand</v>
      </c>
      <c r="B3128" s="2410" t="s">
        <v>3524</v>
      </c>
      <c r="C3128" s="2410" t="s">
        <v>1516</v>
      </c>
      <c r="D3128" s="2414" t="s">
        <v>5934</v>
      </c>
    </row>
    <row r="3129" spans="1:4" ht="12.75" customHeight="1">
      <c r="A3129" s="2410" t="str">
        <f t="shared" si="56"/>
        <v>Lieferungen des Betriebes</v>
      </c>
      <c r="B3129" s="2410" t="s">
        <v>7911</v>
      </c>
      <c r="C3129" s="2410" t="s">
        <v>7912</v>
      </c>
      <c r="D3129" s="2414" t="s">
        <v>9800</v>
      </c>
    </row>
    <row r="3130" spans="1:4" ht="12.75" customHeight="1">
      <c r="A3130" s="2410" t="str">
        <f t="shared" si="56"/>
        <v>nicht liquiditätswirksam!</v>
      </c>
      <c r="B3130" s="2410" t="s">
        <v>7894</v>
      </c>
      <c r="C3130" s="2410" t="s">
        <v>7913</v>
      </c>
      <c r="D3130" s="2414" t="s">
        <v>7893</v>
      </c>
    </row>
    <row r="3131" spans="1:4" ht="12.75" customHeight="1">
      <c r="A3131" s="2410" t="str">
        <f t="shared" si="56"/>
        <v>Anteil Autokosten, Ausgaben</v>
      </c>
      <c r="B3131" s="2410" t="s">
        <v>7898</v>
      </c>
      <c r="C3131" s="2410" t="s">
        <v>7896</v>
      </c>
      <c r="D3131" s="2414" t="s">
        <v>9801</v>
      </c>
    </row>
    <row r="3132" spans="1:4" ht="12.75" customHeight="1">
      <c r="A3132" s="2410" t="str">
        <f t="shared" si="56"/>
        <v>Anteil Autokosten, Abschreibungen</v>
      </c>
      <c r="B3132" s="2410" t="s">
        <v>7899</v>
      </c>
      <c r="C3132" s="2410" t="s">
        <v>7895</v>
      </c>
      <c r="D3132" s="2414" t="s">
        <v>9802</v>
      </c>
    </row>
    <row r="3133" spans="1:4" ht="12.75" customHeight="1">
      <c r="A3133" s="2410" t="s">
        <v>7901</v>
      </c>
      <c r="B3133" s="2410" t="s">
        <v>4102</v>
      </c>
      <c r="C3133" s="2410" t="s">
        <v>1715</v>
      </c>
      <c r="D3133" s="2414" t="s">
        <v>4102</v>
      </c>
    </row>
    <row r="3134" spans="1:4" ht="12.75" customHeight="1">
      <c r="A3134" s="2410" t="str">
        <f t="shared" si="56"/>
        <v>Betriebsfremde Finanzanlagen</v>
      </c>
      <c r="B3134" s="2410" t="s">
        <v>4103</v>
      </c>
      <c r="C3134" s="2410" t="s">
        <v>3769</v>
      </c>
      <c r="D3134" s="2414" t="s">
        <v>9803</v>
      </c>
    </row>
    <row r="3135" spans="1:4" ht="12.75" customHeight="1">
      <c r="A3135" s="2410" t="str">
        <f t="shared" si="56"/>
        <v>Betrag</v>
      </c>
      <c r="B3135" s="2410" t="s">
        <v>2013</v>
      </c>
      <c r="C3135" s="2410" t="s">
        <v>262</v>
      </c>
      <c r="D3135" s="2414" t="s">
        <v>1190</v>
      </c>
    </row>
    <row r="3136" spans="1:4" ht="12.75" customHeight="1">
      <c r="A3136" s="2410" t="str">
        <f t="shared" si="56"/>
        <v>Zinssatz (%)</v>
      </c>
      <c r="B3136" s="2410" t="s">
        <v>4104</v>
      </c>
      <c r="C3136" s="2410" t="s">
        <v>3770</v>
      </c>
      <c r="D3136" s="2414" t="s">
        <v>5933</v>
      </c>
    </row>
    <row r="3137" spans="1:4" ht="12.75" customHeight="1">
      <c r="A3137" s="2410" t="str">
        <f t="shared" si="56"/>
        <v>Sonstiger betriebsfremder Erfolg</v>
      </c>
      <c r="B3137" s="2410" t="s">
        <v>3891</v>
      </c>
      <c r="C3137" s="2410" t="s">
        <v>3768</v>
      </c>
      <c r="D3137" s="2414" t="s">
        <v>9804</v>
      </c>
    </row>
    <row r="3138" spans="1:4" ht="12.75" customHeight="1">
      <c r="A3138" s="2410" t="str">
        <f t="shared" si="56"/>
        <v>Bezeichnung</v>
      </c>
      <c r="B3138" s="2410" t="s">
        <v>1620</v>
      </c>
      <c r="C3138" s="2410" t="s">
        <v>1514</v>
      </c>
      <c r="D3138" s="2414" t="s">
        <v>1144</v>
      </c>
    </row>
    <row r="3139" spans="1:4" ht="12.75" customHeight="1">
      <c r="A3139" s="2410" t="str">
        <f t="shared" si="56"/>
        <v>Ertrag</v>
      </c>
      <c r="B3139" s="2410" t="s">
        <v>4260</v>
      </c>
      <c r="C3139" s="2410" t="s">
        <v>4720</v>
      </c>
      <c r="D3139" s="2414" t="s">
        <v>9792</v>
      </c>
    </row>
    <row r="3140" spans="1:4" ht="12.75" customHeight="1">
      <c r="A3140" s="2410" t="str">
        <f t="shared" ref="A3140:A3213" si="57">IF($A$2=1,B3140,IF($A$2=2,C3140,IF($A$2=3,IF(D3140="",C3140,D3140),"")))</f>
        <v>Aufwand</v>
      </c>
      <c r="B3140" s="2410" t="s">
        <v>3524</v>
      </c>
      <c r="C3140" s="2410" t="s">
        <v>1516</v>
      </c>
      <c r="D3140" s="2414" t="s">
        <v>5934</v>
      </c>
    </row>
    <row r="3141" spans="1:4" ht="12.75" customHeight="1">
      <c r="A3141" s="2410" t="str">
        <f t="shared" si="57"/>
        <v>Total</v>
      </c>
      <c r="B3141" s="2410" t="s">
        <v>4802</v>
      </c>
      <c r="C3141" s="2410" t="s">
        <v>4802</v>
      </c>
      <c r="D3141" s="2414" t="s">
        <v>8612</v>
      </c>
    </row>
    <row r="3142" spans="1:4" ht="12.75" customHeight="1">
      <c r="A3142" s="2410" t="str">
        <f t="shared" si="57"/>
        <v>Unselbständiges Nebeneinkommen</v>
      </c>
      <c r="B3142" s="2410" t="s">
        <v>2383</v>
      </c>
      <c r="C3142" s="2410" t="s">
        <v>307</v>
      </c>
      <c r="D3142" s="2414" t="s">
        <v>9805</v>
      </c>
    </row>
    <row r="3143" spans="1:4" ht="12.75" customHeight="1">
      <c r="A3143" s="2410" t="str">
        <f t="shared" si="57"/>
        <v>Bezeichnung</v>
      </c>
      <c r="B3143" s="2410" t="s">
        <v>1620</v>
      </c>
      <c r="C3143" s="2410" t="s">
        <v>934</v>
      </c>
      <c r="D3143" s="2414" t="s">
        <v>5935</v>
      </c>
    </row>
    <row r="3144" spans="1:4" ht="12.75" customHeight="1">
      <c r="A3144" s="2410" t="str">
        <f t="shared" si="57"/>
        <v>Unselbständiges Nebeneinkommen total</v>
      </c>
      <c r="B3144" s="2410" t="s">
        <v>7909</v>
      </c>
      <c r="C3144" s="2410" t="s">
        <v>7910</v>
      </c>
      <c r="D3144" s="2414" t="s">
        <v>9806</v>
      </c>
    </row>
    <row r="3145" spans="1:4" ht="12.75" customHeight="1">
      <c r="A3145" s="2410" t="str">
        <f t="shared" si="57"/>
        <v>Zulagen, Renten, Versicherungen</v>
      </c>
      <c r="B3145" s="2410" t="s">
        <v>2385</v>
      </c>
      <c r="C3145" s="2410" t="s">
        <v>935</v>
      </c>
      <c r="D3145" s="2414" t="s">
        <v>9807</v>
      </c>
    </row>
    <row r="3146" spans="1:4" ht="12.75" customHeight="1">
      <c r="A3146" s="2410" t="str">
        <f t="shared" si="57"/>
        <v>Familienzulagen</v>
      </c>
      <c r="B3146" s="2410" t="s">
        <v>5977</v>
      </c>
      <c r="C3146" s="2410" t="s">
        <v>6786</v>
      </c>
      <c r="D3146" s="2414" t="s">
        <v>9808</v>
      </c>
    </row>
    <row r="3147" spans="1:4" ht="12.75" customHeight="1">
      <c r="A3147" s="2410" t="str">
        <f t="shared" si="57"/>
        <v>CHF pro Monat</v>
      </c>
      <c r="B3147" s="2410" t="s">
        <v>1126</v>
      </c>
      <c r="C3147" s="2410" t="s">
        <v>1127</v>
      </c>
      <c r="D3147" s="2414" t="s">
        <v>1128</v>
      </c>
    </row>
    <row r="3148" spans="1:4" ht="12.75" customHeight="1">
      <c r="A3148" s="2410" t="str">
        <f t="shared" si="57"/>
        <v>Anzahl Kinder</v>
      </c>
      <c r="B3148" s="2410" t="s">
        <v>2386</v>
      </c>
      <c r="C3148" s="2410" t="s">
        <v>5150</v>
      </c>
      <c r="D3148" s="2414" t="s">
        <v>9809</v>
      </c>
    </row>
    <row r="3149" spans="1:4" ht="12.75" customHeight="1">
      <c r="A3149" s="2410" t="str">
        <f t="shared" si="57"/>
        <v>Monate</v>
      </c>
      <c r="B3149" s="2410" t="s">
        <v>4984</v>
      </c>
      <c r="C3149" s="2410" t="s">
        <v>5151</v>
      </c>
      <c r="D3149" s="2414" t="s">
        <v>5875</v>
      </c>
    </row>
    <row r="3150" spans="1:4" ht="12.75" customHeight="1">
      <c r="A3150" s="2410" t="str">
        <f t="shared" si="57"/>
        <v>für 1. und 2. Kind</v>
      </c>
      <c r="B3150" s="2410" t="s">
        <v>5152</v>
      </c>
      <c r="C3150" s="2410" t="s">
        <v>5065</v>
      </c>
      <c r="D3150" s="2414" t="s">
        <v>9810</v>
      </c>
    </row>
    <row r="3151" spans="1:4" ht="12.75" customHeight="1">
      <c r="A3151" s="2410" t="str">
        <f t="shared" si="57"/>
        <v>Kinderzulagen Bund</v>
      </c>
      <c r="B3151" s="2410" t="s">
        <v>2338</v>
      </c>
      <c r="C3151" s="2410" t="s">
        <v>3294</v>
      </c>
      <c r="D3151" s="2414" t="s">
        <v>9811</v>
      </c>
    </row>
    <row r="3152" spans="1:4" ht="12.75" customHeight="1">
      <c r="A3152" s="2410" t="str">
        <f t="shared" si="57"/>
        <v>für jedes weitere Kind</v>
      </c>
      <c r="B3152" s="2410" t="s">
        <v>3629</v>
      </c>
      <c r="C3152" s="2410" t="s">
        <v>4009</v>
      </c>
      <c r="D3152" s="2414" t="s">
        <v>9812</v>
      </c>
    </row>
    <row r="3153" spans="1:4" ht="12.75" customHeight="1">
      <c r="A3153" s="2410" t="str">
        <f t="shared" si="57"/>
        <v>Ausbildungszulagen Bund</v>
      </c>
      <c r="B3153" s="2410" t="s">
        <v>1354</v>
      </c>
      <c r="C3153" s="2410" t="s">
        <v>2339</v>
      </c>
      <c r="D3153" s="2414" t="s">
        <v>9813</v>
      </c>
    </row>
    <row r="3154" spans="1:4" ht="12.75" customHeight="1">
      <c r="A3154" s="2410" t="str">
        <f t="shared" si="57"/>
        <v>Zusätzliche kantonale Zulagen</v>
      </c>
      <c r="B3154" s="2410" t="s">
        <v>3293</v>
      </c>
      <c r="C3154" s="2410" t="s">
        <v>3295</v>
      </c>
      <c r="D3154" s="2414" t="s">
        <v>9814</v>
      </c>
    </row>
    <row r="3155" spans="1:4" ht="12.75" customHeight="1">
      <c r="A3155" s="2410" t="str">
        <f t="shared" si="57"/>
        <v>Kostgelder</v>
      </c>
      <c r="B3155" s="2410" t="s">
        <v>7228</v>
      </c>
      <c r="C3155" s="2410" t="s">
        <v>2510</v>
      </c>
      <c r="D3155" s="2414" t="s">
        <v>4005</v>
      </c>
    </row>
    <row r="3156" spans="1:4" ht="12.75" customHeight="1">
      <c r="A3156" s="2410" t="str">
        <f t="shared" si="57"/>
        <v>Renten- u. Versicherungsleistungen</v>
      </c>
      <c r="B3156" s="2410" t="s">
        <v>4705</v>
      </c>
      <c r="C3156" s="2410" t="s">
        <v>6641</v>
      </c>
      <c r="D3156" s="2414" t="s">
        <v>9815</v>
      </c>
    </row>
    <row r="3157" spans="1:4" ht="12.75" customHeight="1">
      <c r="A3157" s="2410" t="str">
        <f t="shared" si="57"/>
        <v>Zulagen, Renten, Versicherungen total</v>
      </c>
      <c r="B3157" s="2410" t="s">
        <v>7914</v>
      </c>
      <c r="C3157" s="2410" t="s">
        <v>7915</v>
      </c>
      <c r="D3157" s="2414" t="s">
        <v>9816</v>
      </c>
    </row>
    <row r="3158" spans="1:4" ht="12.75" customHeight="1">
      <c r="A3158" s="2410" t="str">
        <f t="shared" si="57"/>
        <v>Privatverbrauch</v>
      </c>
      <c r="B3158" s="2410" t="s">
        <v>1767</v>
      </c>
      <c r="C3158" s="2410" t="s">
        <v>6909</v>
      </c>
      <c r="D3158" s="2414" t="s">
        <v>1494</v>
      </c>
    </row>
    <row r="3159" spans="1:4" ht="12.75" customHeight="1">
      <c r="A3159" s="2410" t="str">
        <f t="shared" si="57"/>
        <v>Detaillierte Erfassung</v>
      </c>
      <c r="B3159" s="2410" t="s">
        <v>6352</v>
      </c>
      <c r="C3159" s="2410" t="s">
        <v>1223</v>
      </c>
      <c r="D3159" s="2414" t="s">
        <v>9262</v>
      </c>
    </row>
    <row r="3160" spans="1:4" ht="12.75" customHeight="1">
      <c r="A3160" s="2410" t="str">
        <f t="shared" si="57"/>
        <v>Private Ausgaben</v>
      </c>
      <c r="B3160" s="2410" t="s">
        <v>3018</v>
      </c>
      <c r="C3160" s="2410" t="s">
        <v>2903</v>
      </c>
      <c r="D3160" s="2414" t="s">
        <v>4006</v>
      </c>
    </row>
    <row r="3161" spans="1:4" ht="12.75" customHeight="1">
      <c r="A3161" s="2410" t="str">
        <f t="shared" si="57"/>
        <v>Verpflegungsausgaben</v>
      </c>
      <c r="B3161" s="2410" t="s">
        <v>3019</v>
      </c>
      <c r="C3161" s="2410" t="s">
        <v>2904</v>
      </c>
      <c r="D3161" s="2414" t="s">
        <v>9817</v>
      </c>
    </row>
    <row r="3162" spans="1:4" ht="12.75" customHeight="1">
      <c r="A3162" s="2410" t="str">
        <f t="shared" si="57"/>
        <v>Naturallieferungen des Betriebes</v>
      </c>
      <c r="B3162" s="2410" t="s">
        <v>6473</v>
      </c>
      <c r="C3162" s="2410" t="s">
        <v>7897</v>
      </c>
      <c r="D3162" s="2414" t="s">
        <v>9818</v>
      </c>
    </row>
    <row r="3163" spans="1:4" ht="12.75" customHeight="1">
      <c r="A3163" s="2410" t="str">
        <f t="shared" si="57"/>
        <v>Mietzinsausgaben</v>
      </c>
      <c r="B3163" s="2410" t="s">
        <v>6474</v>
      </c>
      <c r="C3163" s="2410" t="s">
        <v>4711</v>
      </c>
      <c r="D3163" s="2414" t="s">
        <v>1192</v>
      </c>
    </row>
    <row r="3164" spans="1:4" ht="12.75" customHeight="1">
      <c r="A3164" s="2410" t="str">
        <f t="shared" si="57"/>
        <v>Versicherungen ohne AHV, IV, EO</v>
      </c>
      <c r="B3164" s="2410" t="s">
        <v>8379</v>
      </c>
      <c r="C3164" s="2410" t="s">
        <v>8380</v>
      </c>
      <c r="D3164" s="2414" t="s">
        <v>8381</v>
      </c>
    </row>
    <row r="3165" spans="1:4" ht="12.75" customHeight="1">
      <c r="A3165" s="2410" t="str">
        <f t="shared" si="57"/>
        <v>Anteil Autokosten, Ausgaben</v>
      </c>
      <c r="B3165" s="2410" t="s">
        <v>7898</v>
      </c>
      <c r="C3165" s="2410" t="s">
        <v>7896</v>
      </c>
      <c r="D3165" s="2414" t="s">
        <v>9801</v>
      </c>
    </row>
    <row r="3166" spans="1:4" ht="12.75" customHeight="1">
      <c r="A3166" s="2410" t="str">
        <f t="shared" si="57"/>
        <v>Anteil Autokosten, Abschreibungen</v>
      </c>
      <c r="B3166" s="2410" t="s">
        <v>7899</v>
      </c>
      <c r="C3166" s="2410" t="s">
        <v>7895</v>
      </c>
      <c r="D3166" s="2414" t="s">
        <v>9802</v>
      </c>
    </row>
    <row r="3167" spans="1:4" ht="12.75" customHeight="1">
      <c r="A3167" s="2410" t="str">
        <f t="shared" si="57"/>
        <v>Steuern</v>
      </c>
      <c r="B3167" s="2410" t="s">
        <v>5280</v>
      </c>
      <c r="C3167" s="2410" t="s">
        <v>4712</v>
      </c>
      <c r="D3167" s="2414" t="s">
        <v>9819</v>
      </c>
    </row>
    <row r="3168" spans="1:4" ht="12.75" customHeight="1">
      <c r="A3168" s="2410" t="s">
        <v>8110</v>
      </c>
      <c r="B3168" s="2410" t="s">
        <v>6692</v>
      </c>
      <c r="C3168" s="2423" t="s">
        <v>7283</v>
      </c>
      <c r="D3168" s="2424" t="s">
        <v>9820</v>
      </c>
    </row>
    <row r="3169" spans="1:4" ht="12.75" customHeight="1">
      <c r="A3169" s="2410" t="str">
        <f t="shared" si="57"/>
        <v>Eigenmietwert der Privatwohnung</v>
      </c>
      <c r="B3169" s="2410" t="s">
        <v>7976</v>
      </c>
      <c r="C3169" s="2410" t="s">
        <v>4713</v>
      </c>
      <c r="D3169" s="2414" t="s">
        <v>9821</v>
      </c>
    </row>
    <row r="3170" spans="1:4" ht="12.75" customHeight="1">
      <c r="A3170" s="2410" t="str">
        <f t="shared" si="57"/>
        <v>Pauschale Erfassung</v>
      </c>
      <c r="B3170" s="2410" t="s">
        <v>7927</v>
      </c>
      <c r="C3170" s="2410" t="s">
        <v>6780</v>
      </c>
      <c r="D3170" s="2414" t="s">
        <v>9822</v>
      </c>
    </row>
    <row r="3171" spans="1:4" ht="12.75" customHeight="1">
      <c r="A3171" s="2410" t="str">
        <f t="shared" si="57"/>
        <v>VbE x</v>
      </c>
      <c r="B3171" s="2410" t="s">
        <v>5281</v>
      </c>
      <c r="C3171" s="2410" t="s">
        <v>3024</v>
      </c>
      <c r="D3171" s="2414" t="s">
        <v>250</v>
      </c>
    </row>
    <row r="3172" spans="1:4" ht="12.75" customHeight="1">
      <c r="A3172" s="2410" t="str">
        <f t="shared" si="57"/>
        <v>CHF / VbE</v>
      </c>
      <c r="B3172" s="2410" t="s">
        <v>7900</v>
      </c>
      <c r="C3172" s="2410" t="s">
        <v>1129</v>
      </c>
      <c r="D3172" s="2414" t="s">
        <v>9823</v>
      </c>
    </row>
    <row r="3173" spans="1:4" ht="12.75" customHeight="1">
      <c r="A3173" s="2410" t="str">
        <f t="shared" si="57"/>
        <v>davon Eigenmietwert der Privatwohnung</v>
      </c>
      <c r="B3173" s="2410" t="s">
        <v>7977</v>
      </c>
      <c r="C3173" s="2410" t="s">
        <v>7917</v>
      </c>
      <c r="D3173" s="2414" t="s">
        <v>9824</v>
      </c>
    </row>
    <row r="3174" spans="1:4" ht="12.75" customHeight="1">
      <c r="A3174" s="2410" t="str">
        <f t="shared" si="57"/>
        <v>davon Lieferungen und Abschreibungen</v>
      </c>
      <c r="B3174" s="2410" t="s">
        <v>7916</v>
      </c>
      <c r="C3174" s="2410" t="s">
        <v>7978</v>
      </c>
      <c r="D3174" s="2414" t="s">
        <v>9825</v>
      </c>
    </row>
    <row r="3175" spans="1:4" ht="12.75" customHeight="1">
      <c r="A3175" s="2410" t="str">
        <f t="shared" si="57"/>
        <v>Privatverbrauch total</v>
      </c>
      <c r="B3175" s="2410" t="s">
        <v>7918</v>
      </c>
      <c r="C3175" s="2410" t="s">
        <v>7919</v>
      </c>
      <c r="D3175" s="2414" t="s">
        <v>9826</v>
      </c>
    </row>
    <row r="3176" spans="1:4" ht="12.75" customHeight="1">
      <c r="A3176" s="2410" t="str">
        <f t="shared" si="57"/>
        <v>Privatverbrauch etweder detailliert oder pro VbE erfassen!</v>
      </c>
      <c r="B3176" s="2410" t="s">
        <v>757</v>
      </c>
      <c r="C3176" s="2410" t="s">
        <v>2762</v>
      </c>
      <c r="D3176" s="2414" t="s">
        <v>9827</v>
      </c>
    </row>
    <row r="3177" spans="1:4" ht="12.75" customHeight="1">
      <c r="A3177" s="2410" t="str">
        <f t="shared" si="57"/>
        <v>keine</v>
      </c>
      <c r="B3177" s="2410" t="s">
        <v>7267</v>
      </c>
      <c r="C3177" s="2410" t="s">
        <v>1485</v>
      </c>
      <c r="D3177" s="2414" t="s">
        <v>3997</v>
      </c>
    </row>
    <row r="3178" spans="1:4" ht="12.75" customHeight="1">
      <c r="A3178" s="2410" t="str">
        <f t="shared" si="57"/>
        <v>Erfolge ausserhalb der landwirtschaftlichen Buchhaltung</v>
      </c>
      <c r="B3178" s="2410" t="s">
        <v>7921</v>
      </c>
      <c r="C3178" s="2410" t="s">
        <v>7923</v>
      </c>
      <c r="D3178" s="2424" t="s">
        <v>9828</v>
      </c>
    </row>
    <row r="3179" spans="1:4">
      <c r="A3179" s="2410" t="str">
        <f t="shared" si="57"/>
        <v>Erfolg Selbständiges Nebeneinkommen</v>
      </c>
      <c r="B3179" s="2410" t="s">
        <v>7979</v>
      </c>
      <c r="C3179" s="2410" t="s">
        <v>7922</v>
      </c>
      <c r="D3179" s="2424" t="s">
        <v>9829</v>
      </c>
    </row>
    <row r="3180" spans="1:4">
      <c r="A3180" s="2410" t="str">
        <f t="shared" si="57"/>
        <v>Erfolg Wertschriften</v>
      </c>
      <c r="B3180" s="2410" t="s">
        <v>7980</v>
      </c>
      <c r="C3180" s="2410" t="s">
        <v>7924</v>
      </c>
      <c r="D3180" s="2424" t="s">
        <v>9830</v>
      </c>
    </row>
    <row r="3181" spans="1:4">
      <c r="A3181" s="2410" t="str">
        <f t="shared" si="57"/>
        <v>Erfolg Haushalt ausserh. landw. Buchhalt.</v>
      </c>
      <c r="B3181" s="2410" t="s">
        <v>8052</v>
      </c>
      <c r="C3181" s="2410" t="s">
        <v>7925</v>
      </c>
      <c r="D3181" s="2424" t="s">
        <v>9831</v>
      </c>
    </row>
    <row r="3182" spans="1:4">
      <c r="A3182" s="2410" t="str">
        <f t="shared" si="57"/>
        <v>Erfolge ausserhalb der landwirtschaftlichen Buchhaltung total</v>
      </c>
      <c r="B3182" s="2410" t="s">
        <v>7926</v>
      </c>
      <c r="C3182" s="2410" t="s">
        <v>7920</v>
      </c>
      <c r="D3182" s="2424" t="s">
        <v>9832</v>
      </c>
    </row>
    <row r="3183" spans="1:4">
      <c r="A3183" s="2410" t="str">
        <f t="shared" si="57"/>
        <v>Eingebrachtes Vermögen und Zinsanspruch Eigenkapital nach Partner</v>
      </c>
      <c r="B3183" s="2410" t="s">
        <v>1359</v>
      </c>
      <c r="C3183" s="2410" t="s">
        <v>473</v>
      </c>
      <c r="D3183" s="2424" t="s">
        <v>9833</v>
      </c>
    </row>
    <row r="3184" spans="1:4" ht="12.75" customHeight="1">
      <c r="A3184" s="2410" t="str">
        <f t="shared" si="57"/>
        <v>Eingebrachtes Vermögen (=Eigenkapital)</v>
      </c>
      <c r="B3184" s="2410" t="s">
        <v>1360</v>
      </c>
      <c r="C3184" s="2410" t="s">
        <v>722</v>
      </c>
      <c r="D3184" s="2424" t="s">
        <v>9834</v>
      </c>
    </row>
    <row r="3185" spans="1:4" ht="12.75" customHeight="1">
      <c r="A3185" s="2410" t="str">
        <f t="shared" si="57"/>
        <v>Finanzvermögen</v>
      </c>
      <c r="B3185" s="2410" t="s">
        <v>1361</v>
      </c>
      <c r="C3185" s="2410" t="s">
        <v>3302</v>
      </c>
      <c r="D3185" s="2424" t="s">
        <v>9835</v>
      </c>
    </row>
    <row r="3186" spans="1:4" ht="12.75" customHeight="1">
      <c r="A3186" s="2410" t="str">
        <f t="shared" si="57"/>
        <v>Feldinventar</v>
      </c>
      <c r="B3186" s="2410" t="s">
        <v>1362</v>
      </c>
      <c r="C3186" s="2410" t="s">
        <v>3303</v>
      </c>
      <c r="D3186" s="2424" t="s">
        <v>9836</v>
      </c>
    </row>
    <row r="3187" spans="1:4" ht="12.75" customHeight="1">
      <c r="A3187" s="2410" t="str">
        <f t="shared" si="57"/>
        <v>Vorräte</v>
      </c>
      <c r="B3187" s="2410" t="s">
        <v>2674</v>
      </c>
      <c r="C3187" s="2410" t="s">
        <v>3304</v>
      </c>
      <c r="D3187" s="2424" t="s">
        <v>9837</v>
      </c>
    </row>
    <row r="3188" spans="1:4" ht="12.75" customHeight="1">
      <c r="A3188" s="2410" t="str">
        <f t="shared" si="57"/>
        <v>Vieh</v>
      </c>
      <c r="B3188" s="2410" t="s">
        <v>2675</v>
      </c>
      <c r="C3188" s="2410" t="s">
        <v>1885</v>
      </c>
      <c r="D3188" s="2424" t="s">
        <v>9838</v>
      </c>
    </row>
    <row r="3189" spans="1:4" ht="12.75" customHeight="1">
      <c r="A3189" s="2410" t="str">
        <f t="shared" si="57"/>
        <v>Maschinen u. Geräte</v>
      </c>
      <c r="B3189" s="2410" t="s">
        <v>2676</v>
      </c>
      <c r="C3189" s="2410" t="s">
        <v>7101</v>
      </c>
      <c r="D3189" s="2424" t="s">
        <v>9839</v>
      </c>
    </row>
    <row r="3190" spans="1:4">
      <c r="A3190" s="2410" t="str">
        <f t="shared" si="57"/>
        <v>Pro Partner total</v>
      </c>
      <c r="B3190" s="2410" t="s">
        <v>7930</v>
      </c>
      <c r="C3190" s="2410" t="s">
        <v>7931</v>
      </c>
      <c r="D3190" s="2424" t="s">
        <v>9840</v>
      </c>
    </row>
    <row r="3191" spans="1:4">
      <c r="A3191" s="2410" t="str">
        <f t="shared" si="57"/>
        <v>Eigenkapital in der Gemeinschaft total</v>
      </c>
      <c r="B3191" s="2410" t="s">
        <v>7929</v>
      </c>
      <c r="C3191" s="2410" t="s">
        <v>7932</v>
      </c>
      <c r="D3191" s="2424" t="s">
        <v>9841</v>
      </c>
    </row>
    <row r="3192" spans="1:4" ht="12.75" customHeight="1">
      <c r="A3192" s="2410" t="str">
        <f t="shared" si="57"/>
        <v>Zinsanspruch Eigenkapital</v>
      </c>
      <c r="B3192" s="2410" t="s">
        <v>5676</v>
      </c>
      <c r="C3192" s="2410" t="s">
        <v>673</v>
      </c>
      <c r="D3192" s="2424" t="s">
        <v>8469</v>
      </c>
    </row>
    <row r="3193" spans="1:4" ht="12.75" customHeight="1">
      <c r="A3193" s="2410" t="str">
        <f t="shared" si="57"/>
        <v>Zinssatz</v>
      </c>
      <c r="B3193" s="2410" t="s">
        <v>2677</v>
      </c>
      <c r="C3193" s="2410" t="s">
        <v>674</v>
      </c>
      <c r="D3193" s="2424" t="s">
        <v>9842</v>
      </c>
    </row>
    <row r="3194" spans="1:4" ht="12.75" customHeight="1">
      <c r="A3194" s="2410" t="str">
        <f t="shared" si="57"/>
        <v>Zinsanspruch Eigenkapital je Partner</v>
      </c>
      <c r="B3194" s="2410" t="s">
        <v>2678</v>
      </c>
      <c r="C3194" s="2410" t="s">
        <v>5670</v>
      </c>
      <c r="D3194" s="2424" t="s">
        <v>9843</v>
      </c>
    </row>
    <row r="3195" spans="1:4">
      <c r="A3195" s="2410" t="str">
        <f t="shared" si="57"/>
        <v>Zinsanspruch Eigenkapital total</v>
      </c>
      <c r="B3195" s="2410" t="s">
        <v>7928</v>
      </c>
      <c r="C3195" s="2410" t="s">
        <v>7933</v>
      </c>
      <c r="D3195" s="2424" t="s">
        <v>9844</v>
      </c>
    </row>
    <row r="3196" spans="1:4" ht="12.75" customHeight="1">
      <c r="A3196" s="2410">
        <f t="shared" si="57"/>
        <v>0</v>
      </c>
      <c r="B3196" s="2410"/>
      <c r="C3196" s="2410"/>
      <c r="D3196" s="2414"/>
    </row>
    <row r="3197" spans="1:4" ht="12.75" customHeight="1">
      <c r="A3197" s="2410" t="str">
        <f t="shared" si="57"/>
        <v xml:space="preserve">Tabelle aktualisieren </v>
      </c>
      <c r="B3197" s="2410" t="s">
        <v>643</v>
      </c>
      <c r="C3197" s="2410" t="s">
        <v>7329</v>
      </c>
      <c r="D3197" s="2414" t="s">
        <v>8875</v>
      </c>
    </row>
    <row r="3198" spans="1:4" ht="24" customHeight="1">
      <c r="A3198" s="2410" t="str">
        <f t="shared" si="57"/>
        <v xml:space="preserve">Aktivieren Sie für die pauschale Erfassung einzelner Positionen das entsprechende Kontrollkästchen! </v>
      </c>
      <c r="B3198" s="2410" t="s">
        <v>343</v>
      </c>
      <c r="C3198" s="2410" t="s">
        <v>192</v>
      </c>
      <c r="D3198" s="2414" t="s">
        <v>9845</v>
      </c>
    </row>
    <row r="3199" spans="1:4" ht="12.75" customHeight="1">
      <c r="A3199" s="2410" t="str">
        <f t="shared" si="57"/>
        <v>Betriebszweige, 3000er und 4000er Konten</v>
      </c>
      <c r="B3199" s="2410" t="s">
        <v>7985</v>
      </c>
      <c r="C3199" s="2410" t="s">
        <v>7986</v>
      </c>
      <c r="D3199" s="2414" t="s">
        <v>9846</v>
      </c>
    </row>
    <row r="3200" spans="1:4" ht="12.75" customHeight="1">
      <c r="A3200" s="2410" t="str">
        <f t="shared" si="57"/>
        <v>Anzahl</v>
      </c>
      <c r="B3200" s="2410" t="s">
        <v>7044</v>
      </c>
      <c r="C3200" s="2410" t="s">
        <v>5260</v>
      </c>
      <c r="D3200" s="2414" t="s">
        <v>3773</v>
      </c>
    </row>
    <row r="3201" spans="1:6" ht="12.75" customHeight="1">
      <c r="A3201" s="2410" t="str">
        <f t="shared" si="57"/>
        <v>Einheit</v>
      </c>
      <c r="B3201" s="2410" t="s">
        <v>6392</v>
      </c>
      <c r="C3201" s="2410" t="s">
        <v>6215</v>
      </c>
      <c r="D3201" s="2414" t="s">
        <v>1418</v>
      </c>
    </row>
    <row r="3202" spans="1:6" ht="12.75" customHeight="1">
      <c r="A3202" s="2410" t="str">
        <f t="shared" si="57"/>
        <v>DB je Einheit</v>
      </c>
      <c r="B3202" s="2410" t="s">
        <v>4412</v>
      </c>
      <c r="C3202" s="2410" t="s">
        <v>5490</v>
      </c>
      <c r="D3202" s="2414" t="s">
        <v>251</v>
      </c>
    </row>
    <row r="3203" spans="1:6" ht="12.75" customHeight="1">
      <c r="A3203" s="2410" t="str">
        <f t="shared" si="57"/>
        <v>Betrag</v>
      </c>
      <c r="B3203" s="2410" t="s">
        <v>2013</v>
      </c>
      <c r="C3203" s="2410" t="s">
        <v>262</v>
      </c>
      <c r="D3203" s="2414" t="s">
        <v>1190</v>
      </c>
    </row>
    <row r="3204" spans="1:6" ht="12.75" customHeight="1">
      <c r="A3204" s="2410" t="str">
        <f t="shared" si="57"/>
        <v>davon ext.</v>
      </c>
      <c r="B3204" s="2410" t="s">
        <v>8011</v>
      </c>
      <c r="C3204" s="2414" t="s">
        <v>8012</v>
      </c>
      <c r="D3204" s="2414" t="s">
        <v>9847</v>
      </c>
    </row>
    <row r="3205" spans="1:6" ht="12.75" customHeight="1">
      <c r="A3205" s="2410" t="str">
        <f t="shared" si="57"/>
        <v>Lieferungen</v>
      </c>
      <c r="B3205" s="2410" t="s">
        <v>4923</v>
      </c>
      <c r="C3205" s="2414" t="s">
        <v>8029</v>
      </c>
      <c r="D3205" s="2414" t="s">
        <v>9848</v>
      </c>
    </row>
    <row r="3206" spans="1:6" ht="12.75" customHeight="1">
      <c r="A3206" s="2410" t="str">
        <f t="shared" si="57"/>
        <v>DB Milchvieh ohne Kosten für Vertragsmenge</v>
      </c>
      <c r="B3206" s="2410" t="s">
        <v>775</v>
      </c>
      <c r="C3206" s="2410" t="s">
        <v>3936</v>
      </c>
      <c r="D3206" s="2414" t="s">
        <v>9849</v>
      </c>
    </row>
    <row r="3207" spans="1:6" ht="12.75" customHeight="1">
      <c r="A3207" s="2410" t="str">
        <f t="shared" si="57"/>
        <v>GVE</v>
      </c>
      <c r="B3207" s="2410" t="s">
        <v>6685</v>
      </c>
      <c r="C3207" s="2410" t="s">
        <v>3184</v>
      </c>
      <c r="D3207" s="2414" t="s">
        <v>199</v>
      </c>
      <c r="F3207" s="2413" t="s">
        <v>3797</v>
      </c>
    </row>
    <row r="3208" spans="1:6" ht="12.75" customHeight="1">
      <c r="A3208" s="2410" t="str">
        <f t="shared" si="57"/>
        <v>Wald, Holz</v>
      </c>
      <c r="B3208" s="2410" t="s">
        <v>213</v>
      </c>
      <c r="C3208" s="2410" t="s">
        <v>214</v>
      </c>
      <c r="D3208" s="2414" t="s">
        <v>215</v>
      </c>
    </row>
    <row r="3209" spans="1:6" ht="12.75" customHeight="1">
      <c r="A3209" s="2410" t="str">
        <f t="shared" si="57"/>
        <v>Übrige Erträge und Kosten</v>
      </c>
      <c r="B3209" s="2410" t="s">
        <v>8383</v>
      </c>
      <c r="C3209" s="2410" t="s">
        <v>8382</v>
      </c>
      <c r="D3209" s="2414" t="s">
        <v>9850</v>
      </c>
    </row>
    <row r="3210" spans="1:6" ht="12.75" customHeight="1">
      <c r="A3210" s="2410" t="str">
        <f t="shared" si="57"/>
        <v>Grundfutterverkauf</v>
      </c>
      <c r="B3210" s="2410" t="s">
        <v>2161</v>
      </c>
      <c r="C3210" s="2410" t="s">
        <v>6350</v>
      </c>
      <c r="D3210" s="2414" t="s">
        <v>9851</v>
      </c>
    </row>
    <row r="3211" spans="1:6" ht="12.75" customHeight="1">
      <c r="A3211" s="2410" t="str">
        <f t="shared" si="57"/>
        <v>Grundfutterkosten</v>
      </c>
      <c r="B3211" s="2410" t="s">
        <v>5067</v>
      </c>
      <c r="C3211" s="2410" t="s">
        <v>7555</v>
      </c>
      <c r="D3211" s="2414" t="s">
        <v>9852</v>
      </c>
    </row>
    <row r="3212" spans="1:6" ht="12.75" customHeight="1">
      <c r="A3212" s="2410" t="str">
        <f t="shared" si="57"/>
        <v>Strohverkauf</v>
      </c>
      <c r="B3212" s="2410" t="s">
        <v>1184</v>
      </c>
      <c r="C3212" s="2410" t="s">
        <v>5790</v>
      </c>
      <c r="D3212" s="2414" t="s">
        <v>2452</v>
      </c>
    </row>
    <row r="3213" spans="1:6" ht="12.75" customHeight="1">
      <c r="A3213" s="2410" t="str">
        <f t="shared" si="57"/>
        <v>Betriebliche Nebenerfolge</v>
      </c>
      <c r="B3213" s="2410" t="s">
        <v>1607</v>
      </c>
      <c r="C3213" s="2410" t="s">
        <v>5791</v>
      </c>
      <c r="D3213" s="2414" t="s">
        <v>9853</v>
      </c>
    </row>
    <row r="3214" spans="1:6" ht="12.75" customHeight="1">
      <c r="A3214" s="2410" t="str">
        <f t="shared" ref="A3214:A3220" si="58">IF($A$2=1,B3214,IF($A$2=2,C3214,IF($A$2=3,IF(D3214="",C3214,D3214),"")))</f>
        <v>Arbeit für Dritte, Maschinenvermietung</v>
      </c>
      <c r="B3214" s="2410" t="s">
        <v>7987</v>
      </c>
      <c r="C3214" s="2410" t="s">
        <v>5792</v>
      </c>
      <c r="D3214" s="2414" t="s">
        <v>9854</v>
      </c>
    </row>
    <row r="3215" spans="1:6" ht="12.75" customHeight="1">
      <c r="A3215" s="2410" t="str">
        <f t="shared" si="58"/>
        <v>Arbeiten durch Dritte, Maschinenmiete</v>
      </c>
      <c r="B3215" s="2410" t="s">
        <v>4031</v>
      </c>
      <c r="C3215" s="2410" t="s">
        <v>4981</v>
      </c>
      <c r="D3215" s="2414" t="s">
        <v>9732</v>
      </c>
    </row>
    <row r="3216" spans="1:6" ht="12.75" customHeight="1">
      <c r="A3216" s="2410" t="str">
        <f t="shared" si="58"/>
        <v>Vermietung, Verpachtung Gebäude, Boden an Dritte</v>
      </c>
      <c r="B3216" s="2410" t="s">
        <v>217</v>
      </c>
      <c r="C3216" s="2410" t="s">
        <v>464</v>
      </c>
      <c r="D3216" s="2414" t="s">
        <v>9855</v>
      </c>
    </row>
    <row r="3217" spans="1:4" ht="12.75" customHeight="1">
      <c r="A3217" s="2410" t="str">
        <f t="shared" si="58"/>
        <v>Erfolge betrieblicher Finanzanlagen</v>
      </c>
      <c r="B3217" s="2410" t="s">
        <v>3493</v>
      </c>
      <c r="C3217" s="2410" t="s">
        <v>2187</v>
      </c>
      <c r="D3217" s="2414" t="s">
        <v>9856</v>
      </c>
    </row>
    <row r="3218" spans="1:4" ht="12.75" customHeight="1">
      <c r="A3218" s="2410" t="str">
        <f t="shared" si="58"/>
        <v>Direktzahlungen und andere Beiträge, ohne Anbaubeiträge</v>
      </c>
      <c r="B3218" s="2410" t="s">
        <v>7989</v>
      </c>
      <c r="C3218" s="2410" t="s">
        <v>7988</v>
      </c>
      <c r="D3218" s="2414" t="s">
        <v>11235</v>
      </c>
    </row>
    <row r="3219" spans="1:4" ht="12.75" customHeight="1">
      <c r="A3219" s="2410" t="str">
        <f t="shared" si="58"/>
        <v>Direktzahlungen AP 2014-17, ohne Beiträge für einzelne Kulturen</v>
      </c>
      <c r="B3219" s="2410" t="s">
        <v>7981</v>
      </c>
      <c r="C3219" s="2410" t="s">
        <v>7982</v>
      </c>
      <c r="D3219" s="2414" t="s">
        <v>9857</v>
      </c>
    </row>
    <row r="3220" spans="1:4" ht="12.75" customHeight="1">
      <c r="A3220" s="2410" t="str">
        <f t="shared" si="58"/>
        <v>Bruttoergebnis 1</v>
      </c>
      <c r="B3220" s="2410" t="s">
        <v>7983</v>
      </c>
      <c r="C3220" s="2410" t="s">
        <v>7984</v>
      </c>
      <c r="D3220" s="2414" t="s">
        <v>9858</v>
      </c>
    </row>
    <row r="3221" spans="1:4" ht="12.75" customHeight="1">
      <c r="A3221" s="2410"/>
      <c r="B3221" s="2410"/>
      <c r="C3221" s="2410"/>
      <c r="D3221" s="2414"/>
    </row>
    <row r="3222" spans="1:4" ht="12.75" customHeight="1">
      <c r="A3222" s="2410" t="str">
        <f>IF($A$2=1,B3222,IF($A$2=2,C3222,IF($A$2=3,IF(D3222="",C3222,D3222),"")))</f>
        <v>Personalkosten</v>
      </c>
      <c r="B3222" s="2410" t="s">
        <v>4237</v>
      </c>
      <c r="C3222" s="2410" t="s">
        <v>7878</v>
      </c>
      <c r="D3222" s="2414" t="s">
        <v>9771</v>
      </c>
    </row>
    <row r="3223" spans="1:4" ht="12.75" customHeight="1">
      <c r="A3223" s="2410" t="str">
        <f t="shared" ref="A3223:A3275" si="59">IF($A$2=1,B3223,IF($A$2=2,C3223,IF($A$2=3,IF(D3223="",C3223,D3223),"")))</f>
        <v>davon Sozialversicherungen Betriebsleitende</v>
      </c>
      <c r="B3223" s="2410" t="s">
        <v>8039</v>
      </c>
      <c r="C3223" s="2414" t="s">
        <v>7990</v>
      </c>
      <c r="D3223" s="2414" t="s">
        <v>11236</v>
      </c>
    </row>
    <row r="3224" spans="1:4" ht="12.75" customHeight="1">
      <c r="A3224" s="2410" t="str">
        <f t="shared" si="59"/>
        <v>Pacht- und Mietzinsen</v>
      </c>
      <c r="B3224" s="2410" t="s">
        <v>6690</v>
      </c>
      <c r="C3224" s="2414" t="s">
        <v>7991</v>
      </c>
      <c r="D3224" s="2414" t="s">
        <v>9859</v>
      </c>
    </row>
    <row r="3225" spans="1:4" ht="25.5" customHeight="1">
      <c r="A3225" s="2410" t="str">
        <f t="shared" si="59"/>
        <v>Eigenmietwert Geschäftlokalitäten</v>
      </c>
      <c r="B3225" s="2410" t="s">
        <v>8040</v>
      </c>
      <c r="C3225" s="2414" t="s">
        <v>7992</v>
      </c>
      <c r="D3225" s="2414" t="s">
        <v>9756</v>
      </c>
    </row>
    <row r="3226" spans="1:4" ht="12.75" customHeight="1">
      <c r="A3226" s="2410" t="str">
        <f t="shared" si="59"/>
        <v>Unterhalt Geschäftslokalitäten</v>
      </c>
      <c r="B3226" s="2410" t="s">
        <v>8067</v>
      </c>
      <c r="C3226" s="2414" t="s">
        <v>8069</v>
      </c>
      <c r="D3226" s="2414" t="s">
        <v>9860</v>
      </c>
    </row>
    <row r="3227" spans="1:4">
      <c r="A3227" s="2410" t="str">
        <f t="shared" si="59"/>
        <v>NUR Pächter</v>
      </c>
      <c r="B3227" s="2410" t="s">
        <v>8068</v>
      </c>
      <c r="C3227" s="2414" t="s">
        <v>8070</v>
      </c>
      <c r="D3227" s="2414" t="s">
        <v>9861</v>
      </c>
    </row>
    <row r="3228" spans="1:4" ht="12.75" customHeight="1">
      <c r="A3228" s="2410" t="str">
        <f t="shared" si="59"/>
        <v>URE mobile Sachanlagen</v>
      </c>
      <c r="B3228" s="2410" t="s">
        <v>7993</v>
      </c>
      <c r="C3228" s="2414" t="s">
        <v>7994</v>
      </c>
      <c r="D3228" s="2414" t="s">
        <v>9862</v>
      </c>
    </row>
    <row r="3229" spans="1:4" ht="12.75" customHeight="1">
      <c r="A3229" s="2410" t="str">
        <f t="shared" si="59"/>
        <v>davon Auto Betrieb</v>
      </c>
      <c r="B3229" s="2410" t="s">
        <v>7995</v>
      </c>
      <c r="C3229" s="2414" t="s">
        <v>8019</v>
      </c>
      <c r="D3229" s="2414" t="s">
        <v>11237</v>
      </c>
    </row>
    <row r="3230" spans="1:4" ht="12.75" customHeight="1">
      <c r="A3230" s="2410" t="str">
        <f t="shared" si="59"/>
        <v>Allgemeine Betriebskosten</v>
      </c>
      <c r="B3230" s="2410" t="s">
        <v>5909</v>
      </c>
      <c r="C3230" s="2414" t="s">
        <v>2027</v>
      </c>
      <c r="D3230" s="2414" t="s">
        <v>4721</v>
      </c>
    </row>
    <row r="3231" spans="1:4" ht="12.75" customHeight="1">
      <c r="A3231" s="2410" t="str">
        <f t="shared" si="59"/>
        <v>Versicherungen und Gebühren</v>
      </c>
      <c r="B3231" s="2410" t="s">
        <v>7996</v>
      </c>
      <c r="C3231" s="2414" t="s">
        <v>7997</v>
      </c>
      <c r="D3231" s="2414" t="s">
        <v>9863</v>
      </c>
    </row>
    <row r="3232" spans="1:4" ht="12.75" customHeight="1">
      <c r="A3232" s="2410" t="str">
        <f t="shared" si="59"/>
        <v>Energie und Entsorgung</v>
      </c>
      <c r="B3232" s="2410" t="s">
        <v>7998</v>
      </c>
      <c r="C3232" s="2414" t="s">
        <v>7999</v>
      </c>
      <c r="D3232" s="2414" t="s">
        <v>9864</v>
      </c>
    </row>
    <row r="3233" spans="1:4" ht="12.75" customHeight="1">
      <c r="A3233" s="2410" t="str">
        <f t="shared" si="59"/>
        <v>Verwaltung und Informatik</v>
      </c>
      <c r="B3233" s="2410" t="s">
        <v>8000</v>
      </c>
      <c r="C3233" s="2414" t="s">
        <v>8020</v>
      </c>
      <c r="D3233" s="2414" t="s">
        <v>9865</v>
      </c>
    </row>
    <row r="3234" spans="1:4" ht="12.75" customHeight="1">
      <c r="A3234" s="2410" t="str">
        <f t="shared" si="59"/>
        <v>EBITDA – Ergebnis vor Zinsen, Steuern und Abschreibungen</v>
      </c>
      <c r="B3234" s="2410" t="s">
        <v>8024</v>
      </c>
      <c r="C3234" s="2414" t="s">
        <v>8025</v>
      </c>
      <c r="D3234" s="2414" t="s">
        <v>9866</v>
      </c>
    </row>
    <row r="3235" spans="1:4" ht="25.5" customHeight="1">
      <c r="A3235" s="2410" t="str">
        <f t="shared" si="59"/>
        <v>Abschreibungen mobile Sachanlage</v>
      </c>
      <c r="B3235" s="2410" t="s">
        <v>8001</v>
      </c>
      <c r="C3235" s="2414" t="s">
        <v>8002</v>
      </c>
      <c r="D3235" s="2414" t="s">
        <v>9867</v>
      </c>
    </row>
    <row r="3236" spans="1:4" ht="12.75" customHeight="1">
      <c r="A3236" s="2410" t="str">
        <f t="shared" si="59"/>
        <v>davon Auto Betrieb</v>
      </c>
      <c r="B3236" s="2410" t="s">
        <v>7995</v>
      </c>
      <c r="C3236" s="2414" t="s">
        <v>8019</v>
      </c>
      <c r="D3236" s="2414" t="s">
        <v>11237</v>
      </c>
    </row>
    <row r="3237" spans="1:4" ht="12.75" customHeight="1">
      <c r="A3237" s="2410" t="str">
        <f t="shared" si="59"/>
        <v>EBIT – Ergebnis vor Zinsen und Steuern</v>
      </c>
      <c r="B3237" s="2410" t="s">
        <v>11346</v>
      </c>
      <c r="C3237" s="2414" t="s">
        <v>8026</v>
      </c>
      <c r="D3237" s="2414" t="s">
        <v>9868</v>
      </c>
    </row>
    <row r="3238" spans="1:4" ht="12.75" customHeight="1">
      <c r="A3238" s="2410" t="str">
        <f t="shared" si="59"/>
        <v>Erfolg betriebliche Finanzanlagen</v>
      </c>
      <c r="B3238" s="2410" t="s">
        <v>8003</v>
      </c>
      <c r="C3238" s="2414" t="s">
        <v>8004</v>
      </c>
      <c r="D3238" s="2414" t="s">
        <v>9869</v>
      </c>
    </row>
    <row r="3239" spans="1:4" ht="12.75" customHeight="1">
      <c r="A3239" s="2410" t="str">
        <f t="shared" si="59"/>
        <v>EBT – Ergebnis vor Steuern</v>
      </c>
      <c r="B3239" s="2410" t="s">
        <v>8028</v>
      </c>
      <c r="C3239" s="2414" t="s">
        <v>8027</v>
      </c>
      <c r="D3239" s="2414" t="s">
        <v>9870</v>
      </c>
    </row>
    <row r="3240" spans="1:4" ht="25.5" customHeight="1">
      <c r="A3240" s="2410" t="str">
        <f t="shared" si="59"/>
        <v>Erfolg Nebenbetriebe, 7000er Konten</v>
      </c>
      <c r="B3240" s="2410" t="s">
        <v>8022</v>
      </c>
      <c r="C3240" s="2414" t="s">
        <v>8017</v>
      </c>
      <c r="D3240" s="2414" t="s">
        <v>9871</v>
      </c>
    </row>
    <row r="3241" spans="1:4" ht="12.75" customHeight="1">
      <c r="A3241" s="2410" t="str">
        <f t="shared" si="59"/>
        <v>Erfolg betriebliche Liegenschaften, 7500er Konten</v>
      </c>
      <c r="B3241" s="2410" t="s">
        <v>8023</v>
      </c>
      <c r="C3241" s="2414" t="s">
        <v>8018</v>
      </c>
      <c r="D3241" s="2414" t="s">
        <v>9872</v>
      </c>
    </row>
    <row r="3242" spans="1:4" ht="12.75" customHeight="1">
      <c r="A3242" s="2410" t="str">
        <f t="shared" si="59"/>
        <v>Eigenmietwert Geschäftslokalitäten</v>
      </c>
      <c r="B3242" s="2410" t="s">
        <v>8048</v>
      </c>
      <c r="C3242" s="2414" t="s">
        <v>8005</v>
      </c>
      <c r="D3242" s="2414" t="s">
        <v>9756</v>
      </c>
    </row>
    <row r="3243" spans="1:4" ht="12.75" customHeight="1">
      <c r="A3243" s="2410" t="str">
        <f t="shared" si="59"/>
        <v>Eigenmietwert Privatwohnung</v>
      </c>
      <c r="B3243" s="2410" t="s">
        <v>8049</v>
      </c>
      <c r="C3243" s="2414" t="s">
        <v>4713</v>
      </c>
      <c r="D3243" s="2414" t="s">
        <v>9821</v>
      </c>
    </row>
    <row r="3244" spans="1:4" ht="12.75" customHeight="1">
      <c r="A3244" s="2410" t="str">
        <f t="shared" si="59"/>
        <v>Einnahmen betriebliche Liegenschaften</v>
      </c>
      <c r="B3244" s="2410" t="s">
        <v>7975</v>
      </c>
      <c r="C3244" s="2414" t="s">
        <v>8006</v>
      </c>
      <c r="D3244" s="2414" t="s">
        <v>9873</v>
      </c>
    </row>
    <row r="3245" spans="1:4" ht="12.75" customHeight="1">
      <c r="A3245" s="2410" t="str">
        <f t="shared" si="59"/>
        <v>Hypothekarzinsen</v>
      </c>
      <c r="B3245" s="2410" t="s">
        <v>8044</v>
      </c>
      <c r="C3245" s="2414" t="s">
        <v>8007</v>
      </c>
      <c r="D3245" s="2414" t="s">
        <v>9874</v>
      </c>
    </row>
    <row r="3246" spans="1:4" ht="25.5" customHeight="1">
      <c r="A3246" s="2410" t="str">
        <f t="shared" si="59"/>
        <v>Bei pauschaler Erfassung Werte pro Betrieb eingeben!</v>
      </c>
      <c r="B3246" s="2410" t="s">
        <v>4289</v>
      </c>
      <c r="C3246" s="2414" t="s">
        <v>8008</v>
      </c>
      <c r="D3246" s="2414" t="s">
        <v>11238</v>
      </c>
    </row>
    <row r="3247" spans="1:4" ht="12.75" customHeight="1">
      <c r="A3247" s="2410" t="str">
        <f t="shared" si="59"/>
        <v>URE</v>
      </c>
      <c r="B3247" s="2410" t="s">
        <v>8009</v>
      </c>
      <c r="C3247" s="2414" t="s">
        <v>8010</v>
      </c>
      <c r="D3247" s="2414" t="s">
        <v>9875</v>
      </c>
    </row>
    <row r="3248" spans="1:4" ht="12.75" customHeight="1">
      <c r="A3248" s="2410" t="str">
        <f t="shared" si="59"/>
        <v>Abschrei-</v>
      </c>
      <c r="B3248" s="2410" t="s">
        <v>60</v>
      </c>
      <c r="C3248" s="2414" t="s">
        <v>5341</v>
      </c>
      <c r="D3248" s="2414" t="s">
        <v>9876</v>
      </c>
    </row>
    <row r="3249" spans="1:4" ht="12.75" customHeight="1">
      <c r="A3249" s="2410" t="str">
        <f t="shared" si="59"/>
        <v>bungen</v>
      </c>
      <c r="B3249" s="2410" t="s">
        <v>6924</v>
      </c>
      <c r="C3249" s="2414" t="s">
        <v>5342</v>
      </c>
      <c r="D3249" s="2414" t="s">
        <v>9877</v>
      </c>
    </row>
    <row r="3250" spans="1:4" ht="12.75" customHeight="1">
      <c r="A3250" s="2410" t="str">
        <f t="shared" si="59"/>
        <v>Summe</v>
      </c>
      <c r="B3250" s="2410" t="s">
        <v>4321</v>
      </c>
      <c r="C3250" s="2414" t="s">
        <v>90</v>
      </c>
      <c r="D3250" s="2414" t="s">
        <v>9878</v>
      </c>
    </row>
    <row r="3251" spans="1:4" ht="12.75" customHeight="1">
      <c r="A3251" s="2410" t="str">
        <f t="shared" si="59"/>
        <v>davon ext.</v>
      </c>
      <c r="B3251" s="2410" t="s">
        <v>8011</v>
      </c>
      <c r="C3251" s="2414" t="s">
        <v>8012</v>
      </c>
      <c r="D3251" s="2414" t="s">
        <v>9847</v>
      </c>
    </row>
    <row r="3252" spans="1:4" ht="12.75" customHeight="1">
      <c r="A3252" s="2410" t="str">
        <f t="shared" si="59"/>
        <v>Lieferungen</v>
      </c>
      <c r="B3252" s="2410" t="s">
        <v>4923</v>
      </c>
      <c r="C3252" s="2414" t="s">
        <v>8029</v>
      </c>
      <c r="D3252" s="2414" t="s">
        <v>9848</v>
      </c>
    </row>
    <row r="3253" spans="1:4" ht="12.75" customHeight="1">
      <c r="A3253" s="2410" t="str">
        <f t="shared" si="59"/>
        <v>Kosten Gebäude</v>
      </c>
      <c r="B3253" s="2410" t="s">
        <v>8013</v>
      </c>
      <c r="C3253" s="2414" t="s">
        <v>8014</v>
      </c>
      <c r="D3253" s="2414" t="s">
        <v>9879</v>
      </c>
    </row>
    <row r="3254" spans="1:4" ht="12.75" customHeight="1">
      <c r="A3254" s="2410" t="str">
        <f t="shared" si="59"/>
        <v>Kosten Meliorationen</v>
      </c>
      <c r="B3254" s="2410" t="s">
        <v>5188</v>
      </c>
      <c r="C3254" s="2414" t="s">
        <v>5344</v>
      </c>
      <c r="D3254" s="2414" t="s">
        <v>9880</v>
      </c>
    </row>
    <row r="3255" spans="1:4" ht="12.75" customHeight="1">
      <c r="A3255" s="2410" t="str">
        <f t="shared" si="59"/>
        <v>Kosten feste Einrichtungen</v>
      </c>
      <c r="B3255" s="2410" t="s">
        <v>4445</v>
      </c>
      <c r="C3255" s="2414" t="s">
        <v>5709</v>
      </c>
      <c r="D3255" s="2414" t="s">
        <v>9881</v>
      </c>
    </row>
    <row r="3256" spans="1:4" ht="25.5" customHeight="1">
      <c r="A3256" s="2410" t="str">
        <f t="shared" si="59"/>
        <v>Abschreibungen Produktionsrechte, Reben, Obst u. Beeren</v>
      </c>
      <c r="B3256" s="2410" t="s">
        <v>1304</v>
      </c>
      <c r="C3256" s="2414" t="s">
        <v>7583</v>
      </c>
      <c r="D3256" s="2414" t="s">
        <v>9882</v>
      </c>
    </row>
    <row r="3257" spans="1:4" ht="12.75" customHeight="1">
      <c r="A3257" s="2410" t="str">
        <f t="shared" si="59"/>
        <v>Folgekosten Investition und Korrekturen</v>
      </c>
      <c r="B3257" s="2410" t="s">
        <v>8050</v>
      </c>
      <c r="C3257" s="2414" t="s">
        <v>8051</v>
      </c>
      <c r="D3257" s="2414" t="s">
        <v>9883</v>
      </c>
    </row>
    <row r="3258" spans="1:4" ht="38.25" customHeight="1">
      <c r="A3258" s="2410" t="str">
        <f t="shared" si="59"/>
        <v>Betriebsfremder, ausserordentlicher, einmaliger oder periodenfremder Ertrag u. Aufwand, 8000er Konten</v>
      </c>
      <c r="B3258" s="2410" t="s">
        <v>8042</v>
      </c>
      <c r="C3258" s="2414" t="s">
        <v>8043</v>
      </c>
      <c r="D3258" s="2414" t="s">
        <v>9884</v>
      </c>
    </row>
    <row r="3259" spans="1:4" ht="12.75" customHeight="1">
      <c r="A3259" s="2410" t="str">
        <f t="shared" si="59"/>
        <v>Bezeichnung</v>
      </c>
      <c r="B3259" s="2410" t="s">
        <v>1620</v>
      </c>
      <c r="C3259" s="2414" t="s">
        <v>8021</v>
      </c>
      <c r="D3259" s="2414" t="s">
        <v>9885</v>
      </c>
    </row>
    <row r="3260" spans="1:4" ht="12.75" customHeight="1">
      <c r="A3260" s="2410" t="str">
        <f t="shared" si="59"/>
        <v>Erfolg Landwirtschaft, Jahresgewinn</v>
      </c>
      <c r="B3260" s="2410" t="s">
        <v>8016</v>
      </c>
      <c r="C3260" s="2414" t="s">
        <v>8015</v>
      </c>
      <c r="D3260" s="2414" t="s">
        <v>9886</v>
      </c>
    </row>
    <row r="3261" spans="1:4" ht="12.75" customHeight="1">
      <c r="A3261" s="2410" t="str">
        <f t="shared" si="59"/>
        <v>Unselbständiges Nebeneinkommen</v>
      </c>
      <c r="B3261" s="2410" t="s">
        <v>2383</v>
      </c>
      <c r="C3261" s="2410" t="s">
        <v>6529</v>
      </c>
      <c r="D3261" s="2414" t="s">
        <v>6400</v>
      </c>
    </row>
    <row r="3262" spans="1:4" ht="12.75" customHeight="1">
      <c r="A3262" s="2410" t="str">
        <f t="shared" si="59"/>
        <v>Zulagen, Renten, Versicherungen</v>
      </c>
      <c r="B3262" s="2410" t="s">
        <v>2385</v>
      </c>
      <c r="C3262" s="2410" t="s">
        <v>6530</v>
      </c>
      <c r="D3262" s="2414" t="s">
        <v>9807</v>
      </c>
    </row>
    <row r="3263" spans="1:4" ht="12.75" customHeight="1">
      <c r="A3263" s="2410" t="str">
        <f t="shared" si="59"/>
        <v>Privatverbrauch</v>
      </c>
      <c r="B3263" s="2410" t="s">
        <v>1767</v>
      </c>
      <c r="C3263" s="2410" t="s">
        <v>6909</v>
      </c>
      <c r="D3263" s="2414" t="s">
        <v>1494</v>
      </c>
    </row>
    <row r="3264" spans="1:4" ht="12.75" customHeight="1">
      <c r="A3264" s="2410" t="str">
        <f t="shared" si="59"/>
        <v>Lieferungen und Mietwert eintragen!</v>
      </c>
      <c r="B3264" s="2410" t="s">
        <v>4417</v>
      </c>
      <c r="C3264" s="2410" t="s">
        <v>2096</v>
      </c>
      <c r="D3264" s="2414" t="s">
        <v>11239</v>
      </c>
    </row>
    <row r="3265" spans="1:4" ht="12.75" customHeight="1">
      <c r="A3265" s="2410">
        <f t="shared" si="59"/>
        <v>0</v>
      </c>
      <c r="B3265" s="2410"/>
      <c r="C3265" s="2410" t="s">
        <v>2097</v>
      </c>
      <c r="D3265" s="2414"/>
    </row>
    <row r="3266" spans="1:4" ht="12.75" customHeight="1">
      <c r="A3266" s="2410" t="str">
        <f t="shared" si="59"/>
        <v>Eigenkapitalbildung, Eigenkapitalverzehr</v>
      </c>
      <c r="B3266" s="2410" t="s">
        <v>216</v>
      </c>
      <c r="C3266" s="2410" t="s">
        <v>8030</v>
      </c>
      <c r="D3266" s="2414" t="s">
        <v>9887</v>
      </c>
    </row>
    <row r="3267" spans="1:4" ht="12.75" customHeight="1">
      <c r="A3267" s="2410" t="str">
        <f t="shared" si="59"/>
        <v>Kapitaleinlagen und -rückzüge</v>
      </c>
      <c r="B3267" s="2410" t="s">
        <v>8031</v>
      </c>
      <c r="C3267" s="2410" t="s">
        <v>8032</v>
      </c>
      <c r="D3267" s="2414" t="s">
        <v>9888</v>
      </c>
    </row>
    <row r="3268" spans="1:4" ht="12.75" customHeight="1">
      <c r="A3268" s="2410" t="str">
        <f t="shared" si="59"/>
        <v>Eigenkapitalveränderung</v>
      </c>
      <c r="B3268" s="2410" t="s">
        <v>8033</v>
      </c>
      <c r="C3268" s="2410" t="s">
        <v>8034</v>
      </c>
      <c r="D3268" s="2414" t="s">
        <v>409</v>
      </c>
    </row>
    <row r="3269" spans="1:4" ht="12.75" customHeight="1">
      <c r="A3269" s="2410" t="str">
        <f t="shared" si="59"/>
        <v>Erfolge ausserhalb der landw. Buchhaltung</v>
      </c>
      <c r="B3269" s="2410" t="s">
        <v>8041</v>
      </c>
      <c r="C3269" s="2410" t="s">
        <v>8047</v>
      </c>
      <c r="D3269" s="2414" t="s">
        <v>9889</v>
      </c>
    </row>
    <row r="3270" spans="1:4" ht="12.75" customHeight="1">
      <c r="A3270" s="2410" t="str">
        <f t="shared" si="59"/>
        <v>Erfolg Gesamtsystem – Unternehmen und Haushalt</v>
      </c>
      <c r="B3270" s="2410" t="s">
        <v>8045</v>
      </c>
      <c r="C3270" s="2410" t="s">
        <v>8046</v>
      </c>
      <c r="D3270" s="2414" t="s">
        <v>9890</v>
      </c>
    </row>
    <row r="3271" spans="1:4" ht="15" customHeight="1">
      <c r="A3271" s="2410">
        <f t="shared" si="59"/>
        <v>0</v>
      </c>
      <c r="B3271" s="2432"/>
      <c r="C3271" s="2432"/>
      <c r="D3271" s="2414"/>
    </row>
    <row r="3272" spans="1:4" ht="12.75" customHeight="1">
      <c r="A3272" s="2410" t="str">
        <f t="shared" si="59"/>
        <v>Zinsanspruch Eigenkapital</v>
      </c>
      <c r="B3272" s="2410" t="s">
        <v>5676</v>
      </c>
      <c r="C3272" s="2410" t="s">
        <v>673</v>
      </c>
      <c r="D3272" s="2414" t="s">
        <v>8469</v>
      </c>
    </row>
    <row r="3273" spans="1:4" ht="12.75" customHeight="1">
      <c r="A3273" s="2410" t="str">
        <f t="shared" si="59"/>
        <v>Arbeitsverdienst Gemeinschaft</v>
      </c>
      <c r="B3273" s="2410" t="s">
        <v>5677</v>
      </c>
      <c r="C3273" s="2410" t="s">
        <v>3352</v>
      </c>
      <c r="D3273" s="2414" t="s">
        <v>8456</v>
      </c>
    </row>
    <row r="3274" spans="1:4" ht="12.75" customHeight="1">
      <c r="A3274" s="2410" t="str">
        <f t="shared" si="59"/>
        <v>Berechnung des landwirtschaftlichen Einkommens</v>
      </c>
      <c r="B3274" s="2410" t="s">
        <v>8357</v>
      </c>
      <c r="C3274" s="2410" t="s">
        <v>8358</v>
      </c>
      <c r="D3274" s="2414" t="s">
        <v>9891</v>
      </c>
    </row>
    <row r="3275" spans="1:4" ht="12.75" customHeight="1">
      <c r="A3275" s="2410" t="str">
        <f t="shared" si="59"/>
        <v>DB Betriebszweige + Übrige Erträge und Kosten</v>
      </c>
      <c r="B3275" s="2410" t="s">
        <v>8398</v>
      </c>
      <c r="C3275" s="2410" t="s">
        <v>8371</v>
      </c>
      <c r="D3275" s="2414" t="s">
        <v>9892</v>
      </c>
    </row>
    <row r="3276" spans="1:4" ht="12.75" customHeight="1">
      <c r="A3276" s="2410" t="str">
        <f t="shared" ref="A3276:A3288" si="60">IF($A$2=1,B3276,IF($A$2=2,C3276,IF($A$2=3,IF(D3276="",C3276,D3276),"")))</f>
        <v>Direktzahlungen</v>
      </c>
      <c r="B3276" s="2410" t="s">
        <v>8359</v>
      </c>
      <c r="C3276" s="2410" t="s">
        <v>8360</v>
      </c>
      <c r="D3276" s="2424" t="s">
        <v>9893</v>
      </c>
    </row>
    <row r="3277" spans="1:4">
      <c r="A3277" s="2410" t="str">
        <f t="shared" si="60"/>
        <v>Liegenschaften: Einnahmen + Eigenmietwert Privatwohnung</v>
      </c>
      <c r="B3277" s="2410" t="s">
        <v>8402</v>
      </c>
      <c r="C3277" s="2410" t="s">
        <v>8365</v>
      </c>
      <c r="D3277" s="2424" t="s">
        <v>9894</v>
      </c>
    </row>
    <row r="3278" spans="1:4" ht="12.75" customHeight="1">
      <c r="A3278" s="2410" t="str">
        <f t="shared" si="60"/>
        <v>Deckungsbeiträge Nebenbetriebe</v>
      </c>
      <c r="B3278" s="2410" t="s">
        <v>8361</v>
      </c>
      <c r="C3278" s="2410" t="s">
        <v>8362</v>
      </c>
      <c r="D3278" s="2424" t="s">
        <v>9895</v>
      </c>
    </row>
    <row r="3279" spans="1:4" ht="12.75" customHeight="1">
      <c r="A3279" s="2410" t="str">
        <f t="shared" si="60"/>
        <v>Deckungsbeitrag Betrieb</v>
      </c>
      <c r="B3279" s="2410" t="s">
        <v>8370</v>
      </c>
      <c r="C3279" s="2410" t="s">
        <v>8363</v>
      </c>
      <c r="D3279" s="2424" t="s">
        <v>8454</v>
      </c>
    </row>
    <row r="3280" spans="1:4" ht="12.75" customHeight="1">
      <c r="A3280" s="2410" t="str">
        <f t="shared" si="60"/>
        <v>Erfolg Landwirtschaft aus FiBu</v>
      </c>
      <c r="B3280" s="2410" t="s">
        <v>8369</v>
      </c>
      <c r="C3280" s="2410" t="s">
        <v>8364</v>
      </c>
      <c r="D3280" s="2424" t="s">
        <v>9896</v>
      </c>
    </row>
    <row r="3281" spans="1:4" ht="12.75" customHeight="1">
      <c r="A3281" s="2410" t="str">
        <f t="shared" si="60"/>
        <v xml:space="preserve"> + 40 % der ordentlichen Beiträge für die BV  - 2. Säule</v>
      </c>
      <c r="B3281" s="2781" t="s">
        <v>11956</v>
      </c>
      <c r="C3281" s="2781" t="s">
        <v>11957</v>
      </c>
      <c r="D3281" s="2788" t="s">
        <v>11958</v>
      </c>
    </row>
    <row r="3282" spans="1:4" ht="12.75" customHeight="1">
      <c r="A3282" s="2410" t="str">
        <f t="shared" si="60"/>
        <v xml:space="preserve"> + Erfolg Landwirtschaft ausserhalb FiBu</v>
      </c>
      <c r="B3282" s="2410" t="s">
        <v>8372</v>
      </c>
      <c r="C3282" s="2410" t="s">
        <v>8368</v>
      </c>
      <c r="D3282" s="2788" t="s">
        <v>9897</v>
      </c>
    </row>
    <row r="3283" spans="1:4" ht="12.75" customHeight="1">
      <c r="A3283" s="2410" t="str">
        <f t="shared" si="60"/>
        <v xml:space="preserve"> ± Korrekturzeile nach Bedarf</v>
      </c>
      <c r="B3283" s="2410" t="s">
        <v>8366</v>
      </c>
      <c r="C3283" s="2410" t="s">
        <v>8367</v>
      </c>
      <c r="D3283" s="2424" t="s">
        <v>9898</v>
      </c>
    </row>
    <row r="3284" spans="1:4" ht="12.75" customHeight="1">
      <c r="A3284" s="2410" t="str">
        <f t="shared" si="60"/>
        <v>Erfolg Landwirtschaft</v>
      </c>
      <c r="B3284" s="2410" t="s">
        <v>8339</v>
      </c>
      <c r="C3284" s="2410" t="s">
        <v>8401</v>
      </c>
      <c r="D3284" s="2424" t="s">
        <v>9899</v>
      </c>
    </row>
    <row r="3285" spans="1:4" ht="12.75" customHeight="1">
      <c r="A3285" s="2410" t="str">
        <f t="shared" si="60"/>
        <v xml:space="preserve"> + 50 % von AHV, IV, EO für BL-Paar,  Korrektur für LE</v>
      </c>
      <c r="B3285" s="2781" t="s">
        <v>11959</v>
      </c>
      <c r="C3285" s="2781" t="s">
        <v>11960</v>
      </c>
      <c r="D3285" s="2788" t="s">
        <v>11961</v>
      </c>
    </row>
    <row r="3286" spans="1:4" ht="12.75" customHeight="1">
      <c r="A3286" s="2410" t="str">
        <f t="shared" si="60"/>
        <v>Landwirtschaftliches Einkommen</v>
      </c>
      <c r="B3286" s="2410" t="s">
        <v>8399</v>
      </c>
      <c r="C3286" s="2410" t="s">
        <v>8400</v>
      </c>
      <c r="D3286" s="2424" t="s">
        <v>9900</v>
      </c>
    </row>
    <row r="3287" spans="1:4" ht="12.75" customHeight="1">
      <c r="A3287" s="2410">
        <f t="shared" si="60"/>
        <v>0</v>
      </c>
      <c r="B3287" s="2410"/>
      <c r="C3287" s="2410"/>
      <c r="D3287" s="2424"/>
    </row>
    <row r="3288" spans="1:4" ht="12.75" customHeight="1">
      <c r="A3288" s="2410">
        <f t="shared" si="60"/>
        <v>0</v>
      </c>
      <c r="B3288" s="2410"/>
      <c r="C3288" s="2410"/>
      <c r="D3288" s="2424"/>
    </row>
    <row r="3289" spans="1:4" ht="12.75" customHeight="1">
      <c r="A3289" s="2410"/>
      <c r="B3289" s="2410"/>
      <c r="C3289" s="2410"/>
      <c r="D3289" s="2414"/>
    </row>
    <row r="3290" spans="1:4" ht="12.75" customHeight="1">
      <c r="A3290" s="2410" t="str">
        <f t="shared" ref="A3290:A3311" si="61">IF($A$2=1,B3290,IF($A$2=2,C3290,IF($A$2=3,IF(D3290="",C3290,D3290),"")))</f>
        <v>Veränderungen</v>
      </c>
      <c r="B3290" s="2410" t="s">
        <v>3273</v>
      </c>
      <c r="C3290" s="2410" t="s">
        <v>2759</v>
      </c>
      <c r="D3290" s="2414" t="s">
        <v>7086</v>
      </c>
    </row>
    <row r="3291" spans="1:4" ht="12.75" customHeight="1">
      <c r="A3291" s="2410" t="str">
        <f t="shared" si="61"/>
        <v>Durchschnitt der 6 Jahre</v>
      </c>
      <c r="B3291" s="2410" t="s">
        <v>2467</v>
      </c>
      <c r="C3291" s="2410" t="s">
        <v>2468</v>
      </c>
      <c r="D3291" s="2414" t="s">
        <v>9901</v>
      </c>
    </row>
    <row r="3292" spans="1:4" ht="12.75" customHeight="1">
      <c r="A3292" s="2410" t="str">
        <f t="shared" si="61"/>
        <v>Deckungs- beitrag/ Ausgaben</v>
      </c>
      <c r="B3292" s="2410" t="s">
        <v>2760</v>
      </c>
      <c r="C3292" s="2410" t="s">
        <v>2761</v>
      </c>
      <c r="D3292" s="2414" t="s">
        <v>9902</v>
      </c>
    </row>
    <row r="3293" spans="1:4" ht="12.75" customHeight="1">
      <c r="A3293" s="2410" t="str">
        <f t="shared" si="61"/>
        <v>Jährliche Veränder- ungen</v>
      </c>
      <c r="B3293" s="2410" t="s">
        <v>3562</v>
      </c>
      <c r="C3293" s="2410" t="s">
        <v>1468</v>
      </c>
      <c r="D3293" s="2414" t="s">
        <v>9903</v>
      </c>
    </row>
    <row r="3294" spans="1:4" ht="12.75" customHeight="1">
      <c r="A3294" s="2410" t="str">
        <f t="shared" si="61"/>
        <v xml:space="preserve">Veränder- ung in 5 Jahren </v>
      </c>
      <c r="B3294" s="2410" t="s">
        <v>425</v>
      </c>
      <c r="C3294" s="2410" t="s">
        <v>426</v>
      </c>
      <c r="D3294" s="2414" t="s">
        <v>9904</v>
      </c>
    </row>
    <row r="3295" spans="1:4" ht="12.75" customHeight="1">
      <c r="A3295" s="2410" t="str">
        <f t="shared" si="61"/>
        <v>Deckungs- beitrag,  Ausgaben</v>
      </c>
      <c r="B3295" s="2410" t="s">
        <v>8388</v>
      </c>
      <c r="C3295" s="2410" t="s">
        <v>8389</v>
      </c>
      <c r="D3295" s="2414" t="s">
        <v>8390</v>
      </c>
    </row>
    <row r="3296" spans="1:4" ht="12.75" customHeight="1">
      <c r="A3296" s="2410" t="str">
        <f t="shared" si="61"/>
        <v>in %</v>
      </c>
      <c r="B3296" s="2430" t="s">
        <v>427</v>
      </c>
      <c r="C3296" s="2410" t="s">
        <v>428</v>
      </c>
      <c r="D3296" s="2414" t="s">
        <v>11240</v>
      </c>
    </row>
    <row r="3297" spans="1:4" ht="12.75" customHeight="1">
      <c r="A3297" s="2410" t="str">
        <f t="shared" si="61"/>
        <v>in CHF</v>
      </c>
      <c r="B3297" s="2410" t="s">
        <v>7222</v>
      </c>
      <c r="C3297" s="2410" t="s">
        <v>1130</v>
      </c>
      <c r="D3297" s="2414" t="s">
        <v>9692</v>
      </c>
    </row>
    <row r="3298" spans="1:4" ht="12.75" customHeight="1">
      <c r="A3298" s="2410" t="str">
        <f t="shared" si="61"/>
        <v>Betriebszweige</v>
      </c>
      <c r="B3298" s="2410" t="s">
        <v>344</v>
      </c>
      <c r="C3298" s="2410" t="s">
        <v>266</v>
      </c>
      <c r="D3298" s="2414" t="s">
        <v>9905</v>
      </c>
    </row>
    <row r="3299" spans="1:4" ht="12.75" customHeight="1">
      <c r="A3299" s="2410" t="str">
        <f t="shared" si="61"/>
        <v>Durchschnittliche Veränderung in % ohne DB Milchvieh</v>
      </c>
      <c r="B3299" s="2410" t="s">
        <v>8387</v>
      </c>
      <c r="C3299" s="2410" t="s">
        <v>8386</v>
      </c>
      <c r="D3299" s="2414" t="s">
        <v>11241</v>
      </c>
    </row>
    <row r="3300" spans="1:4" ht="12.75" customHeight="1">
      <c r="A3300" s="2410" t="str">
        <f t="shared" si="61"/>
        <v>Durchschnittliche Veränderung in %</v>
      </c>
      <c r="B3300" s="2410" t="s">
        <v>7196</v>
      </c>
      <c r="C3300" s="2410" t="s">
        <v>7197</v>
      </c>
      <c r="D3300" s="2780" t="s">
        <v>11962</v>
      </c>
    </row>
    <row r="3301" spans="1:4" ht="12.75" customHeight="1">
      <c r="A3301" s="2410" t="str">
        <f t="shared" si="61"/>
        <v>Betriebszweige  total + Übrige Erträge und Kosten</v>
      </c>
      <c r="B3301" s="2410" t="s">
        <v>8391</v>
      </c>
      <c r="C3301" s="2410" t="s">
        <v>7198</v>
      </c>
      <c r="D3301" s="2414" t="s">
        <v>9906</v>
      </c>
    </row>
    <row r="3302" spans="1:4" ht="12.75" customHeight="1">
      <c r="A3302" s="2410" t="str">
        <f t="shared" si="61"/>
        <v>Betriebliche Nebenerfolge ohne Erfolge betrieblicher Finanzanlagen</v>
      </c>
      <c r="B3302" s="2410" t="s">
        <v>8384</v>
      </c>
      <c r="C3302" s="2410" t="s">
        <v>8385</v>
      </c>
      <c r="D3302" s="2414" t="s">
        <v>9907</v>
      </c>
    </row>
    <row r="3303" spans="1:4" ht="12.75" customHeight="1">
      <c r="A3303" s="2410" t="str">
        <f t="shared" si="61"/>
        <v>Nebenerfolge total</v>
      </c>
      <c r="B3303" s="2410" t="s">
        <v>8392</v>
      </c>
      <c r="C3303" s="2410" t="s">
        <v>8393</v>
      </c>
      <c r="D3303" s="2414" t="s">
        <v>9908</v>
      </c>
    </row>
    <row r="3304" spans="1:4" ht="12.75" customHeight="1">
      <c r="A3304" s="2410" t="str">
        <f t="shared" si="61"/>
        <v>Strukturausgaben 1</v>
      </c>
      <c r="B3304" s="2410" t="s">
        <v>1811</v>
      </c>
      <c r="C3304" s="2410" t="s">
        <v>1812</v>
      </c>
      <c r="D3304" s="2414" t="s">
        <v>9909</v>
      </c>
    </row>
    <row r="3305" spans="1:4" ht="12.75" customHeight="1">
      <c r="A3305" s="2410" t="str">
        <f t="shared" si="61"/>
        <v>Ausgaben Gebäude</v>
      </c>
      <c r="B3305" s="2410" t="s">
        <v>2496</v>
      </c>
      <c r="C3305" s="2410" t="s">
        <v>6698</v>
      </c>
      <c r="D3305" s="2414" t="s">
        <v>9910</v>
      </c>
    </row>
    <row r="3306" spans="1:4" ht="12.75" customHeight="1">
      <c r="A3306" s="2410" t="str">
        <f t="shared" si="61"/>
        <v>Ausgaben Meliorationen</v>
      </c>
      <c r="B3306" s="2410" t="s">
        <v>6699</v>
      </c>
      <c r="C3306" s="2410" t="s">
        <v>6700</v>
      </c>
      <c r="D3306" s="2414" t="s">
        <v>9880</v>
      </c>
    </row>
    <row r="3307" spans="1:4" ht="12.75" customHeight="1">
      <c r="A3307" s="2410" t="str">
        <f t="shared" si="61"/>
        <v>Ausgaben feste Einrichtungen</v>
      </c>
      <c r="B3307" s="2410" t="s">
        <v>4058</v>
      </c>
      <c r="C3307" s="2410" t="s">
        <v>4059</v>
      </c>
      <c r="D3307" s="2414" t="s">
        <v>9881</v>
      </c>
    </row>
    <row r="3308" spans="1:4" ht="12.75" customHeight="1">
      <c r="A3308" s="2410" t="str">
        <f t="shared" si="61"/>
        <v>Ausgaben Motorfahrzeuge, Zugkraft, Kleinmaterial</v>
      </c>
      <c r="B3308" s="2410" t="s">
        <v>6799</v>
      </c>
      <c r="C3308" s="2410" t="s">
        <v>6800</v>
      </c>
      <c r="D3308" s="2414" t="s">
        <v>9911</v>
      </c>
    </row>
    <row r="3309" spans="1:4" ht="12.75" customHeight="1">
      <c r="A3309" s="2410" t="str">
        <f t="shared" si="61"/>
        <v>Ausgaben Auto Betrieb</v>
      </c>
      <c r="B3309" s="2410" t="s">
        <v>6801</v>
      </c>
      <c r="C3309" s="2410" t="s">
        <v>6798</v>
      </c>
      <c r="D3309" s="2414" t="s">
        <v>9912</v>
      </c>
    </row>
    <row r="3310" spans="1:4" ht="12.75" customHeight="1">
      <c r="A3310" s="2410" t="str">
        <f t="shared" si="61"/>
        <v>Ausgaben Arbeiten durch Dritte, Maschinenmiete</v>
      </c>
      <c r="B3310" s="2410" t="s">
        <v>2420</v>
      </c>
      <c r="C3310" s="2410" t="s">
        <v>2421</v>
      </c>
      <c r="D3310" s="2414" t="s">
        <v>9913</v>
      </c>
    </row>
    <row r="3311" spans="1:4" ht="12.75" customHeight="1">
      <c r="A3311" s="2410" t="str">
        <f t="shared" si="61"/>
        <v>Allgemeine Betriebsausgaben</v>
      </c>
      <c r="B3311" s="2410" t="s">
        <v>2422</v>
      </c>
      <c r="C3311" s="2410" t="s">
        <v>2423</v>
      </c>
      <c r="D3311" s="2414" t="s">
        <v>4721</v>
      </c>
    </row>
    <row r="3312" spans="1:4" ht="12.75" customHeight="1">
      <c r="A3312" s="2410" t="str">
        <f t="shared" ref="A3312:A3380" si="62">IF($A$2=1,B3312,IF($A$2=2,C3312,IF($A$2=3,IF(D3312="",C3312,D3312),"")))</f>
        <v>Folgeausgaben der Investition</v>
      </c>
      <c r="B3312" s="2410" t="s">
        <v>5481</v>
      </c>
      <c r="C3312" s="2410" t="s">
        <v>5542</v>
      </c>
      <c r="D3312" s="2414" t="s">
        <v>9914</v>
      </c>
    </row>
    <row r="3313" spans="1:4" ht="12.75" customHeight="1">
      <c r="A3313" s="2410" t="str">
        <f t="shared" si="62"/>
        <v>Strukturausgaben 1 total</v>
      </c>
      <c r="B3313" s="2410" t="s">
        <v>8394</v>
      </c>
      <c r="C3313" s="2410" t="s">
        <v>8395</v>
      </c>
      <c r="D3313" s="2414" t="s">
        <v>9915</v>
      </c>
    </row>
    <row r="3314" spans="1:4" ht="12.75" customHeight="1">
      <c r="A3314" s="2410" t="str">
        <f t="shared" si="62"/>
        <v>Pachtzinsen, Personalausgaben</v>
      </c>
      <c r="B3314" s="2410" t="s">
        <v>3091</v>
      </c>
      <c r="C3314" s="2410" t="s">
        <v>3884</v>
      </c>
      <c r="D3314" s="2414" t="s">
        <v>9916</v>
      </c>
    </row>
    <row r="3315" spans="1:4" ht="12.75" customHeight="1">
      <c r="A3315" s="2410" t="str">
        <f t="shared" si="62"/>
        <v>Pachtzinsen, Personalausgaben total</v>
      </c>
      <c r="B3315" s="2410" t="s">
        <v>8396</v>
      </c>
      <c r="C3315" s="2410" t="s">
        <v>8397</v>
      </c>
      <c r="D3315" s="2414" t="s">
        <v>9917</v>
      </c>
    </row>
    <row r="3316" spans="1:4" ht="12.75" customHeight="1">
      <c r="A3316" s="2410">
        <f t="shared" si="62"/>
        <v>0</v>
      </c>
      <c r="B3316" s="2410"/>
      <c r="C3316" s="2410"/>
      <c r="D3316" s="2414"/>
    </row>
    <row r="3317" spans="1:4" ht="12.75" customHeight="1">
      <c r="A3317" s="2410" t="str">
        <f t="shared" si="62"/>
        <v>Veränderung in Rp./kg u. Jahr</v>
      </c>
      <c r="B3317" s="2419" t="s">
        <v>5254</v>
      </c>
      <c r="C3317" s="2410" t="s">
        <v>80</v>
      </c>
      <c r="D3317" s="2414" t="s">
        <v>9918</v>
      </c>
    </row>
    <row r="3318" spans="1:4" ht="12.75" customHeight="1">
      <c r="A3318" s="2410" t="str">
        <f t="shared" si="62"/>
        <v>Menge 1</v>
      </c>
      <c r="B3318" s="2410" t="s">
        <v>81</v>
      </c>
      <c r="C3318" s="2410" t="s">
        <v>82</v>
      </c>
      <c r="D3318" s="2414" t="s">
        <v>6274</v>
      </c>
    </row>
    <row r="3319" spans="1:4" ht="12.75" customHeight="1">
      <c r="A3319" s="2410" t="str">
        <f t="shared" si="62"/>
        <v>Menge 2</v>
      </c>
      <c r="B3319" s="2410" t="s">
        <v>83</v>
      </c>
      <c r="C3319" s="2410" t="s">
        <v>84</v>
      </c>
      <c r="D3319" s="2414" t="s">
        <v>6275</v>
      </c>
    </row>
    <row r="3320" spans="1:4" ht="12.75" customHeight="1">
      <c r="A3320" s="2410">
        <f t="shared" si="62"/>
        <v>0</v>
      </c>
      <c r="B3320" s="2410"/>
      <c r="C3320" s="2410"/>
      <c r="D3320" s="2414"/>
    </row>
    <row r="3321" spans="1:4" ht="12.75" customHeight="1">
      <c r="A3321" s="2410"/>
      <c r="B3321" s="2410"/>
      <c r="C3321" s="2410"/>
      <c r="D3321" s="2414"/>
    </row>
    <row r="3322" spans="1:4" ht="12.75" customHeight="1">
      <c r="A3322" s="2410" t="str">
        <f t="shared" si="62"/>
        <v>Umsatzbereich</v>
      </c>
      <c r="B3322" s="2410" t="s">
        <v>5287</v>
      </c>
      <c r="C3322" s="2410" t="s">
        <v>3657</v>
      </c>
      <c r="D3322" s="2414" t="s">
        <v>9919</v>
      </c>
    </row>
    <row r="3323" spans="1:4" ht="12.75" customHeight="1">
      <c r="A3323" s="2410" t="str">
        <f t="shared" si="62"/>
        <v xml:space="preserve">Veränderungen in </v>
      </c>
      <c r="B3323" s="2410" t="s">
        <v>3446</v>
      </c>
      <c r="C3323" s="2410" t="s">
        <v>3447</v>
      </c>
      <c r="D3323" s="2414" t="s">
        <v>9920</v>
      </c>
    </row>
    <row r="3324" spans="1:4" ht="12.75" customHeight="1">
      <c r="A3324" s="2410">
        <f t="shared" si="62"/>
        <v>0</v>
      </c>
      <c r="B3324" s="2410"/>
      <c r="C3324" s="2410"/>
      <c r="D3324" s="2414"/>
    </row>
    <row r="3325" spans="1:4" ht="12.75" customHeight="1">
      <c r="A3325" s="2410">
        <f t="shared" si="62"/>
        <v>0</v>
      </c>
      <c r="B3325" s="2410"/>
      <c r="C3325" s="2410"/>
      <c r="D3325" s="2414"/>
    </row>
    <row r="3326" spans="1:4" ht="12.75" customHeight="1">
      <c r="A3326" s="2410">
        <f t="shared" si="62"/>
        <v>0</v>
      </c>
      <c r="B3326" s="2410"/>
      <c r="C3326" s="2410"/>
      <c r="D3326" s="2414"/>
    </row>
    <row r="3327" spans="1:4" ht="12.75" customHeight="1">
      <c r="A3327" s="2410">
        <f t="shared" si="62"/>
        <v>1000</v>
      </c>
      <c r="B3327" s="2431">
        <v>1000</v>
      </c>
      <c r="C3327" s="2431">
        <v>1000</v>
      </c>
      <c r="D3327" s="2414" t="s">
        <v>11242</v>
      </c>
    </row>
    <row r="3328" spans="1:4" ht="12.75" customHeight="1">
      <c r="A3328" s="2410" t="str">
        <f t="shared" si="62"/>
        <v xml:space="preserve">% ab </v>
      </c>
      <c r="B3328" s="2410" t="s">
        <v>2003</v>
      </c>
      <c r="C3328" s="2410" t="s">
        <v>2002</v>
      </c>
      <c r="D3328" s="2414" t="s">
        <v>2004</v>
      </c>
    </row>
    <row r="3329" spans="1:5" ht="12.75" customHeight="1">
      <c r="A3329" s="2410" t="str">
        <f t="shared" si="62"/>
        <v>Betriebliche Nebenerfolge, 7000er Konten</v>
      </c>
      <c r="B3329" s="2410" t="s">
        <v>8058</v>
      </c>
      <c r="C3329" s="2410" t="s">
        <v>8017</v>
      </c>
      <c r="D3329" s="2414" t="s">
        <v>9921</v>
      </c>
    </row>
    <row r="3330" spans="1:5" ht="12.75" customHeight="1">
      <c r="A3330" s="2410" t="str">
        <f t="shared" si="62"/>
        <v>Direktzahlungen, ohne Einzelkulturbeiträge</v>
      </c>
      <c r="B3330" s="2410" t="s">
        <v>8060</v>
      </c>
      <c r="C3330" s="2410" t="s">
        <v>8059</v>
      </c>
      <c r="D3330" s="2414" t="s">
        <v>9922</v>
      </c>
    </row>
    <row r="3331" spans="1:5" ht="12.75" customHeight="1">
      <c r="A3331" s="2410" t="str">
        <f t="shared" si="62"/>
        <v>Korrekturzeile nach Bedarf</v>
      </c>
      <c r="B3331" s="2410" t="s">
        <v>1424</v>
      </c>
      <c r="C3331" s="2410" t="s">
        <v>7578</v>
      </c>
      <c r="D3331" s="2414" t="s">
        <v>9923</v>
      </c>
    </row>
    <row r="3332" spans="1:5" ht="12.75" customHeight="1">
      <c r="A3332" s="2410" t="str">
        <f t="shared" si="62"/>
        <v>Eigenmietwert Privatwohnung</v>
      </c>
      <c r="B3332" s="2410" t="s">
        <v>8049</v>
      </c>
      <c r="C3332" s="2410" t="s">
        <v>4713</v>
      </c>
      <c r="D3332" s="2414" t="s">
        <v>9821</v>
      </c>
    </row>
    <row r="3333" spans="1:5" ht="12.75" customHeight="1">
      <c r="A3333" s="2410" t="str">
        <f t="shared" si="62"/>
        <v>Pachtzinsen, Personalkosten</v>
      </c>
      <c r="B3333" s="2410" t="s">
        <v>6691</v>
      </c>
      <c r="C3333" s="2410" t="s">
        <v>1321</v>
      </c>
      <c r="D3333" s="2414" t="s">
        <v>9924</v>
      </c>
    </row>
    <row r="3334" spans="1:5" ht="12.75" customHeight="1">
      <c r="A3334" s="2410" t="str">
        <f t="shared" si="62"/>
        <v>URE mobile und immobile Sachanlagen</v>
      </c>
      <c r="B3334" s="2410" t="s">
        <v>8056</v>
      </c>
      <c r="C3334" s="2410" t="s">
        <v>8056</v>
      </c>
      <c r="D3334" s="2414" t="s">
        <v>9925</v>
      </c>
    </row>
    <row r="3335" spans="1:5" ht="12.75" customHeight="1">
      <c r="A3335" s="2410" t="str">
        <f t="shared" si="62"/>
        <v>Allgemeine Betriebskosten</v>
      </c>
      <c r="B3335" s="2410" t="s">
        <v>5909</v>
      </c>
      <c r="C3335" s="2410" t="s">
        <v>2027</v>
      </c>
      <c r="D3335" s="2414" t="s">
        <v>4721</v>
      </c>
    </row>
    <row r="3336" spans="1:5" ht="12.75" customHeight="1">
      <c r="A3336" s="2410" t="str">
        <f t="shared" si="62"/>
        <v>Unterhaltskosten durch Investitionen</v>
      </c>
      <c r="B3336" s="2410" t="s">
        <v>771</v>
      </c>
      <c r="C3336" s="2410" t="s">
        <v>4982</v>
      </c>
      <c r="D3336" s="2414" t="s">
        <v>9914</v>
      </c>
    </row>
    <row r="3337" spans="1:5" ht="12.75" customHeight="1">
      <c r="A3337" s="2410" t="str">
        <f t="shared" si="62"/>
        <v xml:space="preserve"> = Bruttobetriebsüberschuss</v>
      </c>
      <c r="B3337" s="2410" t="s">
        <v>772</v>
      </c>
      <c r="C3337" s="2410" t="s">
        <v>1322</v>
      </c>
      <c r="D3337" s="2414" t="s">
        <v>9926</v>
      </c>
    </row>
    <row r="3338" spans="1:5" ht="12.75" customHeight="1">
      <c r="A3338" s="2410" t="str">
        <f t="shared" si="62"/>
        <v>Externe Lieferungen an Nebenbetriebe und ausserlandw. Bereich</v>
      </c>
      <c r="B3338" s="2410" t="s">
        <v>8057</v>
      </c>
      <c r="C3338" s="2410" t="s">
        <v>777</v>
      </c>
      <c r="D3338" s="2414" t="s">
        <v>9927</v>
      </c>
    </row>
    <row r="3339" spans="1:5" ht="12.75" customHeight="1">
      <c r="A3339" s="2410" t="str">
        <f t="shared" si="62"/>
        <v>Zunahme Vorräte, Tiervermögen</v>
      </c>
      <c r="B3339" s="2410" t="s">
        <v>2815</v>
      </c>
      <c r="C3339" s="2410" t="s">
        <v>3569</v>
      </c>
      <c r="D3339" s="2414" t="s">
        <v>9928</v>
      </c>
    </row>
    <row r="3340" spans="1:5" ht="12.75" customHeight="1">
      <c r="A3340" s="2410" t="str">
        <f t="shared" si="62"/>
        <v>Abnahme Vorräte, Tiervermögen</v>
      </c>
      <c r="B3340" s="2410" t="s">
        <v>2977</v>
      </c>
      <c r="C3340" s="2410" t="s">
        <v>4910</v>
      </c>
      <c r="D3340" s="2414" t="s">
        <v>9929</v>
      </c>
    </row>
    <row r="3341" spans="1:5" ht="12.75" customHeight="1">
      <c r="A3341" s="2410" t="str">
        <f t="shared" si="62"/>
        <v xml:space="preserve"> = Mittelfluss Landwirtschaft vor Zinsen</v>
      </c>
      <c r="B3341" s="2410" t="s">
        <v>3027</v>
      </c>
      <c r="C3341" s="2410" t="s">
        <v>4911</v>
      </c>
      <c r="D3341" s="2414" t="s">
        <v>11243</v>
      </c>
    </row>
    <row r="3342" spans="1:5" ht="12.75" customHeight="1">
      <c r="A3342" s="2410" t="str">
        <f t="shared" si="62"/>
        <v>Selbständige ausserlandwirtschaftliche Aktivitäten</v>
      </c>
      <c r="B3342" s="2410" t="s">
        <v>5642</v>
      </c>
      <c r="C3342" s="2410" t="s">
        <v>1583</v>
      </c>
      <c r="D3342" s="2414" t="s">
        <v>9930</v>
      </c>
    </row>
    <row r="3343" spans="1:5" ht="12.75" customHeight="1">
      <c r="A3343" s="2410" t="str">
        <f t="shared" si="62"/>
        <v xml:space="preserve"> = Mittelfluss vor Privat und vor Zinsen</v>
      </c>
      <c r="B3343" s="2410" t="s">
        <v>333</v>
      </c>
      <c r="C3343" s="2410" t="s">
        <v>4244</v>
      </c>
      <c r="D3343" s="2414" t="s">
        <v>11244</v>
      </c>
      <c r="E3343" s="2428"/>
    </row>
    <row r="3344" spans="1:5" ht="12.75" customHeight="1">
      <c r="A3344" s="2410" t="str">
        <f t="shared" si="62"/>
        <v>Privatausgaben</v>
      </c>
      <c r="B3344" s="2410" t="s">
        <v>6197</v>
      </c>
      <c r="C3344" s="2410" t="s">
        <v>2701</v>
      </c>
      <c r="D3344" s="2414" t="s">
        <v>4006</v>
      </c>
    </row>
    <row r="3345" spans="1:5" ht="12.75" customHeight="1">
      <c r="A3345" s="2410" t="str">
        <f t="shared" si="62"/>
        <v>Bezugsansprüche der Partner</v>
      </c>
      <c r="B3345" s="2410" t="s">
        <v>4416</v>
      </c>
      <c r="C3345" s="2410" t="s">
        <v>872</v>
      </c>
      <c r="D3345" s="2414" t="s">
        <v>9931</v>
      </c>
    </row>
    <row r="3346" spans="1:5" ht="12.75" customHeight="1">
      <c r="A3346" s="2410" t="str">
        <f t="shared" si="62"/>
        <v>Nicht bezogene (+) / zusätzlich bezogene (-)  Mittel der Partner</v>
      </c>
      <c r="B3346" s="2410" t="s">
        <v>1448</v>
      </c>
      <c r="C3346" s="2410" t="s">
        <v>6976</v>
      </c>
      <c r="D3346" s="2414" t="s">
        <v>9932</v>
      </c>
    </row>
    <row r="3347" spans="1:5" ht="12.75" customHeight="1">
      <c r="A3347" s="2410" t="str">
        <f t="shared" si="62"/>
        <v>Privateinnahmen</v>
      </c>
      <c r="B3347" s="2410" t="s">
        <v>8114</v>
      </c>
      <c r="C3347" s="2410" t="s">
        <v>5623</v>
      </c>
      <c r="D3347" s="2414" t="s">
        <v>3239</v>
      </c>
    </row>
    <row r="3348" spans="1:5" ht="12.75" customHeight="1">
      <c r="A3348" s="2410" t="str">
        <f t="shared" si="62"/>
        <v>Unselbständige Aktivitäten</v>
      </c>
      <c r="B3348" s="2410" t="s">
        <v>4076</v>
      </c>
      <c r="C3348" s="2410" t="s">
        <v>6529</v>
      </c>
      <c r="D3348" s="2414" t="s">
        <v>3240</v>
      </c>
    </row>
    <row r="3349" spans="1:5" ht="12.75" customHeight="1">
      <c r="A3349" s="2410" t="str">
        <f t="shared" si="62"/>
        <v xml:space="preserve"> = Cashflow vor Zinsen</v>
      </c>
      <c r="B3349" s="2410" t="s">
        <v>7543</v>
      </c>
      <c r="C3349" s="2410" t="s">
        <v>6322</v>
      </c>
      <c r="D3349" s="2414" t="s">
        <v>9933</v>
      </c>
    </row>
    <row r="3350" spans="1:5" ht="12.75" customHeight="1">
      <c r="A3350" s="2410" t="str">
        <f t="shared" si="62"/>
        <v>Investitionsbereich</v>
      </c>
      <c r="B3350" s="2410" t="s">
        <v>7058</v>
      </c>
      <c r="C3350" s="2410" t="s">
        <v>1637</v>
      </c>
      <c r="D3350" s="2414" t="s">
        <v>9934</v>
      </c>
    </row>
    <row r="3351" spans="1:5" ht="12.75" customHeight="1">
      <c r="A3351" s="2410" t="str">
        <f t="shared" si="62"/>
        <v>Zukauf Anlagevermögen, vor Abzug der Investitionsbeiträge</v>
      </c>
      <c r="B3351" s="2410" t="s">
        <v>8061</v>
      </c>
      <c r="C3351" s="2410" t="s">
        <v>873</v>
      </c>
      <c r="D3351" s="2414" t="s">
        <v>9935</v>
      </c>
    </row>
    <row r="3352" spans="1:5" ht="12.75" customHeight="1">
      <c r="A3352" s="2410" t="str">
        <f t="shared" si="62"/>
        <v>Verkauf Anlagevermögen</v>
      </c>
      <c r="B3352" s="2410" t="s">
        <v>4598</v>
      </c>
      <c r="C3352" s="2410" t="s">
        <v>6320</v>
      </c>
      <c r="D3352" s="2414" t="s">
        <v>3242</v>
      </c>
    </row>
    <row r="3353" spans="1:5" ht="12.75" customHeight="1">
      <c r="A3353" s="2410" t="str">
        <f t="shared" si="62"/>
        <v>Investitionsbeiträge, à fonds perdu</v>
      </c>
      <c r="B3353" s="2410" t="s">
        <v>8062</v>
      </c>
      <c r="C3353" s="2410" t="s">
        <v>6321</v>
      </c>
      <c r="D3353" s="2414" t="s">
        <v>9936</v>
      </c>
    </row>
    <row r="3354" spans="1:5" ht="12.75" customHeight="1">
      <c r="A3354" s="2410" t="str">
        <f t="shared" si="62"/>
        <v>Saldo Investitionsbereich</v>
      </c>
      <c r="B3354" s="2410" t="s">
        <v>4303</v>
      </c>
      <c r="C3354" s="2410" t="s">
        <v>2108</v>
      </c>
      <c r="D3354" s="2414" t="s">
        <v>8472</v>
      </c>
    </row>
    <row r="3355" spans="1:5" ht="12.75" customHeight="1">
      <c r="A3355" s="2410" t="str">
        <f t="shared" si="62"/>
        <v xml:space="preserve"> = Finanzierungsüberschuss, -manko vor Zinsen</v>
      </c>
      <c r="B3355" s="2410" t="s">
        <v>6631</v>
      </c>
      <c r="C3355" s="2410" t="s">
        <v>2109</v>
      </c>
      <c r="D3355" s="2414" t="s">
        <v>9937</v>
      </c>
      <c r="E3355" s="2428"/>
    </row>
    <row r="3356" spans="1:5" ht="12.75" customHeight="1">
      <c r="A3356" s="2410" t="str">
        <f t="shared" si="62"/>
        <v>Finanzierungsbereich</v>
      </c>
      <c r="B3356" s="2410" t="s">
        <v>6935</v>
      </c>
      <c r="C3356" s="2410" t="s">
        <v>1636</v>
      </c>
      <c r="D3356" s="2414" t="s">
        <v>9938</v>
      </c>
    </row>
    <row r="3357" spans="1:5" ht="12.75" customHeight="1">
      <c r="A3357" s="2410" t="str">
        <f t="shared" si="62"/>
        <v>Aufnahme mittel- und langfristiges Fremdkapital Betrieb</v>
      </c>
      <c r="B3357" s="2410" t="s">
        <v>597</v>
      </c>
      <c r="C3357" s="2410" t="s">
        <v>6323</v>
      </c>
      <c r="D3357" s="2414" t="s">
        <v>9939</v>
      </c>
    </row>
    <row r="3358" spans="1:5" ht="12.75" customHeight="1">
      <c r="A3358" s="2410" t="str">
        <f t="shared" si="62"/>
        <v>Tilgung mittel- und langfristiges Fremdkapital Betrieb</v>
      </c>
      <c r="B3358" s="2410" t="s">
        <v>598</v>
      </c>
      <c r="C3358" s="2410" t="s">
        <v>2070</v>
      </c>
      <c r="D3358" s="2414" t="s">
        <v>9940</v>
      </c>
    </row>
    <row r="3359" spans="1:5" ht="12.75" customHeight="1">
      <c r="A3359" s="2410" t="str">
        <f t="shared" si="62"/>
        <v>Einnahmen betriebliche Finanzanlagen</v>
      </c>
      <c r="B3359" s="2410" t="s">
        <v>8099</v>
      </c>
      <c r="C3359" s="2410" t="s">
        <v>2187</v>
      </c>
      <c r="D3359" s="2414" t="s">
        <v>9941</v>
      </c>
    </row>
    <row r="3360" spans="1:5" ht="12.75" customHeight="1">
      <c r="A3360" s="2410" t="str">
        <f t="shared" si="62"/>
        <v>Betriebsfremde Finanzanlagen</v>
      </c>
      <c r="B3360" s="2410" t="s">
        <v>4103</v>
      </c>
      <c r="C3360" s="2410" t="s">
        <v>3769</v>
      </c>
      <c r="D3360" s="2414" t="s">
        <v>9942</v>
      </c>
    </row>
    <row r="3361" spans="1:4" ht="12.75" customHeight="1">
      <c r="A3361" s="2410" t="str">
        <f t="shared" si="62"/>
        <v>Betriebliche Finanzanlagen</v>
      </c>
      <c r="B3361" s="2410" t="s">
        <v>2347</v>
      </c>
      <c r="C3361" s="2410" t="s">
        <v>2069</v>
      </c>
      <c r="D3361" s="2414" t="s">
        <v>5778</v>
      </c>
    </row>
    <row r="3362" spans="1:4" ht="12.75" customHeight="1">
      <c r="A3362" s="2410" t="str">
        <f t="shared" si="62"/>
        <v>Ausgaben für Fremdkapital: Schuldzinsen, Spesen</v>
      </c>
      <c r="B3362" s="2410" t="s">
        <v>8065</v>
      </c>
      <c r="C3362" s="2410" t="s">
        <v>8066</v>
      </c>
      <c r="D3362" s="2414" t="s">
        <v>9943</v>
      </c>
    </row>
    <row r="3363" spans="1:4" ht="12.75" customHeight="1">
      <c r="A3363" s="2410" t="str">
        <f t="shared" si="62"/>
        <v>Private Kapitaleinlagen</v>
      </c>
      <c r="B3363" s="2410" t="s">
        <v>1670</v>
      </c>
      <c r="C3363" s="2410" t="s">
        <v>6324</v>
      </c>
      <c r="D3363" s="2414" t="s">
        <v>9944</v>
      </c>
    </row>
    <row r="3364" spans="1:4" ht="12.75" customHeight="1">
      <c r="A3364" s="2410" t="str">
        <f t="shared" si="62"/>
        <v>Private Kapitalrückzüge</v>
      </c>
      <c r="B3364" s="2410" t="s">
        <v>5534</v>
      </c>
      <c r="C3364" s="2410" t="s">
        <v>2071</v>
      </c>
      <c r="D3364" s="2414" t="s">
        <v>9945</v>
      </c>
    </row>
    <row r="3365" spans="1:4" ht="12.75" customHeight="1">
      <c r="A3365" s="2410" t="str">
        <f t="shared" si="62"/>
        <v>Betriebsfremdes langfristiges Fremdkapital</v>
      </c>
      <c r="B3365" s="2410" t="s">
        <v>6230</v>
      </c>
      <c r="C3365" s="2410" t="s">
        <v>3568</v>
      </c>
      <c r="D3365" s="2414" t="s">
        <v>9946</v>
      </c>
    </row>
    <row r="3366" spans="1:4" ht="12.75" customHeight="1">
      <c r="A3366" s="2410" t="str">
        <f t="shared" si="62"/>
        <v>Saldo Finanzierungsbereich</v>
      </c>
      <c r="B3366" s="2410" t="s">
        <v>5411</v>
      </c>
      <c r="C3366" s="2410" t="s">
        <v>1635</v>
      </c>
      <c r="D3366" s="2414" t="s">
        <v>9947</v>
      </c>
    </row>
    <row r="3367" spans="1:4" ht="12.75" customHeight="1">
      <c r="A3367" s="2410" t="str">
        <f t="shared" si="62"/>
        <v>Veränderung nettomonetäres Umlaufvermögen</v>
      </c>
      <c r="B3367" s="2410" t="s">
        <v>6225</v>
      </c>
      <c r="C3367" s="2410" t="s">
        <v>1324</v>
      </c>
      <c r="D3367" s="2414" t="s">
        <v>9948</v>
      </c>
    </row>
    <row r="3368" spans="1:4" ht="12.75" customHeight="1">
      <c r="A3368" s="2410" t="str">
        <f t="shared" si="62"/>
        <v>Nettomonetäres Umlaufvermögen</v>
      </c>
      <c r="B3368" s="2410" t="s">
        <v>3374</v>
      </c>
      <c r="C3368" s="2410" t="s">
        <v>1323</v>
      </c>
      <c r="D3368" s="2414" t="s">
        <v>8475</v>
      </c>
    </row>
    <row r="3369" spans="1:4" ht="12.75" customHeight="1">
      <c r="A3369" s="2410">
        <f t="shared" si="62"/>
        <v>0</v>
      </c>
      <c r="B3369" s="2410"/>
      <c r="C3369" s="2410"/>
      <c r="D3369" s="2414"/>
    </row>
    <row r="3370" spans="1:4" ht="24" customHeight="1">
      <c r="A3370" s="2410" t="str">
        <f t="shared" si="62"/>
        <v>Entwicklung von Cashflow vor Zinsen, Nettoinvestitionen, Nettofinanzierung und nettomonetärem Umlaufvermögen</v>
      </c>
      <c r="B3370" s="2410" t="s">
        <v>1624</v>
      </c>
      <c r="C3370" s="2410" t="s">
        <v>2110</v>
      </c>
      <c r="D3370" s="2414" t="s">
        <v>9949</v>
      </c>
    </row>
    <row r="3371" spans="1:4" ht="12.75" customHeight="1">
      <c r="A3371" s="2410" t="str">
        <f t="shared" si="62"/>
        <v>Cashflow vor Zinsen</v>
      </c>
      <c r="B3371" s="2410" t="s">
        <v>6231</v>
      </c>
      <c r="C3371" s="2410" t="s">
        <v>3640</v>
      </c>
      <c r="D3371" s="2414" t="s">
        <v>8457</v>
      </c>
    </row>
    <row r="3372" spans="1:4" ht="12.75" customHeight="1">
      <c r="A3372" s="2410" t="str">
        <f t="shared" si="62"/>
        <v>Nettoinvestitionen</v>
      </c>
      <c r="B3372" s="2410" t="s">
        <v>1625</v>
      </c>
      <c r="C3372" s="2410" t="s">
        <v>3641</v>
      </c>
      <c r="D3372" s="2414" t="s">
        <v>390</v>
      </c>
    </row>
    <row r="3373" spans="1:4" ht="12.75" customHeight="1">
      <c r="A3373" s="2410" t="str">
        <f t="shared" si="62"/>
        <v>Nettofinanzierung</v>
      </c>
      <c r="B3373" s="2410" t="s">
        <v>3639</v>
      </c>
      <c r="C3373" s="2410" t="s">
        <v>3642</v>
      </c>
      <c r="D3373" s="2414" t="s">
        <v>391</v>
      </c>
    </row>
    <row r="3374" spans="1:4" ht="12.75" customHeight="1">
      <c r="A3374" s="2410" t="str">
        <f t="shared" si="62"/>
        <v>Veränderung nettomonetäres Umlaufvermögen</v>
      </c>
      <c r="B3374" s="2410" t="s">
        <v>6225</v>
      </c>
      <c r="C3374" s="2410" t="s">
        <v>5507</v>
      </c>
      <c r="D3374" s="2414" t="s">
        <v>9948</v>
      </c>
    </row>
    <row r="3375" spans="1:4" ht="12.75" customHeight="1">
      <c r="A3375" s="2410" t="str">
        <f t="shared" si="62"/>
        <v>Bestand nettomonetäres Umlaufvermögen</v>
      </c>
      <c r="B3375" s="2410" t="s">
        <v>1626</v>
      </c>
      <c r="C3375" s="2410" t="s">
        <v>5984</v>
      </c>
      <c r="D3375" s="2414" t="s">
        <v>9950</v>
      </c>
    </row>
    <row r="3376" spans="1:4" ht="12.75" customHeight="1">
      <c r="A3376" s="2410">
        <f t="shared" si="62"/>
        <v>0</v>
      </c>
      <c r="B3376" s="2410"/>
      <c r="C3376" s="2410"/>
      <c r="D3376" s="2414"/>
    </row>
    <row r="3377" spans="1:4" ht="12.75" customHeight="1">
      <c r="A3377" s="2410" t="str">
        <f t="shared" si="62"/>
        <v>Einkommen aus Privat</v>
      </c>
      <c r="B3377" s="2410" t="s">
        <v>689</v>
      </c>
      <c r="C3377" s="2410" t="s">
        <v>6634</v>
      </c>
      <c r="D3377" s="2414" t="s">
        <v>3239</v>
      </c>
    </row>
    <row r="3378" spans="1:4" ht="12.75" customHeight="1">
      <c r="A3378" s="2410" t="str">
        <f t="shared" si="62"/>
        <v>Unselbständige Nebeneinkommen</v>
      </c>
      <c r="B3378" s="2410" t="s">
        <v>665</v>
      </c>
      <c r="C3378" s="2410" t="s">
        <v>307</v>
      </c>
      <c r="D3378" s="2414" t="s">
        <v>9951</v>
      </c>
    </row>
    <row r="3379" spans="1:4" ht="12.75" customHeight="1">
      <c r="A3379" s="2410" t="str">
        <f t="shared" si="62"/>
        <v>Art der Nebenbeschäftigung</v>
      </c>
      <c r="B3379" s="2410" t="s">
        <v>2384</v>
      </c>
      <c r="C3379" s="2410" t="s">
        <v>934</v>
      </c>
      <c r="D3379" s="2414" t="s">
        <v>6401</v>
      </c>
    </row>
    <row r="3380" spans="1:4" ht="12.75" customHeight="1">
      <c r="A3380" s="2410" t="str">
        <f t="shared" si="62"/>
        <v>Total</v>
      </c>
      <c r="B3380" s="2410" t="s">
        <v>4802</v>
      </c>
      <c r="C3380" s="2410" t="s">
        <v>4802</v>
      </c>
      <c r="D3380" s="2414" t="s">
        <v>8612</v>
      </c>
    </row>
    <row r="3381" spans="1:4" ht="12.75" customHeight="1">
      <c r="A3381" s="2410" t="str">
        <f t="shared" ref="A3381:A3454" si="63">IF($A$2=1,B3381,IF($A$2=2,C3381,IF($A$2=3,IF(D3381="",C3381,D3381),"")))</f>
        <v>Kinderzulagen</v>
      </c>
      <c r="B3381" s="2410" t="s">
        <v>666</v>
      </c>
      <c r="C3381" s="2410" t="s">
        <v>6786</v>
      </c>
      <c r="D3381" s="2414" t="s">
        <v>6402</v>
      </c>
    </row>
    <row r="3382" spans="1:4" ht="12.75" customHeight="1">
      <c r="A3382" s="2410" t="str">
        <f t="shared" si="63"/>
        <v>Personen</v>
      </c>
      <c r="B3382" s="2410" t="s">
        <v>667</v>
      </c>
      <c r="C3382" s="2410" t="s">
        <v>6635</v>
      </c>
      <c r="D3382" s="2414" t="s">
        <v>6403</v>
      </c>
    </row>
    <row r="3383" spans="1:4" ht="12.75" customHeight="1">
      <c r="A3383" s="2410" t="str">
        <f t="shared" si="63"/>
        <v>Kostgelder</v>
      </c>
      <c r="B3383" s="2410" t="s">
        <v>7228</v>
      </c>
      <c r="C3383" s="2410" t="s">
        <v>6636</v>
      </c>
      <c r="D3383" s="2414" t="s">
        <v>4005</v>
      </c>
    </row>
    <row r="3384" spans="1:4" ht="12.75" customHeight="1">
      <c r="A3384" s="2410" t="str">
        <f t="shared" si="63"/>
        <v>Ausgaben für Kostgänger</v>
      </c>
      <c r="B3384" s="2410" t="s">
        <v>4568</v>
      </c>
      <c r="C3384" s="2410" t="s">
        <v>6637</v>
      </c>
      <c r="D3384" s="2414" t="s">
        <v>9952</v>
      </c>
    </row>
    <row r="3385" spans="1:4" ht="12.75" customHeight="1">
      <c r="A3385" s="2410" t="str">
        <f t="shared" si="63"/>
        <v>Saldo</v>
      </c>
      <c r="B3385" s="2410" t="s">
        <v>4102</v>
      </c>
      <c r="C3385" s="2410" t="s">
        <v>1715</v>
      </c>
      <c r="D3385" s="2414" t="s">
        <v>4102</v>
      </c>
    </row>
    <row r="3386" spans="1:4" ht="12.75" customHeight="1">
      <c r="A3386" s="2410" t="str">
        <f t="shared" si="63"/>
        <v>Renten und Versicherungsleistungen</v>
      </c>
      <c r="B3386" s="2410" t="s">
        <v>4569</v>
      </c>
      <c r="C3386" s="2410" t="s">
        <v>2703</v>
      </c>
      <c r="D3386" s="2414" t="s">
        <v>9953</v>
      </c>
    </row>
    <row r="3387" spans="1:4" ht="12.75" customHeight="1">
      <c r="A3387" s="2410" t="str">
        <f t="shared" si="63"/>
        <v>Art</v>
      </c>
      <c r="B3387" s="2410" t="s">
        <v>3141</v>
      </c>
      <c r="C3387" s="2410" t="s">
        <v>3442</v>
      </c>
      <c r="D3387" s="2414" t="s">
        <v>9954</v>
      </c>
    </row>
    <row r="3388" spans="1:4" ht="12.75" customHeight="1">
      <c r="A3388" s="2410" t="str">
        <f t="shared" si="63"/>
        <v>Privatausgaben</v>
      </c>
      <c r="B3388" s="2410" t="s">
        <v>6197</v>
      </c>
      <c r="C3388" s="2410" t="s">
        <v>2903</v>
      </c>
      <c r="D3388" s="2414" t="s">
        <v>4006</v>
      </c>
    </row>
    <row r="3389" spans="1:4" ht="12.75" customHeight="1">
      <c r="A3389" s="2410" t="str">
        <f t="shared" si="63"/>
        <v>Personen</v>
      </c>
      <c r="B3389" s="2410" t="s">
        <v>667</v>
      </c>
      <c r="C3389" s="2410" t="s">
        <v>6635</v>
      </c>
      <c r="D3389" s="2414" t="s">
        <v>6403</v>
      </c>
    </row>
    <row r="3390" spans="1:4" ht="12.75" customHeight="1">
      <c r="A3390" s="2410" t="str">
        <f t="shared" si="63"/>
        <v>Jahrgang</v>
      </c>
      <c r="B3390" s="2410" t="s">
        <v>522</v>
      </c>
      <c r="C3390" s="2410" t="s">
        <v>7102</v>
      </c>
      <c r="D3390" s="2414" t="s">
        <v>7546</v>
      </c>
    </row>
    <row r="3391" spans="1:4" ht="12.75" customHeight="1">
      <c r="A3391" s="2410" t="str">
        <f t="shared" si="63"/>
        <v>VbE total</v>
      </c>
      <c r="B3391" s="2410" t="s">
        <v>8038</v>
      </c>
      <c r="C3391" s="2410" t="s">
        <v>2704</v>
      </c>
      <c r="D3391" s="2414" t="s">
        <v>9955</v>
      </c>
    </row>
    <row r="3392" spans="1:4" ht="12.75" customHeight="1">
      <c r="A3392" s="2410" t="str">
        <f t="shared" si="63"/>
        <v>Privatausgaben pro VbE</v>
      </c>
      <c r="B3392" s="2410" t="s">
        <v>8035</v>
      </c>
      <c r="C3392" s="2410" t="s">
        <v>8036</v>
      </c>
      <c r="D3392" s="2414" t="s">
        <v>9956</v>
      </c>
    </row>
    <row r="3393" spans="1:4" ht="12.75" customHeight="1">
      <c r="A3393" s="2410" t="str">
        <f t="shared" si="63"/>
        <v>Privatausgaben total</v>
      </c>
      <c r="B3393" s="2410" t="s">
        <v>8037</v>
      </c>
      <c r="C3393" s="2410" t="s">
        <v>7145</v>
      </c>
      <c r="D3393" s="2414" t="s">
        <v>9957</v>
      </c>
    </row>
    <row r="3394" spans="1:4" ht="12.75" customHeight="1">
      <c r="A3394" s="2410">
        <f t="shared" si="63"/>
        <v>0</v>
      </c>
      <c r="B3394" s="2410"/>
      <c r="C3394" s="2410"/>
      <c r="D3394" s="2414"/>
    </row>
    <row r="3395" spans="1:4" ht="12.75" customHeight="1">
      <c r="A3395" s="2410" t="str">
        <f t="shared" si="63"/>
        <v>Investitionen</v>
      </c>
      <c r="B3395" s="2410" t="s">
        <v>7434</v>
      </c>
      <c r="C3395" s="2410" t="s">
        <v>4972</v>
      </c>
      <c r="D3395" s="2414" t="s">
        <v>3241</v>
      </c>
    </row>
    <row r="3396" spans="1:4" ht="12.75" customHeight="1">
      <c r="A3396" s="2410" t="str">
        <f t="shared" si="63"/>
        <v xml:space="preserve">Beschreibung </v>
      </c>
      <c r="B3396" s="2410" t="s">
        <v>2575</v>
      </c>
      <c r="C3396" s="2410" t="s">
        <v>5193</v>
      </c>
      <c r="D3396" s="2414" t="s">
        <v>1144</v>
      </c>
    </row>
    <row r="3397" spans="1:4" ht="12.75" customHeight="1">
      <c r="A3397" s="2410" t="str">
        <f t="shared" si="63"/>
        <v>Maschinen, Geräte, Einrichtungen</v>
      </c>
      <c r="B3397" s="2410" t="s">
        <v>2387</v>
      </c>
      <c r="C3397" s="2410" t="s">
        <v>4973</v>
      </c>
      <c r="D3397" s="2414" t="s">
        <v>9958</v>
      </c>
    </row>
    <row r="3398" spans="1:4" ht="12.75" customHeight="1">
      <c r="A3398" s="2410" t="str">
        <f t="shared" si="63"/>
        <v>Ersatzinvestitionen gem. Mechanisierungsplan</v>
      </c>
      <c r="B3398" s="2410" t="s">
        <v>2388</v>
      </c>
      <c r="C3398" s="2410" t="s">
        <v>4974</v>
      </c>
      <c r="D3398" s="2414" t="s">
        <v>11245</v>
      </c>
    </row>
    <row r="3399" spans="1:4" ht="12.75" customHeight="1">
      <c r="A3399" s="2410" t="str">
        <f t="shared" si="63"/>
        <v>Ausgaben für Investitionen gem. Blatt "Projekte"</v>
      </c>
      <c r="B3399" s="2410" t="s">
        <v>2389</v>
      </c>
      <c r="C3399" s="2410" t="s">
        <v>2213</v>
      </c>
      <c r="D3399" s="2414" t="s">
        <v>9959</v>
      </c>
    </row>
    <row r="3400" spans="1:4" ht="12.75" customHeight="1">
      <c r="A3400" s="2410" t="str">
        <f t="shared" si="63"/>
        <v>Ökonomiegebäude, Wohnhaus</v>
      </c>
      <c r="B3400" s="2410" t="s">
        <v>2632</v>
      </c>
      <c r="C3400" s="2410" t="s">
        <v>2214</v>
      </c>
      <c r="D3400" s="2414" t="s">
        <v>9960</v>
      </c>
    </row>
    <row r="3401" spans="1:4" ht="12.75" customHeight="1">
      <c r="A3401" s="2410" t="str">
        <f t="shared" si="63"/>
        <v>Nebenaktivitäten, Privat</v>
      </c>
      <c r="B3401" s="2410" t="s">
        <v>2633</v>
      </c>
      <c r="C3401" s="2410" t="s">
        <v>3860</v>
      </c>
      <c r="D3401" s="2414" t="s">
        <v>9961</v>
      </c>
    </row>
    <row r="3402" spans="1:4" ht="12.75" customHeight="1">
      <c r="A3402" s="2410" t="str">
        <f t="shared" si="63"/>
        <v>Total Investitionen</v>
      </c>
      <c r="B3402" s="2410" t="s">
        <v>2634</v>
      </c>
      <c r="C3402" s="2410" t="s">
        <v>3861</v>
      </c>
      <c r="D3402" s="2414" t="s">
        <v>9962</v>
      </c>
    </row>
    <row r="3403" spans="1:4" ht="12.75" customHeight="1">
      <c r="A3403" s="2410" t="str">
        <f t="shared" si="63"/>
        <v>Desinvestitionen</v>
      </c>
      <c r="B3403" s="2410" t="s">
        <v>2635</v>
      </c>
      <c r="C3403" s="2410" t="s">
        <v>3067</v>
      </c>
      <c r="D3403" s="2414" t="s">
        <v>6863</v>
      </c>
    </row>
    <row r="3404" spans="1:4" ht="12.75" customHeight="1">
      <c r="A3404" s="2410" t="str">
        <f t="shared" si="63"/>
        <v xml:space="preserve">Beschreibung </v>
      </c>
      <c r="B3404" s="2410" t="s">
        <v>2575</v>
      </c>
      <c r="C3404" s="2410" t="s">
        <v>3068</v>
      </c>
      <c r="D3404" s="2414" t="s">
        <v>1144</v>
      </c>
    </row>
    <row r="3405" spans="1:4" ht="12.75" customHeight="1">
      <c r="A3405" s="2410" t="str">
        <f t="shared" si="63"/>
        <v>Desinvestitionen gemäss Blatt "Projekte"</v>
      </c>
      <c r="B3405" s="2410" t="s">
        <v>3066</v>
      </c>
      <c r="C3405" s="2410" t="s">
        <v>6279</v>
      </c>
      <c r="D3405" s="2414" t="s">
        <v>9963</v>
      </c>
    </row>
    <row r="3406" spans="1:4" ht="12.75" customHeight="1">
      <c r="A3406" s="2410" t="str">
        <f t="shared" si="63"/>
        <v>Total Desinvestitionen</v>
      </c>
      <c r="B3406" s="2410" t="s">
        <v>3028</v>
      </c>
      <c r="C3406" s="2410" t="s">
        <v>6280</v>
      </c>
      <c r="D3406" s="2414" t="s">
        <v>9964</v>
      </c>
    </row>
    <row r="3407" spans="1:4" ht="12.75" customHeight="1">
      <c r="A3407" s="2410">
        <f t="shared" si="63"/>
        <v>0</v>
      </c>
      <c r="B3407" s="2410"/>
      <c r="C3407" s="2410"/>
      <c r="D3407" s="2414"/>
    </row>
    <row r="3408" spans="1:4" ht="12.75" customHeight="1">
      <c r="A3408" s="2410" t="str">
        <f t="shared" si="63"/>
        <v>Kreditoren, Angaben in CHF</v>
      </c>
      <c r="B3408" s="2410" t="s">
        <v>7798</v>
      </c>
      <c r="C3408" s="2410" t="s">
        <v>7797</v>
      </c>
      <c r="D3408" s="2414" t="s">
        <v>9965</v>
      </c>
    </row>
    <row r="3409" spans="1:4" ht="12.75" customHeight="1">
      <c r="A3409" s="2410" t="str">
        <f t="shared" si="63"/>
        <v xml:space="preserve">Beschreibung </v>
      </c>
      <c r="B3409" s="2410" t="s">
        <v>2575</v>
      </c>
      <c r="C3409" s="2410" t="s">
        <v>5193</v>
      </c>
      <c r="D3409" s="2414" t="s">
        <v>1144</v>
      </c>
    </row>
    <row r="3410" spans="1:4" ht="12.75" customHeight="1">
      <c r="A3410" s="2410" t="str">
        <f t="shared" si="63"/>
        <v>Kreditoren, TP</v>
      </c>
      <c r="B3410" s="2410" t="s">
        <v>3030</v>
      </c>
      <c r="C3410" s="2410" t="s">
        <v>5162</v>
      </c>
      <c r="D3410" s="2414" t="s">
        <v>6864</v>
      </c>
    </row>
    <row r="3411" spans="1:4" ht="12.75" customHeight="1">
      <c r="A3411" s="2410" t="str">
        <f t="shared" si="63"/>
        <v>Bestand per 1.1.</v>
      </c>
      <c r="B3411" s="2410" t="s">
        <v>3031</v>
      </c>
      <c r="C3411" s="2410" t="s">
        <v>4330</v>
      </c>
      <c r="D3411" s="2414" t="s">
        <v>9966</v>
      </c>
    </row>
    <row r="3412" spans="1:4" ht="12.75" customHeight="1">
      <c r="A3412" s="2410" t="str">
        <f t="shared" si="63"/>
        <v>Zunahme</v>
      </c>
      <c r="B3412" s="2410" t="s">
        <v>3032</v>
      </c>
      <c r="C3412" s="2410" t="s">
        <v>3182</v>
      </c>
      <c r="D3412" s="2414" t="s">
        <v>6865</v>
      </c>
    </row>
    <row r="3413" spans="1:4" ht="12.75" customHeight="1">
      <c r="A3413" s="2410" t="str">
        <f t="shared" si="63"/>
        <v>Abnahme</v>
      </c>
      <c r="B3413" s="2410" t="s">
        <v>3033</v>
      </c>
      <c r="C3413" s="2410" t="s">
        <v>2861</v>
      </c>
      <c r="D3413" s="2414" t="s">
        <v>6858</v>
      </c>
    </row>
    <row r="3414" spans="1:4" ht="12.75" customHeight="1">
      <c r="A3414" s="2410" t="str">
        <f t="shared" si="63"/>
        <v>langfristiges Fremdkapital, Angaben in CHF</v>
      </c>
      <c r="B3414" s="2410" t="s">
        <v>7795</v>
      </c>
      <c r="C3414" s="2410" t="s">
        <v>7796</v>
      </c>
      <c r="D3414" s="2414" t="s">
        <v>9967</v>
      </c>
    </row>
    <row r="3415" spans="1:4" ht="12.75" customHeight="1">
      <c r="A3415" s="2410" t="str">
        <f t="shared" si="63"/>
        <v xml:space="preserve">Beschreibung </v>
      </c>
      <c r="B3415" s="2410" t="s">
        <v>2575</v>
      </c>
      <c r="C3415" s="2410" t="s">
        <v>5193</v>
      </c>
      <c r="D3415" s="2414" t="s">
        <v>1144</v>
      </c>
    </row>
    <row r="3416" spans="1:4" ht="12.75" customHeight="1">
      <c r="A3416" s="2410" t="str">
        <f t="shared" si="63"/>
        <v>Neuaufnahme oder Erhöhung:</v>
      </c>
      <c r="B3416" s="2410" t="s">
        <v>3034</v>
      </c>
      <c r="C3416" s="2410" t="s">
        <v>5130</v>
      </c>
      <c r="D3416" s="2414" t="s">
        <v>9968</v>
      </c>
    </row>
    <row r="3417" spans="1:4" ht="12.75" customHeight="1">
      <c r="A3417" s="2410" t="str">
        <f t="shared" si="63"/>
        <v>Tilgung ab:</v>
      </c>
      <c r="B3417" s="2410" t="s">
        <v>3035</v>
      </c>
      <c r="C3417" s="2410" t="s">
        <v>5131</v>
      </c>
      <c r="D3417" s="2414" t="s">
        <v>6859</v>
      </c>
    </row>
    <row r="3418" spans="1:4" ht="12.75" customHeight="1">
      <c r="A3418" s="2410" t="str">
        <f t="shared" si="63"/>
        <v>Zins ab:</v>
      </c>
      <c r="B3418" s="2410" t="s">
        <v>7094</v>
      </c>
      <c r="C3418" s="2410" t="s">
        <v>2817</v>
      </c>
      <c r="D3418" s="2414" t="s">
        <v>6860</v>
      </c>
    </row>
    <row r="3419" spans="1:4" ht="12.75" customHeight="1">
      <c r="A3419" s="2410" t="str">
        <f t="shared" si="63"/>
        <v>Bestand</v>
      </c>
      <c r="B3419" s="2410" t="s">
        <v>7095</v>
      </c>
      <c r="C3419" s="2410" t="s">
        <v>3814</v>
      </c>
      <c r="D3419" s="2414" t="s">
        <v>6861</v>
      </c>
    </row>
    <row r="3420" spans="1:4" ht="12.75" customHeight="1">
      <c r="A3420" s="2410" t="str">
        <f t="shared" si="63"/>
        <v>total</v>
      </c>
      <c r="B3420" s="2410" t="s">
        <v>4333</v>
      </c>
      <c r="C3420" s="2410" t="s">
        <v>4333</v>
      </c>
      <c r="D3420" s="2414" t="s">
        <v>8612</v>
      </c>
    </row>
    <row r="3421" spans="1:4" ht="12.75" customHeight="1">
      <c r="A3421" s="2410" t="str">
        <f t="shared" si="63"/>
        <v>Tilgung</v>
      </c>
      <c r="B3421" s="2410" t="s">
        <v>6453</v>
      </c>
      <c r="C3421" s="2410" t="s">
        <v>3815</v>
      </c>
      <c r="D3421" s="2414" t="s">
        <v>9969</v>
      </c>
    </row>
    <row r="3422" spans="1:4" ht="12.75" customHeight="1">
      <c r="A3422" s="2410" t="str">
        <f t="shared" si="63"/>
        <v>Zins</v>
      </c>
      <c r="B3422" s="2410" t="s">
        <v>6452</v>
      </c>
      <c r="C3422" s="2410" t="s">
        <v>4116</v>
      </c>
      <c r="D3422" s="2414" t="s">
        <v>9970</v>
      </c>
    </row>
    <row r="3423" spans="1:4" ht="12.75" customHeight="1">
      <c r="A3423" s="2410" t="str">
        <f t="shared" si="63"/>
        <v>Total</v>
      </c>
      <c r="B3423" s="2410" t="s">
        <v>4802</v>
      </c>
      <c r="C3423" s="2410" t="s">
        <v>4802</v>
      </c>
      <c r="D3423" s="2414" t="s">
        <v>8612</v>
      </c>
    </row>
    <row r="3424" spans="1:4" ht="12.75" customHeight="1">
      <c r="A3424" s="2410" t="str">
        <f t="shared" si="63"/>
        <v>Entwicklung des langfristigen Fremdkapitals</v>
      </c>
      <c r="B3424" s="2410" t="s">
        <v>4192</v>
      </c>
      <c r="C3424" s="2410" t="s">
        <v>4193</v>
      </c>
      <c r="D3424" s="2414" t="s">
        <v>9971</v>
      </c>
    </row>
    <row r="3425" spans="1:4" ht="12.75" customHeight="1">
      <c r="A3425" s="2410" t="str">
        <f t="shared" si="63"/>
        <v>Franken</v>
      </c>
      <c r="B3425" s="2410" t="s">
        <v>3816</v>
      </c>
      <c r="C3425" s="2410" t="s">
        <v>3817</v>
      </c>
      <c r="D3425" s="2414" t="s">
        <v>680</v>
      </c>
    </row>
    <row r="3426" spans="1:4" ht="12.75" customHeight="1">
      <c r="A3426" s="2410">
        <f t="shared" si="63"/>
        <v>0</v>
      </c>
      <c r="B3426" s="2410"/>
      <c r="C3426" s="2410"/>
      <c r="D3426" s="2414"/>
    </row>
    <row r="3427" spans="1:4" ht="12.75" customHeight="1">
      <c r="A3427" s="2410" t="str">
        <f t="shared" si="63"/>
        <v>Projekte: Investitionen und Finanzierung</v>
      </c>
      <c r="B3427" s="2410" t="s">
        <v>6299</v>
      </c>
      <c r="C3427" s="2410" t="s">
        <v>1720</v>
      </c>
      <c r="D3427" s="2414" t="s">
        <v>6862</v>
      </c>
    </row>
    <row r="3428" spans="1:4" ht="12.75" customHeight="1">
      <c r="A3428" s="2410" t="str">
        <f t="shared" si="63"/>
        <v>Investitionen - Mittelbedarf</v>
      </c>
      <c r="B3428" s="2410" t="s">
        <v>7801</v>
      </c>
      <c r="C3428" s="2410" t="s">
        <v>7802</v>
      </c>
      <c r="D3428" s="2414" t="s">
        <v>9972</v>
      </c>
    </row>
    <row r="3429" spans="1:4" ht="12.75" customHeight="1">
      <c r="A3429" s="2410" t="str">
        <f t="shared" si="63"/>
        <v>Beschreibung</v>
      </c>
      <c r="B3429" s="2410" t="s">
        <v>37</v>
      </c>
      <c r="C3429" s="2410" t="s">
        <v>1721</v>
      </c>
      <c r="D3429" s="2414" t="s">
        <v>1144</v>
      </c>
    </row>
    <row r="3430" spans="1:4" ht="12.75" customHeight="1">
      <c r="A3430" s="2410" t="str">
        <f t="shared" si="63"/>
        <v>CHF total</v>
      </c>
      <c r="B3430" s="2410" t="s">
        <v>7794</v>
      </c>
      <c r="C3430" s="2410" t="s">
        <v>7794</v>
      </c>
      <c r="D3430" s="2414" t="s">
        <v>9592</v>
      </c>
    </row>
    <row r="3431" spans="1:4" ht="12.75" customHeight="1">
      <c r="A3431" s="2410" t="str">
        <f t="shared" si="63"/>
        <v>Ertragswert (EW)</v>
      </c>
      <c r="B3431" s="2410" t="s">
        <v>7807</v>
      </c>
      <c r="C3431" s="2410" t="s">
        <v>7808</v>
      </c>
      <c r="D3431" s="2414" t="s">
        <v>9973</v>
      </c>
    </row>
    <row r="3432" spans="1:4" ht="12.75" customHeight="1">
      <c r="A3432" s="2410" t="str">
        <f t="shared" si="63"/>
        <v>in CHF</v>
      </c>
      <c r="B3432" s="2410" t="s">
        <v>7222</v>
      </c>
      <c r="C3432" s="2410" t="s">
        <v>7827</v>
      </c>
      <c r="D3432" s="2414" t="s">
        <v>9692</v>
      </c>
    </row>
    <row r="3433" spans="1:4" ht="12.75" customHeight="1">
      <c r="A3433" s="2410" t="str">
        <f t="shared" si="63"/>
        <v>Bisher</v>
      </c>
      <c r="B3433" s="2410" t="s">
        <v>7809</v>
      </c>
      <c r="C3433" s="2410" t="s">
        <v>1722</v>
      </c>
      <c r="D3433" s="2414" t="s">
        <v>9974</v>
      </c>
    </row>
    <row r="3434" spans="1:4" ht="12.75" customHeight="1">
      <c r="A3434" s="2410" t="str">
        <f t="shared" si="63"/>
        <v>Neu</v>
      </c>
      <c r="B3434" s="2410" t="s">
        <v>7810</v>
      </c>
      <c r="C3434" s="2410" t="s">
        <v>7811</v>
      </c>
      <c r="D3434" s="2414" t="s">
        <v>9975</v>
      </c>
    </row>
    <row r="3435" spans="1:4" ht="12.75" customHeight="1">
      <c r="A3435" s="2410" t="str">
        <f t="shared" si="63"/>
        <v>EW, landwirtschaftlich</v>
      </c>
      <c r="B3435" s="2410" t="s">
        <v>7812</v>
      </c>
      <c r="C3435" s="2410" t="s">
        <v>7813</v>
      </c>
      <c r="D3435" s="2414" t="s">
        <v>9976</v>
      </c>
    </row>
    <row r="3436" spans="1:4" ht="12.75" customHeight="1">
      <c r="A3436" s="2410" t="str">
        <f t="shared" si="63"/>
        <v>EW, nicht-landwirtsch.</v>
      </c>
      <c r="B3436" s="2410" t="s">
        <v>7814</v>
      </c>
      <c r="C3436" s="2410" t="s">
        <v>7815</v>
      </c>
      <c r="D3436" s="2414" t="s">
        <v>9977</v>
      </c>
    </row>
    <row r="3437" spans="1:4" ht="12.75" customHeight="1">
      <c r="A3437" s="2410" t="str">
        <f t="shared" si="63"/>
        <v>Nutzwert Zugehör</v>
      </c>
      <c r="B3437" s="2410" t="s">
        <v>7816</v>
      </c>
      <c r="C3437" s="2410" t="s">
        <v>7817</v>
      </c>
      <c r="D3437" s="2414" t="s">
        <v>9978</v>
      </c>
    </row>
    <row r="3438" spans="1:4" ht="12.75" customHeight="1">
      <c r="A3438" s="2410" t="str">
        <f t="shared" si="63"/>
        <v>EW total</v>
      </c>
      <c r="B3438" s="2410" t="s">
        <v>7818</v>
      </c>
      <c r="C3438" s="2410" t="s">
        <v>7819</v>
      </c>
      <c r="D3438" s="2414" t="s">
        <v>9979</v>
      </c>
    </row>
    <row r="3439" spans="1:4" ht="12.75" customHeight="1">
      <c r="A3439" s="2410" t="str">
        <f t="shared" si="63"/>
        <v>Belastungsgrenze (BG)</v>
      </c>
      <c r="B3439" s="2410" t="s">
        <v>7820</v>
      </c>
      <c r="C3439" s="2410" t="s">
        <v>7821</v>
      </c>
      <c r="D3439" s="2414" t="s">
        <v>9980</v>
      </c>
    </row>
    <row r="3440" spans="1:4" ht="12.75" customHeight="1">
      <c r="A3440" s="2410" t="str">
        <f t="shared" si="63"/>
        <v>in CHF</v>
      </c>
      <c r="B3440" s="2410" t="s">
        <v>7222</v>
      </c>
      <c r="C3440" s="2410" t="s">
        <v>7822</v>
      </c>
      <c r="D3440" s="2414" t="s">
        <v>9692</v>
      </c>
    </row>
    <row r="3441" spans="1:4" ht="12.75" customHeight="1">
      <c r="A3441" s="2410" t="str">
        <f t="shared" si="63"/>
        <v>Bisher</v>
      </c>
      <c r="B3441" s="2410" t="s">
        <v>7809</v>
      </c>
      <c r="C3441" s="2410" t="s">
        <v>1722</v>
      </c>
      <c r="D3441" s="2414" t="s">
        <v>9974</v>
      </c>
    </row>
    <row r="3442" spans="1:4" ht="12.75" customHeight="1">
      <c r="A3442" s="2410" t="str">
        <f t="shared" si="63"/>
        <v>Neu</v>
      </c>
      <c r="B3442" s="2410" t="s">
        <v>7810</v>
      </c>
      <c r="C3442" s="2410" t="s">
        <v>7811</v>
      </c>
      <c r="D3442" s="2414" t="s">
        <v>9975</v>
      </c>
    </row>
    <row r="3443" spans="1:4" ht="12.75" customHeight="1">
      <c r="A3443" s="2410" t="str">
        <f t="shared" si="63"/>
        <v>BG, landwirtschaftlich</v>
      </c>
      <c r="B3443" s="2410" t="s">
        <v>7829</v>
      </c>
      <c r="C3443" s="2410" t="s">
        <v>7823</v>
      </c>
      <c r="D3443" s="2414" t="s">
        <v>9981</v>
      </c>
    </row>
    <row r="3444" spans="1:4" ht="12.75" customHeight="1">
      <c r="A3444" s="2410" t="str">
        <f t="shared" si="63"/>
        <v xml:space="preserve">BG, nicht-landwirtsch. </v>
      </c>
      <c r="B3444" s="2410" t="s">
        <v>7828</v>
      </c>
      <c r="C3444" s="2410" t="s">
        <v>7824</v>
      </c>
      <c r="D3444" s="2414" t="s">
        <v>9982</v>
      </c>
    </row>
    <row r="3445" spans="1:4" ht="12.75" customHeight="1">
      <c r="A3445" s="2410" t="str">
        <f t="shared" si="63"/>
        <v>Nutzwert Zugehör</v>
      </c>
      <c r="B3445" s="2410" t="s">
        <v>7816</v>
      </c>
      <c r="C3445" s="2410" t="s">
        <v>7817</v>
      </c>
      <c r="D3445" s="2414" t="s">
        <v>9978</v>
      </c>
    </row>
    <row r="3446" spans="1:4" ht="12.75" customHeight="1">
      <c r="A3446" s="2410" t="str">
        <f t="shared" si="63"/>
        <v>BG total</v>
      </c>
      <c r="B3446" s="2410" t="s">
        <v>7825</v>
      </c>
      <c r="C3446" s="2410" t="s">
        <v>7826</v>
      </c>
      <c r="D3446" s="2414" t="s">
        <v>9983</v>
      </c>
    </row>
    <row r="3447" spans="1:4" ht="12.75" customHeight="1">
      <c r="A3447" s="2410" t="str">
        <f t="shared" si="63"/>
        <v>Mittelbedarf total, max. wie oberste Grenze für Projektkosten</v>
      </c>
      <c r="B3447" s="2410" t="s">
        <v>7799</v>
      </c>
      <c r="C3447" s="2410" t="s">
        <v>7803</v>
      </c>
      <c r="D3447" s="2414" t="s">
        <v>11246</v>
      </c>
    </row>
    <row r="3448" spans="1:4" ht="12.75" customHeight="1">
      <c r="A3448" s="2410" t="str">
        <f t="shared" si="63"/>
        <v>Finanzierung - Mittelbeschaffung</v>
      </c>
      <c r="B3448" s="2410" t="s">
        <v>7800</v>
      </c>
      <c r="C3448" s="2410" t="s">
        <v>7804</v>
      </c>
      <c r="D3448" s="2414" t="s">
        <v>9984</v>
      </c>
    </row>
    <row r="3449" spans="1:4" ht="12.75" customHeight="1">
      <c r="A3449" s="2410">
        <f t="shared" si="63"/>
        <v>0</v>
      </c>
      <c r="B3449" s="2410"/>
      <c r="C3449" s="2410"/>
      <c r="D3449" s="2414"/>
    </row>
    <row r="3450" spans="1:4" ht="12.75" customHeight="1">
      <c r="A3450" s="2410" t="str">
        <f t="shared" si="63"/>
        <v>Liquiditätsunwirksame Mittel</v>
      </c>
      <c r="B3450" s="2410" t="s">
        <v>3855</v>
      </c>
      <c r="C3450" s="2410" t="s">
        <v>2256</v>
      </c>
      <c r="D3450" s="2414" t="s">
        <v>4030</v>
      </c>
    </row>
    <row r="3451" spans="1:4" ht="12.75" customHeight="1">
      <c r="A3451" s="2410" t="str">
        <f t="shared" si="63"/>
        <v>Teil- /Vorbezug des Erbes</v>
      </c>
      <c r="B3451" s="2410" t="s">
        <v>3856</v>
      </c>
      <c r="C3451" s="2410" t="s">
        <v>7556</v>
      </c>
      <c r="D3451" s="2414" t="s">
        <v>9985</v>
      </c>
    </row>
    <row r="3452" spans="1:4" ht="12.75" customHeight="1">
      <c r="A3452" s="2410" t="str">
        <f t="shared" si="63"/>
        <v>Einräumung von Rechten</v>
      </c>
      <c r="B3452" s="2410" t="s">
        <v>3857</v>
      </c>
      <c r="C3452" s="2410" t="s">
        <v>7557</v>
      </c>
      <c r="D3452" s="2414" t="s">
        <v>9986</v>
      </c>
    </row>
    <row r="3453" spans="1:4" ht="12.75" customHeight="1">
      <c r="A3453" s="2410" t="str">
        <f t="shared" si="63"/>
        <v>Lohngutschrift</v>
      </c>
      <c r="B3453" s="2410" t="s">
        <v>4595</v>
      </c>
      <c r="C3453" s="2410" t="s">
        <v>2083</v>
      </c>
      <c r="D3453" s="2414" t="s">
        <v>9987</v>
      </c>
    </row>
    <row r="3454" spans="1:4" ht="12.75" customHeight="1">
      <c r="A3454" s="2410" t="str">
        <f t="shared" si="63"/>
        <v>Eigene Arbeit</v>
      </c>
      <c r="B3454" s="2410" t="s">
        <v>4596</v>
      </c>
      <c r="C3454" s="2410" t="s">
        <v>2084</v>
      </c>
      <c r="D3454" s="2414" t="s">
        <v>5200</v>
      </c>
    </row>
    <row r="3455" spans="1:4" ht="12.75" customHeight="1">
      <c r="A3455" s="2410" t="str">
        <f t="shared" ref="A3455:A3518" si="64">IF($A$2=1,B3455,IF($A$2=2,C3455,IF($A$2=3,IF(D3455="",C3455,D3455),"")))</f>
        <v>Eigenes Material</v>
      </c>
      <c r="B3455" s="2410" t="s">
        <v>4597</v>
      </c>
      <c r="C3455" s="2410" t="s">
        <v>2085</v>
      </c>
      <c r="D3455" s="2414" t="s">
        <v>5201</v>
      </c>
    </row>
    <row r="3456" spans="1:4" ht="12.75" customHeight="1">
      <c r="A3456" s="2410" t="str">
        <f t="shared" si="64"/>
        <v>Liquiditätswirksame Mittel</v>
      </c>
      <c r="B3456" s="2410" t="s">
        <v>1442</v>
      </c>
      <c r="C3456" s="2410" t="s">
        <v>2086</v>
      </c>
      <c r="D3456" s="2414" t="s">
        <v>9988</v>
      </c>
    </row>
    <row r="3457" spans="1:4" ht="12.75" customHeight="1">
      <c r="A3457" s="2410" t="str">
        <f t="shared" si="64"/>
        <v xml:space="preserve">Desinvestitionen </v>
      </c>
      <c r="B3457" s="2410" t="s">
        <v>5820</v>
      </c>
      <c r="C3457" s="2410" t="s">
        <v>3067</v>
      </c>
      <c r="D3457" s="2414" t="s">
        <v>6863</v>
      </c>
    </row>
    <row r="3458" spans="1:4" ht="12.75" customHeight="1">
      <c r="A3458" s="2410" t="str">
        <f t="shared" si="64"/>
        <v>Beiträge à fonds perdus: Bund, Kanton</v>
      </c>
      <c r="B3458" s="2410" t="s">
        <v>8095</v>
      </c>
      <c r="C3458" s="2410" t="s">
        <v>8097</v>
      </c>
      <c r="D3458" s="2414" t="s">
        <v>9989</v>
      </c>
    </row>
    <row r="3459" spans="1:4" ht="12.75" customHeight="1">
      <c r="A3459" s="2410" t="str">
        <f t="shared" si="64"/>
        <v>Beiträge à fonds perdus: Übrige</v>
      </c>
      <c r="B3459" s="2410" t="s">
        <v>8096</v>
      </c>
      <c r="C3459" s="2410" t="s">
        <v>8098</v>
      </c>
      <c r="D3459" s="2414" t="s">
        <v>9990</v>
      </c>
    </row>
    <row r="3460" spans="1:4" ht="12.75" customHeight="1">
      <c r="A3460" s="2410" t="str">
        <f t="shared" si="64"/>
        <v>Private Kapitaleinlagen</v>
      </c>
      <c r="B3460" s="2410" t="s">
        <v>1670</v>
      </c>
      <c r="C3460" s="2410" t="s">
        <v>6324</v>
      </c>
      <c r="D3460" s="2414" t="s">
        <v>9991</v>
      </c>
    </row>
    <row r="3461" spans="1:4" ht="12.75" customHeight="1">
      <c r="A3461" s="2410" t="str">
        <f t="shared" si="64"/>
        <v>Betriebsfremde Finanzanlagen</v>
      </c>
      <c r="B3461" s="2410" t="s">
        <v>4103</v>
      </c>
      <c r="C3461" s="2410" t="s">
        <v>3769</v>
      </c>
      <c r="D3461" s="2414" t="s">
        <v>9942</v>
      </c>
    </row>
    <row r="3462" spans="1:4" ht="12.75" customHeight="1">
      <c r="A3462" s="2410" t="str">
        <f t="shared" si="64"/>
        <v>Betriebliche Finanzanlagen</v>
      </c>
      <c r="B3462" s="2410" t="s">
        <v>2347</v>
      </c>
      <c r="C3462" s="2410" t="s">
        <v>2069</v>
      </c>
      <c r="D3462" s="2414" t="s">
        <v>9992</v>
      </c>
    </row>
    <row r="3463" spans="1:4" ht="12.75" customHeight="1">
      <c r="A3463" s="2410" t="str">
        <f t="shared" si="64"/>
        <v>Flüssige Mittel</v>
      </c>
      <c r="B3463" s="2410" t="s">
        <v>2348</v>
      </c>
      <c r="C3463" s="2410" t="s">
        <v>1199</v>
      </c>
      <c r="D3463" s="2414" t="s">
        <v>5202</v>
      </c>
    </row>
    <row r="3464" spans="1:4" ht="12.75" customHeight="1">
      <c r="A3464" s="2410" t="str">
        <f t="shared" si="64"/>
        <v>Investitionskredite</v>
      </c>
      <c r="B3464" s="2410" t="s">
        <v>2349</v>
      </c>
      <c r="C3464" s="2410" t="s">
        <v>5548</v>
      </c>
      <c r="D3464" s="2414" t="s">
        <v>5203</v>
      </c>
    </row>
    <row r="3465" spans="1:4" ht="12.75" customHeight="1">
      <c r="A3465" s="2410" t="str">
        <f t="shared" si="64"/>
        <v>Darlehen</v>
      </c>
      <c r="B3465" s="2410" t="s">
        <v>1556</v>
      </c>
      <c r="C3465" s="2410" t="s">
        <v>5549</v>
      </c>
      <c r="D3465" s="2414" t="s">
        <v>6549</v>
      </c>
    </row>
    <row r="3466" spans="1:4" ht="12.75" customHeight="1">
      <c r="A3466" s="2410" t="str">
        <f t="shared" si="64"/>
        <v>Hypotheken</v>
      </c>
      <c r="B3466" s="2410" t="s">
        <v>1557</v>
      </c>
      <c r="C3466" s="2410" t="s">
        <v>5550</v>
      </c>
      <c r="D3466" s="2414" t="s">
        <v>6550</v>
      </c>
    </row>
    <row r="3467" spans="1:4" ht="12.75" customHeight="1">
      <c r="A3467" s="2410" t="str">
        <f t="shared" si="64"/>
        <v xml:space="preserve">Mittelbeschaffung totale, Oberste Grenze für Projektkosten </v>
      </c>
      <c r="B3467" s="2410" t="s">
        <v>7805</v>
      </c>
      <c r="C3467" s="2410" t="s">
        <v>7806</v>
      </c>
      <c r="D3467" s="2414" t="s">
        <v>9993</v>
      </c>
    </row>
    <row r="3468" spans="1:4" ht="12.75" customHeight="1">
      <c r="A3468" s="2410" t="str">
        <f t="shared" si="64"/>
        <v>Daten in Erfolgs- und Mittelflussrechnung übertragen</v>
      </c>
      <c r="B3468" s="2410" t="s">
        <v>2845</v>
      </c>
      <c r="C3468" s="2410" t="s">
        <v>7287</v>
      </c>
      <c r="D3468" s="2414" t="s">
        <v>9994</v>
      </c>
    </row>
    <row r="3469" spans="1:4" ht="12.75" customHeight="1">
      <c r="A3469" s="2410" t="str">
        <f t="shared" si="64"/>
        <v>Aktion rückgängig machen</v>
      </c>
      <c r="B3469" s="2410" t="s">
        <v>7288</v>
      </c>
      <c r="C3469" s="2410" t="s">
        <v>7289</v>
      </c>
      <c r="D3469" s="2414" t="s">
        <v>9995</v>
      </c>
    </row>
    <row r="3470" spans="1:4" ht="12.75" customHeight="1">
      <c r="A3470" s="2410" t="str">
        <f t="shared" si="64"/>
        <v>Zins</v>
      </c>
      <c r="B3470" s="2410" t="s">
        <v>6452</v>
      </c>
      <c r="C3470" s="2410" t="s">
        <v>4116</v>
      </c>
      <c r="D3470" s="2414" t="s">
        <v>9970</v>
      </c>
    </row>
    <row r="3471" spans="1:4" ht="12.75" customHeight="1">
      <c r="A3471" s="2410" t="str">
        <f t="shared" si="64"/>
        <v>Tilgung</v>
      </c>
      <c r="B3471" s="2410" t="s">
        <v>6453</v>
      </c>
      <c r="C3471" s="2410" t="s">
        <v>7290</v>
      </c>
      <c r="D3471" s="2414" t="s">
        <v>9996</v>
      </c>
    </row>
    <row r="3472" spans="1:4" ht="12.75" customHeight="1">
      <c r="A3472" s="2410" t="str">
        <f t="shared" si="64"/>
        <v>Deckung der zusätzlichen Zins- und Tilgungsbelastung</v>
      </c>
      <c r="B3472" s="2410" t="s">
        <v>2823</v>
      </c>
      <c r="C3472" s="2410" t="s">
        <v>1337</v>
      </c>
      <c r="D3472" s="2414" t="s">
        <v>9997</v>
      </c>
    </row>
    <row r="3473" spans="1:4" ht="12.75" customHeight="1">
      <c r="A3473" s="2410" t="str">
        <f t="shared" si="64"/>
        <v xml:space="preserve">Jährlich verfügbares nettomonetäres Umlaufvermögen gemäss Finanzplan vor Projekt </v>
      </c>
      <c r="B3473" s="2410" t="s">
        <v>1663</v>
      </c>
      <c r="C3473" s="2410" t="s">
        <v>468</v>
      </c>
      <c r="D3473" s="2414" t="s">
        <v>9998</v>
      </c>
    </row>
    <row r="3474" spans="1:4" ht="12.75" customHeight="1">
      <c r="A3474" s="2410" t="str">
        <f t="shared" si="64"/>
        <v xml:space="preserve">Durchschnitt der Jahre </v>
      </c>
      <c r="B3474" s="2410" t="s">
        <v>1664</v>
      </c>
      <c r="C3474" s="2410" t="s">
        <v>469</v>
      </c>
      <c r="D3474" s="2414" t="s">
        <v>6551</v>
      </c>
    </row>
    <row r="3475" spans="1:4" ht="12.75" customHeight="1">
      <c r="A3475" s="2410" t="str">
        <f t="shared" si="64"/>
        <v>bis</v>
      </c>
      <c r="B3475" s="2410" t="s">
        <v>4605</v>
      </c>
      <c r="C3475" s="2410" t="s">
        <v>470</v>
      </c>
      <c r="D3475" s="2414" t="s">
        <v>4272</v>
      </c>
    </row>
    <row r="3476" spans="1:4" ht="12.75" customHeight="1">
      <c r="A3476" s="2410" t="str">
        <f t="shared" si="64"/>
        <v>Total zusätzliche Belastung mit Zinsen und Tilgungen</v>
      </c>
      <c r="B3476" s="2410" t="s">
        <v>4606</v>
      </c>
      <c r="C3476" s="2410" t="s">
        <v>471</v>
      </c>
      <c r="D3476" s="2414" t="s">
        <v>9999</v>
      </c>
    </row>
    <row r="3477" spans="1:4" ht="12.75" customHeight="1">
      <c r="A3477" s="2410" t="str">
        <f t="shared" si="64"/>
        <v>Reserve oder Manko</v>
      </c>
      <c r="B3477" s="2410" t="s">
        <v>4607</v>
      </c>
      <c r="C3477" s="2410" t="s">
        <v>4358</v>
      </c>
      <c r="D3477" s="2414" t="s">
        <v>10000</v>
      </c>
    </row>
    <row r="3478" spans="1:4" ht="12.75" customHeight="1">
      <c r="A3478" s="2410" t="str">
        <f t="shared" si="64"/>
        <v>Gemeinschaft: Deckung der zusätzlichen Zins- und Tilgungsbelastung</v>
      </c>
      <c r="B3478" s="2410" t="s">
        <v>3469</v>
      </c>
      <c r="C3478" s="2410" t="s">
        <v>2059</v>
      </c>
      <c r="D3478" s="2414" t="s">
        <v>10001</v>
      </c>
    </row>
    <row r="3479" spans="1:4" ht="12.75" customHeight="1">
      <c r="A3479" s="2410" t="str">
        <f t="shared" si="64"/>
        <v>Resultat ist nur interpretierbar, wenn die Blätter der Partner vollständig ausgefüllt sind!</v>
      </c>
      <c r="B3479" s="2410" t="s">
        <v>474</v>
      </c>
      <c r="C3479" s="2410" t="s">
        <v>7830</v>
      </c>
      <c r="D3479" s="2414" t="s">
        <v>10002</v>
      </c>
    </row>
    <row r="3480" spans="1:4" ht="12.75" customHeight="1">
      <c r="A3480" s="2410" t="str">
        <f t="shared" si="64"/>
        <v>Verfügbares nettomonetäres Umlaufvermögen gemäss Abrechnungen der Partner</v>
      </c>
      <c r="B3480" s="2410" t="s">
        <v>538</v>
      </c>
      <c r="C3480" s="2410" t="s">
        <v>5499</v>
      </c>
      <c r="D3480" s="2414" t="s">
        <v>10003</v>
      </c>
    </row>
    <row r="3481" spans="1:4" ht="12.75" customHeight="1">
      <c r="A3481" s="2410" t="str">
        <f t="shared" si="64"/>
        <v xml:space="preserve">Verfügbar von </v>
      </c>
      <c r="B3481" s="2410" t="s">
        <v>4359</v>
      </c>
      <c r="C3481" s="2410" t="s">
        <v>6657</v>
      </c>
      <c r="D3481" s="2414" t="s">
        <v>10004</v>
      </c>
    </row>
    <row r="3482" spans="1:4" ht="12.75" customHeight="1">
      <c r="A3482" s="2410" t="str">
        <f t="shared" si="64"/>
        <v>Verfügbar von allen Partnern der Gemeinschaft</v>
      </c>
      <c r="B3482" s="2410" t="s">
        <v>6127</v>
      </c>
      <c r="C3482" s="2410" t="s">
        <v>7270</v>
      </c>
      <c r="D3482" s="2414" t="s">
        <v>10005</v>
      </c>
    </row>
    <row r="3483" spans="1:4" ht="12.75" customHeight="1">
      <c r="A3483" s="2410" t="str">
        <f t="shared" si="64"/>
        <v>Total zusätzliche Belastung mit Zinsen und Tilgungen</v>
      </c>
      <c r="B3483" s="2410" t="s">
        <v>4606</v>
      </c>
      <c r="C3483" s="2410" t="s">
        <v>471</v>
      </c>
      <c r="D3483" s="2414" t="s">
        <v>9999</v>
      </c>
    </row>
    <row r="3484" spans="1:4" ht="12.75" customHeight="1">
      <c r="A3484" s="2410" t="str">
        <f t="shared" si="64"/>
        <v>Reserve oder Manko</v>
      </c>
      <c r="B3484" s="2410" t="s">
        <v>4607</v>
      </c>
      <c r="C3484" s="2410" t="s">
        <v>4358</v>
      </c>
      <c r="D3484" s="2414" t="s">
        <v>10000</v>
      </c>
    </row>
    <row r="3485" spans="1:4" ht="12.75" customHeight="1">
      <c r="A3485" s="2410">
        <f t="shared" si="64"/>
        <v>0</v>
      </c>
      <c r="B3485" s="2410"/>
      <c r="C3485" s="2410"/>
      <c r="D3485" s="2414"/>
    </row>
    <row r="3486" spans="1:4" ht="12.75" customHeight="1">
      <c r="A3486" s="2410" t="str">
        <f t="shared" si="64"/>
        <v>Aufteilung des nettomonetären Umlaufvermögens im 1. Jahr</v>
      </c>
      <c r="B3486" s="2410" t="s">
        <v>4000</v>
      </c>
      <c r="C3486" s="2410" t="s">
        <v>5420</v>
      </c>
      <c r="D3486" s="2414" t="s">
        <v>11247</v>
      </c>
    </row>
    <row r="3487" spans="1:4" ht="12.75" customHeight="1">
      <c r="A3487" s="2410" t="str">
        <f t="shared" si="64"/>
        <v>Jahre</v>
      </c>
      <c r="B3487" s="2410" t="s">
        <v>3516</v>
      </c>
      <c r="C3487" s="2410" t="s">
        <v>5421</v>
      </c>
      <c r="D3487" s="2414" t="s">
        <v>7123</v>
      </c>
    </row>
    <row r="3488" spans="1:4" ht="12.75" customHeight="1">
      <c r="A3488" s="2410" t="str">
        <f t="shared" si="64"/>
        <v>Mittelfluss vor Bezügen und Zinsen</v>
      </c>
      <c r="B3488" s="2410" t="s">
        <v>4817</v>
      </c>
      <c r="C3488" s="2410" t="s">
        <v>7021</v>
      </c>
      <c r="D3488" s="2414" t="s">
        <v>10006</v>
      </c>
    </row>
    <row r="3489" spans="1:4" ht="12.75" customHeight="1">
      <c r="A3489" s="2410" t="str">
        <f t="shared" si="64"/>
        <v>Ersatzinvestitionen</v>
      </c>
      <c r="B3489" s="2410" t="s">
        <v>1245</v>
      </c>
      <c r="C3489" s="2410" t="s">
        <v>4327</v>
      </c>
      <c r="D3489" s="2414" t="s">
        <v>11248</v>
      </c>
    </row>
    <row r="3490" spans="1:4" ht="12.75" customHeight="1">
      <c r="A3490" s="2410" t="str">
        <f t="shared" si="64"/>
        <v>Schuldentilgung der Gemeinschaft</v>
      </c>
      <c r="B3490" s="2410" t="s">
        <v>4223</v>
      </c>
      <c r="C3490" s="2410" t="s">
        <v>4010</v>
      </c>
      <c r="D3490" s="2424" t="s">
        <v>10007</v>
      </c>
    </row>
    <row r="3491" spans="1:4" ht="12.75" customHeight="1">
      <c r="A3491" s="2410" t="str">
        <f t="shared" si="64"/>
        <v>Ausgaben für Fremdkapital der Gemeinschaft</v>
      </c>
      <c r="B3491" s="2410" t="s">
        <v>4224</v>
      </c>
      <c r="C3491" s="2410" t="s">
        <v>3976</v>
      </c>
      <c r="D3491" s="2424" t="s">
        <v>10008</v>
      </c>
    </row>
    <row r="3492" spans="1:4" ht="12.75" customHeight="1">
      <c r="A3492" s="2410" t="str">
        <f t="shared" si="64"/>
        <v>Bezugsansprüche der Partner *)</v>
      </c>
      <c r="B3492" s="2410" t="s">
        <v>5712</v>
      </c>
      <c r="C3492" s="2410" t="s">
        <v>5713</v>
      </c>
      <c r="D3492" s="2414" t="s">
        <v>10009</v>
      </c>
    </row>
    <row r="3493" spans="1:4" ht="12.75" customHeight="1">
      <c r="A3493" s="2410" t="str">
        <f t="shared" si="64"/>
        <v>Nicht bezogene (+) / zusätzlich bezogene (-)  Mittel</v>
      </c>
      <c r="B3493" s="2410" t="s">
        <v>4391</v>
      </c>
      <c r="C3493" s="2410" t="s">
        <v>5452</v>
      </c>
      <c r="D3493" s="2414" t="s">
        <v>9932</v>
      </c>
    </row>
    <row r="3494" spans="1:4" ht="12.75" customHeight="1">
      <c r="A3494" s="2410" t="str">
        <f t="shared" si="64"/>
        <v>Nettomonetäres Umlaufvermögen zur Verteilung</v>
      </c>
      <c r="B3494" s="2410" t="s">
        <v>5329</v>
      </c>
      <c r="C3494" s="2410" t="s">
        <v>5366</v>
      </c>
      <c r="D3494" s="2414" t="s">
        <v>10010</v>
      </c>
    </row>
    <row r="3495" spans="1:4" ht="12.75" customHeight="1">
      <c r="A3495" s="2410" t="str">
        <f t="shared" si="64"/>
        <v>Zinsanspruch Eigenkapital</v>
      </c>
      <c r="B3495" s="2410" t="s">
        <v>5676</v>
      </c>
      <c r="C3495" s="2410" t="s">
        <v>673</v>
      </c>
      <c r="D3495" s="2414" t="s">
        <v>8469</v>
      </c>
    </row>
    <row r="3496" spans="1:4" ht="12.75" customHeight="1">
      <c r="A3496" s="2410" t="str">
        <f t="shared" si="64"/>
        <v>Betrag zur Verteilung nach Arbeit</v>
      </c>
      <c r="B3496" s="2410" t="s">
        <v>1246</v>
      </c>
      <c r="C3496" s="2410" t="s">
        <v>4011</v>
      </c>
      <c r="D3496" s="2414" t="s">
        <v>10011</v>
      </c>
    </row>
    <row r="3497" spans="1:4" ht="12.75" customHeight="1">
      <c r="A3497" s="2410" t="str">
        <f t="shared" si="64"/>
        <v>*) gemäss Finanzplan</v>
      </c>
      <c r="B3497" s="2410" t="s">
        <v>5714</v>
      </c>
      <c r="C3497" s="2410" t="s">
        <v>5715</v>
      </c>
      <c r="D3497" s="2414" t="s">
        <v>10012</v>
      </c>
    </row>
    <row r="3498" spans="1:4" ht="12.75" customHeight="1">
      <c r="A3498" s="2410" t="str">
        <f t="shared" si="64"/>
        <v>Arbeit</v>
      </c>
      <c r="B3498" s="2410" t="s">
        <v>1247</v>
      </c>
      <c r="C3498" s="2410" t="s">
        <v>5433</v>
      </c>
      <c r="D3498" s="2414" t="s">
        <v>6774</v>
      </c>
    </row>
    <row r="3499" spans="1:4" ht="12.75" customHeight="1">
      <c r="A3499" s="2410" t="str">
        <f t="shared" si="64"/>
        <v>Anzahl geleisteter Arbeitstage</v>
      </c>
      <c r="B3499" s="2410" t="s">
        <v>3547</v>
      </c>
      <c r="C3499" s="2410" t="s">
        <v>7296</v>
      </c>
      <c r="D3499" s="2414" t="s">
        <v>10013</v>
      </c>
    </row>
    <row r="3500" spans="1:4" ht="12.75" customHeight="1">
      <c r="A3500" s="2410" t="str">
        <f t="shared" si="64"/>
        <v>Anteil je Partner in %</v>
      </c>
      <c r="B3500" s="2410" t="s">
        <v>3548</v>
      </c>
      <c r="C3500" s="2410" t="s">
        <v>7297</v>
      </c>
      <c r="D3500" s="2414" t="s">
        <v>10014</v>
      </c>
    </row>
    <row r="3501" spans="1:4" ht="12.75" customHeight="1">
      <c r="A3501" s="2410" t="str">
        <f t="shared" si="64"/>
        <v>Abrechnung je Partner</v>
      </c>
      <c r="B3501" s="2410" t="s">
        <v>3549</v>
      </c>
      <c r="C3501" s="2410" t="s">
        <v>2528</v>
      </c>
      <c r="D3501" s="2414" t="s">
        <v>10015</v>
      </c>
    </row>
    <row r="3502" spans="1:4" ht="12.75" customHeight="1">
      <c r="A3502" s="2410" t="str">
        <f t="shared" si="64"/>
        <v>Zinsanspruch Eigenkapital</v>
      </c>
      <c r="B3502" s="2410" t="s">
        <v>5676</v>
      </c>
      <c r="C3502" s="2410" t="s">
        <v>673</v>
      </c>
      <c r="D3502" s="2414" t="s">
        <v>8469</v>
      </c>
    </row>
    <row r="3503" spans="1:4" ht="12.75" customHeight="1">
      <c r="A3503" s="2410" t="str">
        <f t="shared" si="64"/>
        <v>Betrag nach Arbeit</v>
      </c>
      <c r="B3503" s="2410" t="s">
        <v>3550</v>
      </c>
      <c r="C3503" s="2410" t="s">
        <v>2529</v>
      </c>
      <c r="D3503" s="2414" t="s">
        <v>10011</v>
      </c>
    </row>
    <row r="3504" spans="1:4" ht="12.75" customHeight="1">
      <c r="A3504" s="2410" t="str">
        <f t="shared" si="64"/>
        <v>Total Bezüge</v>
      </c>
      <c r="B3504" s="2410" t="s">
        <v>3551</v>
      </c>
      <c r="C3504" s="2410" t="s">
        <v>6494</v>
      </c>
      <c r="D3504" s="2414" t="s">
        <v>10016</v>
      </c>
    </row>
    <row r="3505" spans="1:4" ht="12.75" customHeight="1">
      <c r="A3505" s="2410" t="str">
        <f t="shared" si="64"/>
        <v>Total Bezug für Arbeit und Kapital</v>
      </c>
      <c r="B3505" s="2410" t="s">
        <v>3552</v>
      </c>
      <c r="C3505" s="2410" t="s">
        <v>6495</v>
      </c>
      <c r="D3505" s="2414" t="s">
        <v>10017</v>
      </c>
    </row>
    <row r="3506" spans="1:4" ht="12.75" customHeight="1">
      <c r="A3506" s="2410" t="str">
        <f t="shared" si="64"/>
        <v>Privatbezüge und Entschädigungen im 1. Jahr</v>
      </c>
      <c r="B3506" s="2410" t="s">
        <v>97</v>
      </c>
      <c r="C3506" s="2410" t="s">
        <v>6478</v>
      </c>
      <c r="D3506" s="2414" t="s">
        <v>11249</v>
      </c>
    </row>
    <row r="3507" spans="1:4" ht="12.75" customHeight="1">
      <c r="A3507" s="2410" t="str">
        <f t="shared" si="64"/>
        <v>Bezug je Partner</v>
      </c>
      <c r="B3507" s="2410" t="s">
        <v>98</v>
      </c>
      <c r="C3507" s="2410" t="s">
        <v>6479</v>
      </c>
      <c r="D3507" s="2414" t="s">
        <v>10018</v>
      </c>
    </row>
    <row r="3508" spans="1:4" ht="12.75" customHeight="1">
      <c r="A3508" s="2410" t="str">
        <f t="shared" si="64"/>
        <v>Entschädigung Landgut u. Produktionsrechte</v>
      </c>
      <c r="B3508" s="2410" t="s">
        <v>2690</v>
      </c>
      <c r="C3508" s="2410" t="s">
        <v>7278</v>
      </c>
      <c r="D3508" s="2414" t="s">
        <v>10019</v>
      </c>
    </row>
    <row r="3509" spans="1:4" ht="12.75" customHeight="1">
      <c r="A3509" s="2410" t="str">
        <f t="shared" si="64"/>
        <v>Total je Partner</v>
      </c>
      <c r="B3509" s="2410" t="s">
        <v>2691</v>
      </c>
      <c r="C3509" s="2410" t="s">
        <v>1886</v>
      </c>
      <c r="D3509" s="2414" t="s">
        <v>10020</v>
      </c>
    </row>
    <row r="3510" spans="1:4" ht="12.75" customHeight="1">
      <c r="A3510" s="2410" t="str">
        <f t="shared" si="64"/>
        <v>Total Bezüge und Entschädigungen</v>
      </c>
      <c r="B3510" s="2410" t="s">
        <v>2159</v>
      </c>
      <c r="C3510" s="2410" t="s">
        <v>5905</v>
      </c>
      <c r="D3510" s="2414" t="s">
        <v>10021</v>
      </c>
    </row>
    <row r="3511" spans="1:4" ht="12.75" customHeight="1">
      <c r="A3511" s="2410" t="str">
        <f t="shared" si="64"/>
        <v>Entwicklung der Bezüge über 5 Jahre</v>
      </c>
      <c r="B3511" s="2410" t="s">
        <v>2098</v>
      </c>
      <c r="C3511" s="2410" t="s">
        <v>2456</v>
      </c>
      <c r="D3511" s="2414" t="s">
        <v>10022</v>
      </c>
    </row>
    <row r="3512" spans="1:4" ht="12.75" customHeight="1">
      <c r="A3512" s="2410" t="str">
        <f t="shared" si="64"/>
        <v>Bezüge je Partner im 1. Jahr (siehe Punkt 1)</v>
      </c>
      <c r="B3512" s="2410" t="s">
        <v>819</v>
      </c>
      <c r="C3512" s="2410" t="s">
        <v>6599</v>
      </c>
      <c r="D3512" s="2414" t="s">
        <v>10023</v>
      </c>
    </row>
    <row r="3513" spans="1:4" ht="12.75" customHeight="1">
      <c r="A3513" s="2410" t="str">
        <f t="shared" si="64"/>
        <v>Bezüge je Partner im 5. Jahr</v>
      </c>
      <c r="B3513" s="2410" t="s">
        <v>820</v>
      </c>
      <c r="C3513" s="2410" t="s">
        <v>6477</v>
      </c>
      <c r="D3513" s="2414" t="s">
        <v>10024</v>
      </c>
    </row>
    <row r="3514" spans="1:4" ht="12.75" customHeight="1">
      <c r="A3514" s="2410" t="str">
        <f t="shared" si="64"/>
        <v>Bezüge total im 5. Jahr</v>
      </c>
      <c r="B3514" s="2410" t="s">
        <v>821</v>
      </c>
      <c r="C3514" s="2410" t="s">
        <v>3845</v>
      </c>
      <c r="D3514" s="2414" t="s">
        <v>10025</v>
      </c>
    </row>
    <row r="3515" spans="1:4" ht="12.75" customHeight="1">
      <c r="A3515" s="2410" t="str">
        <f t="shared" si="64"/>
        <v>Aufteilung des Einkommens im 1. Jahr</v>
      </c>
      <c r="B3515" s="2410" t="s">
        <v>4849</v>
      </c>
      <c r="C3515" s="2410" t="s">
        <v>1794</v>
      </c>
      <c r="D3515" s="2414" t="s">
        <v>10026</v>
      </c>
    </row>
    <row r="3516" spans="1:4" ht="12.75" customHeight="1">
      <c r="A3516" s="2410" t="str">
        <f t="shared" si="64"/>
        <v>Anzahl geleisteter Arbeitstage</v>
      </c>
      <c r="B3516" s="2410" t="s">
        <v>3547</v>
      </c>
      <c r="C3516" s="2410" t="s">
        <v>7296</v>
      </c>
      <c r="D3516" s="2414" t="s">
        <v>10013</v>
      </c>
    </row>
    <row r="3517" spans="1:4" ht="12.75" customHeight="1">
      <c r="A3517" s="2410" t="str">
        <f t="shared" si="64"/>
        <v>Anteil je Partner in %</v>
      </c>
      <c r="B3517" s="2410" t="s">
        <v>3548</v>
      </c>
      <c r="C3517" s="2410" t="s">
        <v>7297</v>
      </c>
      <c r="D3517" s="2414" t="s">
        <v>10014</v>
      </c>
    </row>
    <row r="3518" spans="1:4" ht="12.75" customHeight="1">
      <c r="A3518" s="2410" t="str">
        <f t="shared" si="64"/>
        <v>Einkommen der Gemeinschaft</v>
      </c>
      <c r="B3518" s="2410" t="s">
        <v>8115</v>
      </c>
      <c r="C3518" s="2410" t="s">
        <v>8116</v>
      </c>
      <c r="D3518" s="2414" t="s">
        <v>8117</v>
      </c>
    </row>
    <row r="3519" spans="1:4" ht="12.75" customHeight="1">
      <c r="A3519" s="2410" t="str">
        <f t="shared" ref="A3519:A3590" si="65">IF($A$2=1,B3519,IF($A$2=2,C3519,IF($A$2=3,IF(D3519="",C3519,D3519),"")))</f>
        <v>Zinsanspruch Eigenkapital</v>
      </c>
      <c r="B3519" s="2410" t="s">
        <v>5676</v>
      </c>
      <c r="C3519" s="2410" t="s">
        <v>673</v>
      </c>
      <c r="D3519" s="2414" t="s">
        <v>8469</v>
      </c>
    </row>
    <row r="3520" spans="1:4" ht="12.75" customHeight="1">
      <c r="A3520" s="2410" t="str">
        <f t="shared" si="65"/>
        <v>Arbeitsverdienst Gemeinschaft</v>
      </c>
      <c r="B3520" s="2410" t="s">
        <v>5677</v>
      </c>
      <c r="C3520" s="2410" t="s">
        <v>3352</v>
      </c>
      <c r="D3520" s="2414" t="s">
        <v>410</v>
      </c>
    </row>
    <row r="3521" spans="1:4" ht="12.75" customHeight="1">
      <c r="A3521" s="2410" t="str">
        <f t="shared" si="65"/>
        <v>Arbeitsverdienst je Partner</v>
      </c>
      <c r="B3521" s="2410" t="s">
        <v>3339</v>
      </c>
      <c r="C3521" s="2410" t="s">
        <v>1795</v>
      </c>
      <c r="D3521" s="2414" t="s">
        <v>6965</v>
      </c>
    </row>
    <row r="3522" spans="1:4" ht="12.75" customHeight="1">
      <c r="A3522" s="2410" t="str">
        <f t="shared" si="65"/>
        <v>Einkommen je Partner</v>
      </c>
      <c r="B3522" s="2410" t="s">
        <v>3340</v>
      </c>
      <c r="C3522" s="2410" t="s">
        <v>1796</v>
      </c>
      <c r="D3522" s="2414" t="s">
        <v>6966</v>
      </c>
    </row>
    <row r="3523" spans="1:4" ht="12.75" customHeight="1">
      <c r="A3523" s="2410">
        <f t="shared" si="65"/>
        <v>0</v>
      </c>
      <c r="B3523" s="2410"/>
      <c r="C3523" s="2410"/>
      <c r="D3523" s="2414"/>
    </row>
    <row r="3524" spans="1:4" ht="12.75" customHeight="1">
      <c r="A3524" s="2410" t="str">
        <f t="shared" si="65"/>
        <v>Einnahmen aus der Gemeinschaft</v>
      </c>
      <c r="B3524" s="2410" t="s">
        <v>5880</v>
      </c>
      <c r="C3524" s="2410" t="s">
        <v>7532</v>
      </c>
      <c r="D3524" s="2414" t="s">
        <v>10027</v>
      </c>
    </row>
    <row r="3525" spans="1:4" ht="12.75" customHeight="1">
      <c r="A3525" s="2410" t="str">
        <f t="shared" si="65"/>
        <v>Zinsanspruch Eigenkapital</v>
      </c>
      <c r="B3525" s="2410" t="s">
        <v>5676</v>
      </c>
      <c r="C3525" s="2410" t="s">
        <v>673</v>
      </c>
      <c r="D3525" s="2414" t="s">
        <v>8469</v>
      </c>
    </row>
    <row r="3526" spans="1:4" ht="12.75" customHeight="1">
      <c r="A3526" s="2410" t="str">
        <f t="shared" si="65"/>
        <v>Betrag nach Arbeit</v>
      </c>
      <c r="B3526" s="2410" t="s">
        <v>3550</v>
      </c>
      <c r="C3526" s="2410" t="s">
        <v>1473</v>
      </c>
      <c r="D3526" s="2414" t="s">
        <v>10011</v>
      </c>
    </row>
    <row r="3527" spans="1:4" ht="12.75" customHeight="1">
      <c r="A3527" s="2410" t="str">
        <f t="shared" si="65"/>
        <v>Entschädigung Landgut u. Produktionsrechte</v>
      </c>
      <c r="B3527" s="2410" t="s">
        <v>2690</v>
      </c>
      <c r="C3527" s="2410" t="s">
        <v>7278</v>
      </c>
      <c r="D3527" s="2414" t="s">
        <v>10019</v>
      </c>
    </row>
    <row r="3528" spans="1:4" ht="12.75" customHeight="1">
      <c r="A3528" s="2410" t="str">
        <f t="shared" si="65"/>
        <v>Total Bezüge und Entschädigungen</v>
      </c>
      <c r="B3528" s="2410" t="s">
        <v>2159</v>
      </c>
      <c r="C3528" s="2410" t="s">
        <v>3617</v>
      </c>
      <c r="D3528" s="2414" t="s">
        <v>10021</v>
      </c>
    </row>
    <row r="3529" spans="1:4" ht="12.75" customHeight="1">
      <c r="A3529" s="2410" t="str">
        <f t="shared" si="65"/>
        <v>Ausgaben als Eigentümer</v>
      </c>
      <c r="B3529" s="2410" t="s">
        <v>5881</v>
      </c>
      <c r="C3529" s="2410" t="s">
        <v>3618</v>
      </c>
      <c r="D3529" s="2414" t="s">
        <v>10028</v>
      </c>
    </row>
    <row r="3530" spans="1:4" ht="12.75" customHeight="1">
      <c r="A3530" s="2410" t="str">
        <f t="shared" si="65"/>
        <v>Tilgung und Schuldzinsen alte Schulden</v>
      </c>
      <c r="B3530" s="2410" t="s">
        <v>4805</v>
      </c>
      <c r="C3530" s="2410" t="s">
        <v>3619</v>
      </c>
      <c r="D3530" s="2414" t="s">
        <v>10029</v>
      </c>
    </row>
    <row r="3531" spans="1:4" ht="12.75" customHeight="1">
      <c r="A3531" s="2410" t="str">
        <f t="shared" si="65"/>
        <v>Betrag am 1.1.</v>
      </c>
      <c r="B3531" s="2410" t="s">
        <v>3620</v>
      </c>
      <c r="C3531" s="2410" t="s">
        <v>4330</v>
      </c>
      <c r="D3531" s="2414" t="s">
        <v>6398</v>
      </c>
    </row>
    <row r="3532" spans="1:4" ht="12.75" customHeight="1">
      <c r="A3532" s="2410" t="str">
        <f t="shared" si="65"/>
        <v>Zins</v>
      </c>
      <c r="B3532" s="2410" t="s">
        <v>6452</v>
      </c>
      <c r="C3532" s="2410" t="s">
        <v>4116</v>
      </c>
      <c r="D3532" s="2414" t="s">
        <v>9970</v>
      </c>
    </row>
    <row r="3533" spans="1:4" ht="12.75" customHeight="1">
      <c r="A3533" s="2410" t="str">
        <f t="shared" si="65"/>
        <v>Tilgung</v>
      </c>
      <c r="B3533" s="2410" t="s">
        <v>6453</v>
      </c>
      <c r="C3533" s="2410" t="s">
        <v>6656</v>
      </c>
      <c r="D3533" s="2414" t="s">
        <v>10030</v>
      </c>
    </row>
    <row r="3534" spans="1:4" ht="12.75" customHeight="1">
      <c r="A3534" s="2410" t="str">
        <f t="shared" si="65"/>
        <v>Hypothek</v>
      </c>
      <c r="B3534" s="2410" t="s">
        <v>6892</v>
      </c>
      <c r="C3534" s="2410" t="s">
        <v>3622</v>
      </c>
      <c r="D3534" s="2414" t="s">
        <v>5062</v>
      </c>
    </row>
    <row r="3535" spans="1:4" ht="12.75" customHeight="1">
      <c r="A3535" s="2410" t="str">
        <f t="shared" si="65"/>
        <v>Hypothek</v>
      </c>
      <c r="B3535" s="2410" t="s">
        <v>6892</v>
      </c>
      <c r="C3535" s="2410" t="s">
        <v>3622</v>
      </c>
      <c r="D3535" s="2414" t="s">
        <v>5062</v>
      </c>
    </row>
    <row r="3536" spans="1:4" ht="12.75" customHeight="1">
      <c r="A3536" s="2410" t="str">
        <f t="shared" si="65"/>
        <v>IK</v>
      </c>
      <c r="B3536" s="2410" t="s">
        <v>6893</v>
      </c>
      <c r="C3536" s="2410" t="s">
        <v>5548</v>
      </c>
      <c r="D3536" s="2414" t="s">
        <v>5063</v>
      </c>
    </row>
    <row r="3537" spans="1:4" ht="12.75" customHeight="1">
      <c r="A3537" s="2410" t="str">
        <f t="shared" si="65"/>
        <v>IK</v>
      </c>
      <c r="B3537" s="2410" t="s">
        <v>6893</v>
      </c>
      <c r="C3537" s="2410" t="s">
        <v>5548</v>
      </c>
      <c r="D3537" s="2414" t="s">
        <v>5063</v>
      </c>
    </row>
    <row r="3538" spans="1:4" ht="12.75" customHeight="1">
      <c r="A3538" s="2410" t="str">
        <f t="shared" si="65"/>
        <v>Tilgung und Schuldzinsen neue Schulden</v>
      </c>
      <c r="B3538" s="2410" t="s">
        <v>4806</v>
      </c>
      <c r="C3538" s="2410" t="s">
        <v>3621</v>
      </c>
      <c r="D3538" s="2414" t="s">
        <v>11250</v>
      </c>
    </row>
    <row r="3539" spans="1:4" ht="12.75" customHeight="1">
      <c r="A3539" s="2410" t="str">
        <f t="shared" si="65"/>
        <v>Betrag am</v>
      </c>
      <c r="B3539" s="2410" t="s">
        <v>3710</v>
      </c>
      <c r="C3539" s="2410" t="s">
        <v>3623</v>
      </c>
      <c r="D3539" s="2414" t="s">
        <v>6404</v>
      </c>
    </row>
    <row r="3540" spans="1:4" ht="12.75" customHeight="1">
      <c r="A3540" s="2410" t="str">
        <f t="shared" si="65"/>
        <v>Andere Ausgaben als Eigentümer</v>
      </c>
      <c r="B3540" s="2410" t="s">
        <v>4807</v>
      </c>
      <c r="C3540" s="2410" t="s">
        <v>5264</v>
      </c>
      <c r="D3540" s="2414" t="s">
        <v>10031</v>
      </c>
    </row>
    <row r="3541" spans="1:4" ht="12.75" customHeight="1">
      <c r="A3541" s="2410" t="str">
        <f t="shared" si="65"/>
        <v>Liegenschaftssteuer</v>
      </c>
      <c r="B3541" s="2410" t="s">
        <v>4808</v>
      </c>
      <c r="C3541" s="2410" t="s">
        <v>3668</v>
      </c>
      <c r="D3541" s="2414" t="s">
        <v>6405</v>
      </c>
    </row>
    <row r="3542" spans="1:4" ht="12.75" customHeight="1">
      <c r="A3542" s="2410" t="str">
        <f t="shared" si="65"/>
        <v>Gebäudeversicherung</v>
      </c>
      <c r="B3542" s="2410" t="s">
        <v>3975</v>
      </c>
      <c r="C3542" s="2410" t="s">
        <v>4672</v>
      </c>
      <c r="D3542" s="2414" t="s">
        <v>10032</v>
      </c>
    </row>
    <row r="3543" spans="1:4" ht="12.75" customHeight="1">
      <c r="A3543" s="2410" t="str">
        <f t="shared" si="65"/>
        <v>Total Ausgaben</v>
      </c>
      <c r="B3543" s="2410" t="s">
        <v>4003</v>
      </c>
      <c r="C3543" s="2410" t="s">
        <v>4673</v>
      </c>
      <c r="D3543" s="2414" t="s">
        <v>10033</v>
      </c>
    </row>
    <row r="3544" spans="1:4" ht="12.75" customHeight="1">
      <c r="A3544" s="2410" t="str">
        <f t="shared" si="65"/>
        <v>Zusammenfassung</v>
      </c>
      <c r="B3544" s="2410" t="s">
        <v>342</v>
      </c>
      <c r="C3544" s="2410" t="s">
        <v>4674</v>
      </c>
      <c r="D3544" s="2414" t="s">
        <v>6406</v>
      </c>
    </row>
    <row r="3545" spans="1:4" ht="12.75" customHeight="1">
      <c r="A3545" s="2410" t="str">
        <f t="shared" si="65"/>
        <v>Einnahmen aus der Gemeinschaft</v>
      </c>
      <c r="B3545" s="2410" t="s">
        <v>5880</v>
      </c>
      <c r="C3545" s="2410" t="s">
        <v>1078</v>
      </c>
      <c r="D3545" s="2414" t="s">
        <v>10027</v>
      </c>
    </row>
    <row r="3546" spans="1:4" ht="12.75" customHeight="1">
      <c r="A3546" s="2410" t="str">
        <f t="shared" si="65"/>
        <v>Ausgaben als Eigentümer</v>
      </c>
      <c r="B3546" s="2410" t="s">
        <v>5881</v>
      </c>
      <c r="C3546" s="2410" t="s">
        <v>3618</v>
      </c>
      <c r="D3546" s="2414" t="s">
        <v>10028</v>
      </c>
    </row>
    <row r="3547" spans="1:4" ht="12.75" customHeight="1">
      <c r="A3547" s="2410" t="str">
        <f t="shared" si="65"/>
        <v>Nettoeinnahmen Privat (Nebeneinkommen)</v>
      </c>
      <c r="B3547" s="2410" t="s">
        <v>3998</v>
      </c>
      <c r="C3547" s="2410" t="s">
        <v>1079</v>
      </c>
      <c r="D3547" s="2414" t="s">
        <v>10034</v>
      </c>
    </row>
    <row r="3548" spans="1:4" ht="12.75" customHeight="1">
      <c r="A3548" s="2410" t="str">
        <f t="shared" si="65"/>
        <v>Privatausgaben *)</v>
      </c>
      <c r="B3548" s="2410" t="s">
        <v>104</v>
      </c>
      <c r="C3548" s="2410" t="s">
        <v>1080</v>
      </c>
      <c r="D3548" s="2414" t="s">
        <v>10035</v>
      </c>
    </row>
    <row r="3549" spans="1:4" ht="12.75" customHeight="1">
      <c r="A3549" s="2410" t="str">
        <f t="shared" si="65"/>
        <v>Reserve/Manko</v>
      </c>
      <c r="B3549" s="2410" t="s">
        <v>3999</v>
      </c>
      <c r="C3549" s="2410" t="s">
        <v>1081</v>
      </c>
      <c r="D3549" s="2414" t="s">
        <v>10036</v>
      </c>
    </row>
    <row r="3550" spans="1:4" ht="12.75" customHeight="1">
      <c r="A3550" s="2410" t="str">
        <f t="shared" si="65"/>
        <v>*) inkl. Privatanteile an allg. Betriebskosten u. Auto (Ausgaben)</v>
      </c>
      <c r="B3550" s="2410" t="s">
        <v>3709</v>
      </c>
      <c r="C3550" s="2410" t="s">
        <v>4658</v>
      </c>
      <c r="D3550" s="2414" t="s">
        <v>10037</v>
      </c>
    </row>
    <row r="3551" spans="1:4" ht="12.75" customHeight="1">
      <c r="A3551" s="2410" t="str">
        <f t="shared" si="65"/>
        <v>Bemerkungen</v>
      </c>
      <c r="B3551" s="2410" t="s">
        <v>5345</v>
      </c>
      <c r="C3551" s="2410" t="s">
        <v>534</v>
      </c>
      <c r="D3551" s="2414" t="s">
        <v>2750</v>
      </c>
    </row>
    <row r="3552" spans="1:4" ht="12.75" customHeight="1">
      <c r="A3552" s="2410">
        <f t="shared" si="65"/>
        <v>0</v>
      </c>
      <c r="B3552" s="2410"/>
      <c r="C3552" s="2410"/>
      <c r="D3552" s="2414"/>
    </row>
    <row r="3553" spans="1:4" ht="12.75" customHeight="1">
      <c r="A3553" s="2410" t="str">
        <f t="shared" si="65"/>
        <v>Kultur</v>
      </c>
      <c r="B3553" s="2410" t="s">
        <v>3603</v>
      </c>
      <c r="C3553" s="2410" t="s">
        <v>312</v>
      </c>
      <c r="D3553" s="2414" t="s">
        <v>581</v>
      </c>
    </row>
    <row r="3554" spans="1:4" ht="12.75" customHeight="1">
      <c r="A3554" s="2410" t="str">
        <f t="shared" si="65"/>
        <v>Standard-</v>
      </c>
      <c r="B3554" s="2410" t="s">
        <v>1241</v>
      </c>
      <c r="C3554" s="2410" t="s">
        <v>3237</v>
      </c>
      <c r="D3554" s="2414" t="s">
        <v>5878</v>
      </c>
    </row>
    <row r="3555" spans="1:4" ht="12.75" customHeight="1">
      <c r="A3555" s="2410" t="str">
        <f t="shared" si="65"/>
        <v>ertrag</v>
      </c>
      <c r="B3555" s="2410" t="s">
        <v>3170</v>
      </c>
      <c r="C3555" s="2410" t="s">
        <v>4659</v>
      </c>
      <c r="D3555" s="2414" t="s">
        <v>4659</v>
      </c>
    </row>
    <row r="3556" spans="1:4" ht="12.75" customHeight="1">
      <c r="A3556" s="2410" t="str">
        <f t="shared" si="65"/>
        <v>Max. Ertrag</v>
      </c>
      <c r="B3556" s="2410" t="s">
        <v>11047</v>
      </c>
      <c r="C3556" s="2410" t="s">
        <v>2524</v>
      </c>
      <c r="D3556" s="2414" t="s">
        <v>6407</v>
      </c>
    </row>
    <row r="3557" spans="1:4" ht="12.75" customHeight="1">
      <c r="A3557" s="2410" t="str">
        <f t="shared" si="65"/>
        <v>N-Korrektur</v>
      </c>
      <c r="B3557" s="2410" t="s">
        <v>3397</v>
      </c>
      <c r="C3557" s="2410" t="s">
        <v>5837</v>
      </c>
      <c r="D3557" s="2414" t="s">
        <v>10038</v>
      </c>
    </row>
    <row r="3558" spans="1:4" ht="12.75" customHeight="1">
      <c r="A3558" s="2410" t="str">
        <f t="shared" si="65"/>
        <v>Nährstoffbedarf, kg / ha oder kg / dt</v>
      </c>
      <c r="B3558" s="2410" t="s">
        <v>11042</v>
      </c>
      <c r="C3558" s="2410" t="s">
        <v>11043</v>
      </c>
      <c r="D3558" s="2414" t="s">
        <v>11251</v>
      </c>
    </row>
    <row r="3559" spans="1:4" ht="12.75" customHeight="1">
      <c r="A3559" s="2410" t="str">
        <f t="shared" si="65"/>
        <v>kg / dt</v>
      </c>
      <c r="B3559" s="2410" t="s">
        <v>11044</v>
      </c>
      <c r="C3559" s="2410" t="s">
        <v>11044</v>
      </c>
      <c r="D3559" s="2414" t="s">
        <v>11252</v>
      </c>
    </row>
    <row r="3560" spans="1:4" ht="12.75" customHeight="1">
      <c r="A3560" s="2410" t="str">
        <f t="shared" si="65"/>
        <v>kg / ha</v>
      </c>
      <c r="B3560" s="2410" t="s">
        <v>1866</v>
      </c>
      <c r="C3560" s="2410" t="s">
        <v>1866</v>
      </c>
      <c r="D3560" s="2414" t="s">
        <v>3173</v>
      </c>
    </row>
    <row r="3561" spans="1:4" ht="12.75" customHeight="1">
      <c r="A3561" s="2410" t="str">
        <f t="shared" si="65"/>
        <v>dt / ha</v>
      </c>
      <c r="B3561" s="2410" t="s">
        <v>11045</v>
      </c>
      <c r="C3561" s="2410" t="s">
        <v>11045</v>
      </c>
      <c r="D3561" s="2414" t="s">
        <v>11253</v>
      </c>
    </row>
    <row r="3562" spans="1:4" ht="12.75" customHeight="1">
      <c r="A3562" s="2410" t="str">
        <f t="shared" si="65"/>
        <v>Ertrag</v>
      </c>
      <c r="B3562" s="2410" t="s">
        <v>4260</v>
      </c>
      <c r="C3562" s="2410" t="s">
        <v>3237</v>
      </c>
      <c r="D3562" s="2414" t="s">
        <v>5878</v>
      </c>
    </row>
    <row r="3563" spans="1:4" ht="12.75" customHeight="1">
      <c r="A3563" s="2410" t="str">
        <f t="shared" si="65"/>
        <v>Fläche</v>
      </c>
      <c r="B3563" s="2410" t="s">
        <v>5348</v>
      </c>
      <c r="C3563" s="2410" t="s">
        <v>1697</v>
      </c>
      <c r="D3563" s="2414" t="s">
        <v>2757</v>
      </c>
    </row>
    <row r="3564" spans="1:4" ht="12.75" customHeight="1">
      <c r="A3564" s="2410" t="str">
        <f t="shared" si="65"/>
        <v>AckerS-</v>
      </c>
      <c r="B3564" s="3097" t="s">
        <v>12101</v>
      </c>
      <c r="C3564" s="3097" t="s">
        <v>12104</v>
      </c>
      <c r="D3564" s="3098" t="s">
        <v>12106</v>
      </c>
    </row>
    <row r="3565" spans="1:4" ht="12.75" customHeight="1">
      <c r="A3565" s="2410" t="str">
        <f t="shared" si="65"/>
        <v>streifen</v>
      </c>
      <c r="B3565" s="3097" t="s">
        <v>12102</v>
      </c>
      <c r="C3565" s="3097" t="s">
        <v>12105</v>
      </c>
      <c r="D3565" s="3098" t="s">
        <v>12107</v>
      </c>
    </row>
    <row r="3566" spans="1:4" ht="12.75" customHeight="1">
      <c r="A3566" s="2410" t="str">
        <f t="shared" si="65"/>
        <v>Ackerkult.</v>
      </c>
      <c r="B3566" s="3097" t="s">
        <v>12103</v>
      </c>
      <c r="C3566" s="3132" t="s">
        <v>12116</v>
      </c>
      <c r="D3566" s="3308" t="s">
        <v>12117</v>
      </c>
    </row>
    <row r="3567" spans="1:4" ht="12.75" customHeight="1">
      <c r="A3567" s="2410" t="str">
        <f t="shared" si="65"/>
        <v>Fläche</v>
      </c>
      <c r="B3567" s="3307" t="s">
        <v>5348</v>
      </c>
      <c r="C3567" s="3307" t="s">
        <v>1697</v>
      </c>
      <c r="D3567" s="3308" t="s">
        <v>12118</v>
      </c>
    </row>
    <row r="3568" spans="1:4" ht="12.75" customHeight="1">
      <c r="A3568" s="2410" t="str">
        <f t="shared" si="65"/>
        <v>Ackerschonstreifen, Summe</v>
      </c>
      <c r="B3568" s="3309" t="s">
        <v>12119</v>
      </c>
      <c r="C3568" s="3309" t="s">
        <v>12120</v>
      </c>
      <c r="D3568" s="3310" t="s">
        <v>12121</v>
      </c>
    </row>
    <row r="3569" spans="1:4" ht="12.75" customHeight="1">
      <c r="A3569" s="2410" t="str">
        <f t="shared" si="65"/>
        <v>N fix</v>
      </c>
      <c r="B3569" s="2410" t="s">
        <v>3171</v>
      </c>
      <c r="C3569" s="2410" t="s">
        <v>4285</v>
      </c>
      <c r="D3569" s="2424" t="s">
        <v>10039</v>
      </c>
    </row>
    <row r="3570" spans="1:4" ht="12.75" customHeight="1">
      <c r="A3570" s="2410" t="str">
        <f t="shared" si="65"/>
        <v>N korr.</v>
      </c>
      <c r="B3570" s="2410" t="s">
        <v>3172</v>
      </c>
      <c r="C3570" s="2410" t="s">
        <v>2525</v>
      </c>
      <c r="D3570" s="2424" t="s">
        <v>10038</v>
      </c>
    </row>
    <row r="3571" spans="1:4" ht="12.75" customHeight="1">
      <c r="A3571" s="2410" t="str">
        <f t="shared" si="65"/>
        <v>P2O5</v>
      </c>
      <c r="B3571" s="2410" t="s">
        <v>1513</v>
      </c>
      <c r="C3571" s="2410" t="s">
        <v>1513</v>
      </c>
      <c r="D3571" s="2414" t="s">
        <v>1513</v>
      </c>
    </row>
    <row r="3572" spans="1:4" ht="12.75" customHeight="1">
      <c r="A3572" s="2410" t="str">
        <f t="shared" si="65"/>
        <v>K2O</v>
      </c>
      <c r="B3572" s="2410" t="s">
        <v>1867</v>
      </c>
      <c r="C3572" s="2410" t="s">
        <v>1867</v>
      </c>
      <c r="D3572" s="2414" t="s">
        <v>1867</v>
      </c>
    </row>
    <row r="3573" spans="1:4" ht="12.75" customHeight="1">
      <c r="A3573" s="2410" t="str">
        <f t="shared" si="65"/>
        <v>Mg</v>
      </c>
      <c r="B3573" s="2410" t="s">
        <v>7031</v>
      </c>
      <c r="C3573" s="2410" t="s">
        <v>7031</v>
      </c>
      <c r="D3573" s="2414" t="s">
        <v>7031</v>
      </c>
    </row>
    <row r="3574" spans="1:4" ht="12.75" customHeight="1">
      <c r="A3574" s="2410" t="str">
        <f t="shared" si="65"/>
        <v>N korr.</v>
      </c>
      <c r="B3574" s="2410" t="s">
        <v>3172</v>
      </c>
      <c r="C3574" s="2410" t="s">
        <v>4286</v>
      </c>
      <c r="D3574" s="2414" t="s">
        <v>10038</v>
      </c>
    </row>
    <row r="3575" spans="1:4" ht="12.75" customHeight="1">
      <c r="A3575" s="2410" t="str">
        <f t="shared" si="65"/>
        <v>N+korr.</v>
      </c>
      <c r="B3575" s="2410" t="s">
        <v>2197</v>
      </c>
      <c r="C3575" s="2410" t="s">
        <v>5091</v>
      </c>
      <c r="D3575" s="2414" t="s">
        <v>10040</v>
      </c>
    </row>
    <row r="3576" spans="1:4" ht="12.75" customHeight="1">
      <c r="A3576" s="2410" t="str">
        <f t="shared" si="65"/>
        <v>Überdurchschn. Ertrag</v>
      </c>
      <c r="B3576" s="2410" t="s">
        <v>4504</v>
      </c>
      <c r="C3576" s="2410" t="s">
        <v>3974</v>
      </c>
      <c r="D3576" s="2414" t="s">
        <v>6408</v>
      </c>
    </row>
    <row r="3577" spans="1:4" ht="12.75" customHeight="1">
      <c r="A3577" s="2410" t="str">
        <f t="shared" si="65"/>
        <v>in 62a Nitrat-Projekt</v>
      </c>
      <c r="B3577" s="2410" t="s">
        <v>3676</v>
      </c>
      <c r="C3577" s="2410" t="s">
        <v>5090</v>
      </c>
      <c r="D3577" s="2414" t="s">
        <v>10041</v>
      </c>
    </row>
    <row r="3578" spans="1:4" ht="12.75" customHeight="1">
      <c r="A3578" s="2410" t="str">
        <f t="shared" si="65"/>
        <v>Getreide</v>
      </c>
      <c r="B3578" s="2410" t="s">
        <v>4508</v>
      </c>
      <c r="C3578" s="2410" t="s">
        <v>1553</v>
      </c>
      <c r="D3578" s="2414" t="s">
        <v>6866</v>
      </c>
    </row>
    <row r="3579" spans="1:4" ht="12.75" customHeight="1">
      <c r="A3579" s="2410" t="str">
        <f t="shared" si="65"/>
        <v>Winterweizen</v>
      </c>
      <c r="B3579" s="2410" t="s">
        <v>4264</v>
      </c>
      <c r="C3579" s="2410" t="s">
        <v>2305</v>
      </c>
      <c r="D3579" s="2414" t="s">
        <v>8500</v>
      </c>
    </row>
    <row r="3580" spans="1:4" ht="12.75" customHeight="1">
      <c r="A3580" s="2410" t="str">
        <f t="shared" si="65"/>
        <v>Futterweizen</v>
      </c>
      <c r="B3580" s="2410" t="s">
        <v>6046</v>
      </c>
      <c r="C3580" s="2410" t="s">
        <v>2306</v>
      </c>
      <c r="D3580" s="2414" t="s">
        <v>8501</v>
      </c>
    </row>
    <row r="3581" spans="1:4" ht="12.75" customHeight="1">
      <c r="A3581" s="2410" t="str">
        <f t="shared" si="65"/>
        <v>Sommerweizen</v>
      </c>
      <c r="B3581" s="2410" t="s">
        <v>7405</v>
      </c>
      <c r="C3581" s="2410" t="s">
        <v>3121</v>
      </c>
      <c r="D3581" s="2414" t="s">
        <v>396</v>
      </c>
    </row>
    <row r="3582" spans="1:4" ht="12.75" customHeight="1">
      <c r="A3582" s="2410" t="str">
        <f t="shared" si="65"/>
        <v>Wintergerste</v>
      </c>
      <c r="B3582" s="2410" t="s">
        <v>3794</v>
      </c>
      <c r="C3582" s="2410" t="s">
        <v>2045</v>
      </c>
      <c r="D3582" s="2414" t="s">
        <v>397</v>
      </c>
    </row>
    <row r="3583" spans="1:4" ht="12.75" customHeight="1">
      <c r="A3583" s="2410" t="str">
        <f t="shared" si="65"/>
        <v>Sommergerste</v>
      </c>
      <c r="B3583" s="2410" t="s">
        <v>5447</v>
      </c>
      <c r="C3583" s="2410" t="s">
        <v>2046</v>
      </c>
      <c r="D3583" s="2414" t="s">
        <v>398</v>
      </c>
    </row>
    <row r="3584" spans="1:4" ht="12.75" customHeight="1">
      <c r="A3584" s="2410" t="str">
        <f t="shared" si="65"/>
        <v>Winterhafer</v>
      </c>
      <c r="B3584" s="2410" t="s">
        <v>6666</v>
      </c>
      <c r="C3584" s="2410" t="s">
        <v>48</v>
      </c>
      <c r="D3584" s="2414" t="s">
        <v>399</v>
      </c>
    </row>
    <row r="3585" spans="1:4" ht="12.75" customHeight="1">
      <c r="A3585" s="2410" t="str">
        <f t="shared" si="65"/>
        <v>Sommerhafer</v>
      </c>
      <c r="B3585" s="2410" t="s">
        <v>5511</v>
      </c>
      <c r="C3585" s="2410" t="s">
        <v>5512</v>
      </c>
      <c r="D3585" s="2414" t="s">
        <v>400</v>
      </c>
    </row>
    <row r="3586" spans="1:4" ht="12.75" customHeight="1">
      <c r="A3586" s="2410" t="str">
        <f t="shared" si="65"/>
        <v>Winterroggen, Populationssorten</v>
      </c>
      <c r="B3586" s="2410" t="s">
        <v>7594</v>
      </c>
      <c r="C3586" s="2410" t="s">
        <v>5159</v>
      </c>
      <c r="D3586" s="2414" t="s">
        <v>401</v>
      </c>
    </row>
    <row r="3587" spans="1:4" ht="12.75" customHeight="1">
      <c r="A3587" s="2410" t="str">
        <f t="shared" si="65"/>
        <v>Winterroggen, Hybridsorten</v>
      </c>
      <c r="B3587" s="2410" t="s">
        <v>7596</v>
      </c>
      <c r="C3587" s="2410" t="s">
        <v>7595</v>
      </c>
      <c r="D3587" s="2414" t="s">
        <v>8502</v>
      </c>
    </row>
    <row r="3588" spans="1:4" ht="12.75" customHeight="1">
      <c r="A3588" s="2410" t="str">
        <f t="shared" si="65"/>
        <v>Dinkel, Winterkorn</v>
      </c>
      <c r="B3588" s="2410" t="s">
        <v>7597</v>
      </c>
      <c r="C3588" s="2410" t="s">
        <v>4492</v>
      </c>
      <c r="D3588" s="2414" t="s">
        <v>402</v>
      </c>
    </row>
    <row r="3589" spans="1:4" ht="12.75" customHeight="1">
      <c r="A3589" s="2410" t="str">
        <f t="shared" si="65"/>
        <v>Emmer / Einkorn</v>
      </c>
      <c r="B3589" s="3115" t="s">
        <v>12113</v>
      </c>
      <c r="C3589" s="2410" t="s">
        <v>6962</v>
      </c>
      <c r="D3589" s="2414" t="s">
        <v>8503</v>
      </c>
    </row>
    <row r="3590" spans="1:4" ht="12.75" customHeight="1">
      <c r="A3590" s="2410" t="str">
        <f t="shared" si="65"/>
        <v>Wintertriticale</v>
      </c>
      <c r="B3590" s="2410" t="s">
        <v>2370</v>
      </c>
      <c r="C3590" s="2410" t="s">
        <v>7416</v>
      </c>
      <c r="D3590" s="2414" t="s">
        <v>403</v>
      </c>
    </row>
    <row r="3591" spans="1:4" ht="12.75" customHeight="1">
      <c r="A3591" s="2410" t="str">
        <f t="shared" ref="A3591:A3661" si="66">IF($A$2=1,B3591,IF($A$2=2,C3591,IF($A$2=3,IF(D3591="",C3591,D3591),"")))</f>
        <v>Sommertriticale</v>
      </c>
      <c r="B3591" s="2410" t="s">
        <v>291</v>
      </c>
      <c r="C3591" s="2410" t="s">
        <v>292</v>
      </c>
      <c r="D3591" s="2414" t="s">
        <v>404</v>
      </c>
    </row>
    <row r="3592" spans="1:4" ht="12.75" customHeight="1">
      <c r="A3592" s="2410" t="str">
        <f t="shared" si="66"/>
        <v>Getreide-Silage</v>
      </c>
      <c r="B3592" s="2410" t="s">
        <v>5437</v>
      </c>
      <c r="C3592" s="2410" t="s">
        <v>5439</v>
      </c>
      <c r="D3592" s="2424" t="s">
        <v>8278</v>
      </c>
    </row>
    <row r="3593" spans="1:4" ht="12.75" customHeight="1">
      <c r="A3593" s="2410" t="str">
        <f t="shared" si="66"/>
        <v>Getreide-Silage mit Leguminosen</v>
      </c>
      <c r="B3593" s="2410" t="s">
        <v>5438</v>
      </c>
      <c r="C3593" s="2410" t="s">
        <v>5440</v>
      </c>
      <c r="D3593" s="2424" t="s">
        <v>9405</v>
      </c>
    </row>
    <row r="3594" spans="1:4" ht="12.75" customHeight="1">
      <c r="A3594" s="2410" t="str">
        <f t="shared" si="66"/>
        <v>Hackfrüchte</v>
      </c>
      <c r="B3594" s="2410" t="s">
        <v>341</v>
      </c>
      <c r="C3594" s="2410" t="s">
        <v>4287</v>
      </c>
      <c r="D3594" s="2414" t="s">
        <v>10042</v>
      </c>
    </row>
    <row r="3595" spans="1:4" ht="12.75" customHeight="1">
      <c r="A3595" s="2410" t="str">
        <f t="shared" si="66"/>
        <v>Winterraps für Speiseöl</v>
      </c>
      <c r="B3595" s="2410" t="s">
        <v>5698</v>
      </c>
      <c r="C3595" s="2410" t="s">
        <v>1784</v>
      </c>
      <c r="D3595" s="2414" t="s">
        <v>8505</v>
      </c>
    </row>
    <row r="3596" spans="1:4" ht="12.75" customHeight="1">
      <c r="A3596" s="2410" t="str">
        <f t="shared" si="66"/>
        <v>Sommerraps</v>
      </c>
      <c r="B3596" s="2410" t="s">
        <v>293</v>
      </c>
      <c r="C3596" s="2410" t="s">
        <v>294</v>
      </c>
      <c r="D3596" s="2414" t="s">
        <v>1792</v>
      </c>
    </row>
    <row r="3597" spans="1:4" ht="12.75" customHeight="1">
      <c r="A3597" s="2410" t="str">
        <f t="shared" si="66"/>
        <v>Kartoffeln, Speise- u. Industrie-</v>
      </c>
      <c r="B3597" s="2410" t="s">
        <v>7598</v>
      </c>
      <c r="C3597" s="2410" t="s">
        <v>7601</v>
      </c>
      <c r="D3597" s="2414" t="s">
        <v>10043</v>
      </c>
    </row>
    <row r="3598" spans="1:4" ht="12.75" customHeight="1">
      <c r="A3598" s="2410" t="str">
        <f t="shared" si="66"/>
        <v>Kartoffeln, Früh-</v>
      </c>
      <c r="B3598" s="2410" t="s">
        <v>7599</v>
      </c>
      <c r="C3598" s="2410" t="s">
        <v>7602</v>
      </c>
      <c r="D3598" s="2414" t="s">
        <v>10044</v>
      </c>
    </row>
    <row r="3599" spans="1:4" ht="12.75" customHeight="1">
      <c r="A3599" s="2410" t="str">
        <f t="shared" si="66"/>
        <v>Kartoffeln, Pflanz-</v>
      </c>
      <c r="B3599" s="2410" t="s">
        <v>7600</v>
      </c>
      <c r="C3599" s="2410" t="s">
        <v>7603</v>
      </c>
      <c r="D3599" s="2414" t="s">
        <v>10045</v>
      </c>
    </row>
    <row r="3600" spans="1:4" ht="12.75" customHeight="1">
      <c r="A3600" s="2410" t="str">
        <f t="shared" si="66"/>
        <v>Gruppe a</v>
      </c>
      <c r="B3600" s="2410" t="s">
        <v>7208</v>
      </c>
      <c r="C3600" s="2410" t="s">
        <v>7211</v>
      </c>
      <c r="D3600" s="2414" t="s">
        <v>7214</v>
      </c>
    </row>
    <row r="3601" spans="1:4" ht="12.75" customHeight="1">
      <c r="A3601" s="2410" t="str">
        <f t="shared" si="66"/>
        <v>Gruppe b</v>
      </c>
      <c r="B3601" s="2410" t="s">
        <v>7209</v>
      </c>
      <c r="C3601" s="2410" t="s">
        <v>7212</v>
      </c>
      <c r="D3601" s="2414" t="s">
        <v>7215</v>
      </c>
    </row>
    <row r="3602" spans="1:4" ht="12.75" customHeight="1">
      <c r="A3602" s="2410" t="str">
        <f t="shared" si="66"/>
        <v>Gruppe c</v>
      </c>
      <c r="B3602" s="2410" t="s">
        <v>7210</v>
      </c>
      <c r="C3602" s="2410" t="s">
        <v>7213</v>
      </c>
      <c r="D3602" s="2414" t="s">
        <v>7216</v>
      </c>
    </row>
    <row r="3603" spans="1:4" ht="12.75" customHeight="1">
      <c r="A3603" s="2410" t="str">
        <f t="shared" si="66"/>
        <v>Zuckerrüben</v>
      </c>
      <c r="B3603" s="2410" t="s">
        <v>4799</v>
      </c>
      <c r="C3603" s="2410" t="s">
        <v>1786</v>
      </c>
      <c r="D3603" s="2414" t="s">
        <v>8493</v>
      </c>
    </row>
    <row r="3604" spans="1:4" ht="12.75" customHeight="1">
      <c r="A3604" s="2410" t="str">
        <f t="shared" si="66"/>
        <v>Futterrüben</v>
      </c>
      <c r="B3604" s="2410" t="s">
        <v>56</v>
      </c>
      <c r="C3604" s="2410" t="s">
        <v>4566</v>
      </c>
      <c r="D3604" s="2414" t="s">
        <v>5199</v>
      </c>
    </row>
    <row r="3605" spans="1:4" ht="12.75" customHeight="1">
      <c r="A3605" s="2410" t="str">
        <f t="shared" si="66"/>
        <v>Körnermais</v>
      </c>
      <c r="B3605" s="2410" t="s">
        <v>1023</v>
      </c>
      <c r="C3605" s="2410" t="s">
        <v>467</v>
      </c>
      <c r="D3605" s="2414" t="s">
        <v>4461</v>
      </c>
    </row>
    <row r="3606" spans="1:4" ht="12.75" customHeight="1">
      <c r="A3606" s="2410" t="str">
        <f t="shared" si="66"/>
        <v>CCM, Feuchtkörnermais</v>
      </c>
      <c r="B3606" s="2410" t="s">
        <v>1335</v>
      </c>
      <c r="C3606" s="2410" t="s">
        <v>1919</v>
      </c>
      <c r="D3606" s="2414" t="s">
        <v>8683</v>
      </c>
    </row>
    <row r="3607" spans="1:4" ht="12.75" customHeight="1">
      <c r="A3607" s="2410" t="str">
        <f t="shared" si="66"/>
        <v>Lieschkolbenschrot</v>
      </c>
      <c r="B3607" s="2410" t="s">
        <v>1057</v>
      </c>
      <c r="C3607" s="2410" t="s">
        <v>3948</v>
      </c>
      <c r="D3607" s="2414" t="s">
        <v>11126</v>
      </c>
    </row>
    <row r="3608" spans="1:4" ht="12.75" customHeight="1">
      <c r="A3608" s="2410" t="str">
        <f t="shared" si="66"/>
        <v>Silomais</v>
      </c>
      <c r="B3608" s="2410" t="s">
        <v>1024</v>
      </c>
      <c r="C3608" s="2410" t="s">
        <v>466</v>
      </c>
      <c r="D3608" s="2414" t="s">
        <v>2040</v>
      </c>
    </row>
    <row r="3609" spans="1:4" ht="12.75" customHeight="1">
      <c r="A3609" s="2410" t="str">
        <f t="shared" si="66"/>
        <v>Ganzpflanzen-Sorghum</v>
      </c>
      <c r="B3609" s="2410" t="s">
        <v>7778</v>
      </c>
      <c r="C3609" s="2410" t="s">
        <v>7779</v>
      </c>
      <c r="D3609" s="2414" t="s">
        <v>11125</v>
      </c>
    </row>
    <row r="3610" spans="1:4" ht="12.75" customHeight="1">
      <c r="A3610" s="2410" t="str">
        <f t="shared" si="66"/>
        <v>Eiweisserbsen</v>
      </c>
      <c r="B3610" s="2410" t="s">
        <v>55</v>
      </c>
      <c r="C3610" s="2410" t="s">
        <v>4372</v>
      </c>
      <c r="D3610" s="2414" t="s">
        <v>8510</v>
      </c>
    </row>
    <row r="3611" spans="1:4" ht="12.75" customHeight="1">
      <c r="A3611" s="2410" t="str">
        <f t="shared" si="66"/>
        <v>Ackerbohnen</v>
      </c>
      <c r="B3611" s="2410" t="s">
        <v>1099</v>
      </c>
      <c r="C3611" s="2410" t="s">
        <v>4373</v>
      </c>
      <c r="D3611" s="2414" t="s">
        <v>4462</v>
      </c>
    </row>
    <row r="3612" spans="1:4" ht="12.75" customHeight="1">
      <c r="A3612" s="2410" t="str">
        <f t="shared" si="66"/>
        <v>Sojabohnen</v>
      </c>
      <c r="B3612" s="2410" t="s">
        <v>4114</v>
      </c>
      <c r="C3612" s="2410" t="s">
        <v>6152</v>
      </c>
      <c r="D3612" s="2414" t="s">
        <v>4623</v>
      </c>
    </row>
    <row r="3613" spans="1:4" ht="12.75" customHeight="1">
      <c r="A3613" s="2410" t="str">
        <f t="shared" si="66"/>
        <v>Hirse</v>
      </c>
      <c r="B3613" s="2410" t="s">
        <v>1025</v>
      </c>
      <c r="C3613" s="2423" t="s">
        <v>6584</v>
      </c>
      <c r="D3613" s="2424" t="s">
        <v>6585</v>
      </c>
    </row>
    <row r="3614" spans="1:4" ht="12.75" customHeight="1">
      <c r="A3614" s="2410" t="str">
        <f t="shared" si="66"/>
        <v>Gemüsebau, Diverses</v>
      </c>
      <c r="B3614" s="2410" t="s">
        <v>718</v>
      </c>
      <c r="C3614" s="2410" t="s">
        <v>2035</v>
      </c>
      <c r="D3614" s="2414" t="s">
        <v>8440</v>
      </c>
    </row>
    <row r="3615" spans="1:4" ht="12.75" customHeight="1">
      <c r="A3615" s="2410" t="str">
        <f t="shared" si="66"/>
        <v>Freilandgemüse</v>
      </c>
      <c r="B3615" s="2410" t="s">
        <v>1059</v>
      </c>
      <c r="C3615" s="2410" t="s">
        <v>4181</v>
      </c>
      <c r="D3615" s="2414" t="s">
        <v>8511</v>
      </c>
    </row>
    <row r="3616" spans="1:4" ht="12.75" customHeight="1">
      <c r="A3616" s="2410" t="str">
        <f t="shared" si="66"/>
        <v>Freiland-Konservengemüse</v>
      </c>
      <c r="B3616" s="2410" t="s">
        <v>5519</v>
      </c>
      <c r="C3616" s="2410" t="s">
        <v>3949</v>
      </c>
      <c r="D3616" s="2414" t="s">
        <v>10046</v>
      </c>
    </row>
    <row r="3617" spans="1:4" ht="12.75" customHeight="1">
      <c r="A3617" s="2410" t="str">
        <f t="shared" si="66"/>
        <v>Erdbeeren, 1-jährig</v>
      </c>
      <c r="B3617" s="2410" t="s">
        <v>7604</v>
      </c>
      <c r="C3617" s="2410" t="s">
        <v>2393</v>
      </c>
      <c r="D3617" s="2414" t="s">
        <v>8512</v>
      </c>
    </row>
    <row r="3618" spans="1:4" ht="12.75" customHeight="1">
      <c r="A3618" s="2410" t="str">
        <f t="shared" si="66"/>
        <v>Heil-, Gewürzpflanzen, 1-j.</v>
      </c>
      <c r="B3618" s="2410" t="s">
        <v>7605</v>
      </c>
      <c r="C3618" s="2410" t="s">
        <v>6885</v>
      </c>
      <c r="D3618" s="2414" t="s">
        <v>8674</v>
      </c>
    </row>
    <row r="3619" spans="1:4" ht="12.75" customHeight="1">
      <c r="A3619" s="2410" t="str">
        <f t="shared" si="66"/>
        <v>Öllein</v>
      </c>
      <c r="B3619" s="2410" t="s">
        <v>4115</v>
      </c>
      <c r="C3619" s="2410" t="s">
        <v>1920</v>
      </c>
      <c r="D3619" s="2414" t="s">
        <v>8514</v>
      </c>
    </row>
    <row r="3620" spans="1:4" ht="12.75" customHeight="1">
      <c r="A3620" s="2410" t="str">
        <f t="shared" si="66"/>
        <v>Faserlein</v>
      </c>
      <c r="B3620" s="2410" t="s">
        <v>4822</v>
      </c>
      <c r="C3620" s="2410" t="s">
        <v>1707</v>
      </c>
      <c r="D3620" s="2414" t="s">
        <v>795</v>
      </c>
    </row>
    <row r="3621" spans="1:4" ht="12.75" customHeight="1">
      <c r="A3621" s="2410" t="str">
        <f t="shared" si="66"/>
        <v>Ölhanf</v>
      </c>
      <c r="B3621" s="2410" t="s">
        <v>4824</v>
      </c>
      <c r="C3621" s="2410" t="s">
        <v>5613</v>
      </c>
      <c r="D3621" s="2414" t="s">
        <v>8515</v>
      </c>
    </row>
    <row r="3622" spans="1:4" ht="12.75" customHeight="1">
      <c r="A3622" s="2410" t="str">
        <f t="shared" si="66"/>
        <v>Faserhanf</v>
      </c>
      <c r="B3622" s="2410" t="s">
        <v>906</v>
      </c>
      <c r="C3622" s="2410" t="s">
        <v>6886</v>
      </c>
      <c r="D3622" s="2414" t="s">
        <v>796</v>
      </c>
    </row>
    <row r="3623" spans="1:4" ht="12.75" customHeight="1">
      <c r="A3623" s="2410" t="str">
        <f t="shared" si="66"/>
        <v>Winterraps für RME</v>
      </c>
      <c r="B3623" s="2410" t="s">
        <v>4739</v>
      </c>
      <c r="C3623" s="2410" t="s">
        <v>5614</v>
      </c>
      <c r="D3623" s="2414" t="s">
        <v>10047</v>
      </c>
    </row>
    <row r="3624" spans="1:4" ht="12.75" customHeight="1">
      <c r="A3624" s="2410" t="str">
        <f t="shared" si="66"/>
        <v>Sonnenblumen</v>
      </c>
      <c r="B3624" s="2410" t="s">
        <v>4741</v>
      </c>
      <c r="C3624" s="2410" t="s">
        <v>5615</v>
      </c>
      <c r="D3624" s="2414" t="s">
        <v>797</v>
      </c>
    </row>
    <row r="3625" spans="1:4" ht="12.75" customHeight="1">
      <c r="A3625" s="2410" t="str">
        <f t="shared" si="66"/>
        <v>Tabak Burley</v>
      </c>
      <c r="B3625" s="2410" t="s">
        <v>2173</v>
      </c>
      <c r="C3625" s="2410" t="s">
        <v>6460</v>
      </c>
      <c r="D3625" s="2414" t="s">
        <v>798</v>
      </c>
    </row>
    <row r="3626" spans="1:4" ht="12.75" customHeight="1">
      <c r="A3626" s="2410" t="str">
        <f t="shared" si="66"/>
        <v>Tabak Virgine</v>
      </c>
      <c r="B3626" s="2410" t="s">
        <v>2175</v>
      </c>
      <c r="C3626" s="2410" t="s">
        <v>7389</v>
      </c>
      <c r="D3626" s="2414" t="s">
        <v>799</v>
      </c>
    </row>
    <row r="3627" spans="1:4" ht="12.75" customHeight="1">
      <c r="A3627" s="2410" t="str">
        <f t="shared" si="66"/>
        <v>Schnittblumen</v>
      </c>
      <c r="B3627" s="2410" t="s">
        <v>1336</v>
      </c>
      <c r="C3627" s="2410" t="s">
        <v>7390</v>
      </c>
      <c r="D3627" s="2414" t="s">
        <v>8513</v>
      </c>
    </row>
    <row r="3628" spans="1:4" ht="12.75" customHeight="1">
      <c r="A3628" s="2410" t="str">
        <f t="shared" si="66"/>
        <v>Rotationsbrache</v>
      </c>
      <c r="B3628" s="2410" t="s">
        <v>6927</v>
      </c>
      <c r="C3628" s="2410" t="s">
        <v>6462</v>
      </c>
      <c r="D3628" s="2414" t="s">
        <v>800</v>
      </c>
    </row>
    <row r="3629" spans="1:4" ht="12.75" customHeight="1">
      <c r="A3629" s="2410" t="str">
        <f t="shared" si="66"/>
        <v>Buntbrache</v>
      </c>
      <c r="B3629" s="2410" t="s">
        <v>2043</v>
      </c>
      <c r="C3629" s="2410" t="s">
        <v>6463</v>
      </c>
      <c r="D3629" s="2414" t="s">
        <v>801</v>
      </c>
    </row>
    <row r="3630" spans="1:4" ht="12.75" customHeight="1">
      <c r="A3630" s="2410" t="str">
        <f t="shared" si="66"/>
        <v>Dauerkulturen</v>
      </c>
      <c r="B3630" s="2410" t="s">
        <v>6869</v>
      </c>
      <c r="C3630" s="2410" t="s">
        <v>7392</v>
      </c>
      <c r="D3630" s="2414" t="s">
        <v>8441</v>
      </c>
    </row>
    <row r="3631" spans="1:4" ht="12.75" customHeight="1">
      <c r="A3631" s="2410" t="str">
        <f t="shared" si="66"/>
        <v>Reben</v>
      </c>
      <c r="B3631" s="2410" t="s">
        <v>4839</v>
      </c>
      <c r="C3631" s="2410" t="s">
        <v>5395</v>
      </c>
      <c r="D3631" s="2414" t="s">
        <v>8518</v>
      </c>
    </row>
    <row r="3632" spans="1:4" ht="12.75" customHeight="1">
      <c r="A3632" s="2410" t="str">
        <f t="shared" si="66"/>
        <v>Hopfen</v>
      </c>
      <c r="B3632" s="2410" t="s">
        <v>4840</v>
      </c>
      <c r="C3632" s="2410" t="s">
        <v>4760</v>
      </c>
      <c r="D3632" s="2414" t="s">
        <v>802</v>
      </c>
    </row>
    <row r="3633" spans="1:4" ht="12.75" customHeight="1">
      <c r="A3633" s="2410" t="str">
        <f t="shared" si="66"/>
        <v>Obstanlagen</v>
      </c>
      <c r="B3633" s="2410" t="s">
        <v>3139</v>
      </c>
      <c r="C3633" s="2410" t="s">
        <v>4761</v>
      </c>
      <c r="D3633" s="2414" t="s">
        <v>8519</v>
      </c>
    </row>
    <row r="3634" spans="1:4" ht="12.75" customHeight="1">
      <c r="A3634" s="2410" t="str">
        <f t="shared" si="66"/>
        <v>Gemüsekulturen, mehrj.</v>
      </c>
      <c r="B3634" s="2410" t="s">
        <v>7606</v>
      </c>
      <c r="C3634" s="2410" t="s">
        <v>6195</v>
      </c>
      <c r="D3634" s="2414" t="s">
        <v>8520</v>
      </c>
    </row>
    <row r="3635" spans="1:4" ht="12.75" customHeight="1">
      <c r="A3635" s="2410" t="str">
        <f t="shared" si="66"/>
        <v>Erdbeeren, mehrj.</v>
      </c>
      <c r="B3635" s="2410" t="s">
        <v>7607</v>
      </c>
      <c r="C3635" s="2410" t="s">
        <v>7609</v>
      </c>
      <c r="D3635" s="2414" t="s">
        <v>8521</v>
      </c>
    </row>
    <row r="3636" spans="1:4" ht="12.75" customHeight="1">
      <c r="A3636" s="2410" t="str">
        <f t="shared" si="66"/>
        <v>Strauchbeeren</v>
      </c>
      <c r="B3636" s="2410" t="s">
        <v>367</v>
      </c>
      <c r="C3636" s="2410" t="s">
        <v>5249</v>
      </c>
      <c r="D3636" s="2414" t="s">
        <v>8522</v>
      </c>
    </row>
    <row r="3637" spans="1:4" ht="12.75" customHeight="1">
      <c r="A3637" s="2410" t="str">
        <f t="shared" si="66"/>
        <v>Alternative Strauchbeeren</v>
      </c>
      <c r="B3637" s="2410" t="s">
        <v>1026</v>
      </c>
      <c r="C3637" s="2410" t="s">
        <v>1027</v>
      </c>
      <c r="D3637" s="2414" t="s">
        <v>10048</v>
      </c>
    </row>
    <row r="3638" spans="1:4" ht="12.75" customHeight="1">
      <c r="A3638" s="2410" t="str">
        <f t="shared" si="66"/>
        <v>Heil-, Gewürzpflanzen, mehrj.</v>
      </c>
      <c r="B3638" s="2410" t="s">
        <v>7608</v>
      </c>
      <c r="C3638" s="2410" t="s">
        <v>7610</v>
      </c>
      <c r="D3638" s="2414" t="s">
        <v>8524</v>
      </c>
    </row>
    <row r="3639" spans="1:4" ht="12.75" customHeight="1">
      <c r="A3639" s="2410" t="str">
        <f t="shared" si="66"/>
        <v>Chinaschilf</v>
      </c>
      <c r="B3639" s="2410" t="s">
        <v>6928</v>
      </c>
      <c r="C3639" s="2410" t="s">
        <v>3607</v>
      </c>
      <c r="D3639" s="2414" t="s">
        <v>8525</v>
      </c>
    </row>
    <row r="3640" spans="1:4" ht="12.75" customHeight="1">
      <c r="A3640" s="2410" t="str">
        <f t="shared" si="66"/>
        <v>Christbäume</v>
      </c>
      <c r="B3640" s="2410" t="s">
        <v>4157</v>
      </c>
      <c r="C3640" s="2410" t="s">
        <v>3025</v>
      </c>
      <c r="D3640" s="2414" t="s">
        <v>8526</v>
      </c>
    </row>
    <row r="3641" spans="1:4" ht="12.75" customHeight="1">
      <c r="A3641" s="2410" t="str">
        <f t="shared" si="66"/>
        <v>Selven</v>
      </c>
      <c r="B3641" s="2410" t="s">
        <v>3952</v>
      </c>
      <c r="C3641" s="2410" t="s">
        <v>2326</v>
      </c>
      <c r="D3641" s="2414" t="s">
        <v>8527</v>
      </c>
    </row>
    <row r="3642" spans="1:4" ht="12.75" customHeight="1">
      <c r="A3642" s="2410" t="str">
        <f t="shared" si="66"/>
        <v>andere Dauerkulturen</v>
      </c>
      <c r="B3642" s="2410" t="s">
        <v>7356</v>
      </c>
      <c r="C3642" s="2410" t="s">
        <v>2327</v>
      </c>
      <c r="D3642" s="2414" t="s">
        <v>8528</v>
      </c>
    </row>
    <row r="3643" spans="1:4" ht="12.75" customHeight="1">
      <c r="A3643" s="2410">
        <f t="shared" si="66"/>
        <v>0</v>
      </c>
      <c r="B3643" s="2410"/>
      <c r="C3643" s="2410"/>
      <c r="D3643" s="2414"/>
    </row>
    <row r="3644" spans="1:4" ht="12.75" customHeight="1">
      <c r="A3644" s="2410" t="str">
        <f t="shared" si="66"/>
        <v>Grünland</v>
      </c>
      <c r="B3644" s="2410" t="s">
        <v>6526</v>
      </c>
      <c r="C3644" s="2410" t="s">
        <v>1551</v>
      </c>
      <c r="D3644" s="2414" t="s">
        <v>6357</v>
      </c>
    </row>
    <row r="3645" spans="1:4" ht="12.75" customHeight="1">
      <c r="A3645" s="2410" t="str">
        <f t="shared" si="66"/>
        <v>Ertrag tot.</v>
      </c>
      <c r="B3645" s="2410" t="s">
        <v>3953</v>
      </c>
      <c r="C3645" s="2410" t="s">
        <v>739</v>
      </c>
      <c r="D3645" s="2414" t="s">
        <v>5434</v>
      </c>
    </row>
    <row r="3646" spans="1:4" ht="12.75" customHeight="1">
      <c r="A3646" s="2410" t="str">
        <f t="shared" si="66"/>
        <v>Ertrag</v>
      </c>
      <c r="B3646" s="2410" t="s">
        <v>4260</v>
      </c>
      <c r="C3646" s="2410" t="s">
        <v>3237</v>
      </c>
      <c r="D3646" s="2414" t="s">
        <v>5878</v>
      </c>
    </row>
    <row r="3647" spans="1:4" ht="12.75" customHeight="1">
      <c r="A3647" s="2410" t="str">
        <f t="shared" si="66"/>
        <v>Fläche</v>
      </c>
      <c r="B3647" s="2410" t="s">
        <v>5348</v>
      </c>
      <c r="C3647" s="2410" t="s">
        <v>1697</v>
      </c>
      <c r="D3647" s="2414" t="s">
        <v>2757</v>
      </c>
    </row>
    <row r="3648" spans="1:4" ht="12.75" customHeight="1">
      <c r="A3648" s="2410" t="str">
        <f t="shared" si="66"/>
        <v>Ø-Ertrag</v>
      </c>
      <c r="B3648" s="2410" t="s">
        <v>4270</v>
      </c>
      <c r="C3648" s="2410" t="s">
        <v>740</v>
      </c>
      <c r="D3648" s="2414" t="s">
        <v>5288</v>
      </c>
    </row>
    <row r="3649" spans="1:4" ht="12.75" customHeight="1">
      <c r="A3649" s="2410" t="str">
        <f t="shared" si="66"/>
        <v xml:space="preserve">Naturwiese       extensiv </v>
      </c>
      <c r="B3649" s="2410" t="s">
        <v>4271</v>
      </c>
      <c r="C3649" s="2410" t="s">
        <v>75</v>
      </c>
      <c r="D3649" s="2414" t="s">
        <v>10049</v>
      </c>
    </row>
    <row r="3650" spans="1:4" ht="12.75" customHeight="1">
      <c r="A3650" s="2410" t="str">
        <f t="shared" si="66"/>
        <v xml:space="preserve">                           wenig intensiv</v>
      </c>
      <c r="B3650" s="2410" t="s">
        <v>2426</v>
      </c>
      <c r="C3650" s="2410" t="s">
        <v>76</v>
      </c>
      <c r="D3650" s="2414" t="s">
        <v>10050</v>
      </c>
    </row>
    <row r="3651" spans="1:4" ht="12.75" customHeight="1">
      <c r="A3651" s="2410" t="str">
        <f t="shared" si="66"/>
        <v>Uebr. Wiesen mit Düngeverbot</v>
      </c>
      <c r="B3651" s="2410" t="s">
        <v>926</v>
      </c>
      <c r="C3651" s="2410" t="s">
        <v>2684</v>
      </c>
      <c r="D3651" s="2414" t="s">
        <v>8530</v>
      </c>
    </row>
    <row r="3652" spans="1:4" ht="12.75" customHeight="1">
      <c r="A3652" s="2410" t="str">
        <f t="shared" si="66"/>
        <v>Wiesen im Sömmerungsgebiet</v>
      </c>
      <c r="B3652" s="2410" t="s">
        <v>855</v>
      </c>
      <c r="C3652" s="2410" t="s">
        <v>2611</v>
      </c>
      <c r="D3652" s="2414" t="s">
        <v>2038</v>
      </c>
    </row>
    <row r="3653" spans="1:4" ht="12.75" customHeight="1">
      <c r="A3653" s="2410" t="str">
        <f t="shared" si="66"/>
        <v>Waldweide</v>
      </c>
      <c r="B3653" s="2410" t="s">
        <v>857</v>
      </c>
      <c r="C3653" s="2410" t="s">
        <v>1992</v>
      </c>
      <c r="D3653" s="2414" t="s">
        <v>8532</v>
      </c>
    </row>
    <row r="3654" spans="1:4" ht="12.75" customHeight="1">
      <c r="A3654" s="2410" t="str">
        <f t="shared" si="66"/>
        <v>Weide               extensiv</v>
      </c>
      <c r="B3654" s="2410" t="s">
        <v>3383</v>
      </c>
      <c r="C3654" s="2410" t="s">
        <v>5289</v>
      </c>
      <c r="D3654" s="2414" t="s">
        <v>1791</v>
      </c>
    </row>
    <row r="3655" spans="1:4" ht="12.75" customHeight="1">
      <c r="A3655" s="2410" t="str">
        <f t="shared" si="66"/>
        <v xml:space="preserve">                          wenig intensiv</v>
      </c>
      <c r="B3655" s="2410" t="s">
        <v>126</v>
      </c>
      <c r="C3655" s="2410" t="s">
        <v>5917</v>
      </c>
      <c r="D3655" s="2414" t="s">
        <v>10051</v>
      </c>
    </row>
    <row r="3656" spans="1:4" ht="12.75" customHeight="1">
      <c r="A3656" s="2410" t="str">
        <f t="shared" si="66"/>
        <v>Naturwiese/      mittelintensiv</v>
      </c>
      <c r="B3656" s="2410" t="s">
        <v>4273</v>
      </c>
      <c r="C3656" s="2410" t="s">
        <v>5718</v>
      </c>
      <c r="D3656" s="2414" t="s">
        <v>10052</v>
      </c>
    </row>
    <row r="3657" spans="1:4" ht="12.75" customHeight="1">
      <c r="A3657" s="2410" t="str">
        <f t="shared" si="66"/>
        <v>(Mäh-) Weide    mittelintensiv</v>
      </c>
      <c r="B3657" s="2410" t="s">
        <v>4275</v>
      </c>
      <c r="C3657" s="2410" t="s">
        <v>5828</v>
      </c>
      <c r="D3657" s="2414" t="s">
        <v>10053</v>
      </c>
    </row>
    <row r="3658" spans="1:4" ht="12.75" customHeight="1">
      <c r="A3658" s="2410" t="str">
        <f t="shared" si="66"/>
        <v>Naturwiese/              intensiv</v>
      </c>
      <c r="B3658" s="2410" t="s">
        <v>4276</v>
      </c>
      <c r="C3658" s="2410" t="s">
        <v>5829</v>
      </c>
      <c r="D3658" s="2414" t="s">
        <v>10054</v>
      </c>
    </row>
    <row r="3659" spans="1:4" ht="12.75" customHeight="1">
      <c r="A3659" s="2410" t="str">
        <f t="shared" si="66"/>
        <v>(Mäh-) Weide            intensiv</v>
      </c>
      <c r="B3659" s="2410" t="s">
        <v>5161</v>
      </c>
      <c r="C3659" s="2410" t="s">
        <v>6689</v>
      </c>
      <c r="D3659" s="2414" t="s">
        <v>10055</v>
      </c>
    </row>
    <row r="3660" spans="1:4" ht="12.75" customHeight="1">
      <c r="A3660" s="2410" t="str">
        <f t="shared" si="66"/>
        <v>Kunstwiese       mittelintensiv</v>
      </c>
      <c r="B3660" s="2410" t="s">
        <v>2396</v>
      </c>
      <c r="C3660" s="2410" t="s">
        <v>7034</v>
      </c>
      <c r="D3660" s="2414" t="s">
        <v>10056</v>
      </c>
    </row>
    <row r="3661" spans="1:4" ht="12.75" customHeight="1">
      <c r="A3661" s="2410" t="str">
        <f t="shared" si="66"/>
        <v xml:space="preserve">                             intensiv</v>
      </c>
      <c r="B3661" s="2410" t="s">
        <v>2397</v>
      </c>
      <c r="C3661" s="2410" t="s">
        <v>6367</v>
      </c>
      <c r="D3661" s="2414" t="s">
        <v>10057</v>
      </c>
    </row>
    <row r="3662" spans="1:4" ht="12.75" customHeight="1">
      <c r="A3662" s="2410" t="str">
        <f t="shared" ref="A3662:A3733" si="67">IF($A$2=1,B3662,IF($A$2=2,C3662,IF($A$2=3,IF(D3662="",C3662,D3662),"")))</f>
        <v>Samenproduktion: Leguminosen Reinbestand</v>
      </c>
      <c r="B3662" s="2410" t="s">
        <v>1880</v>
      </c>
      <c r="C3662" s="2410" t="s">
        <v>430</v>
      </c>
      <c r="D3662" s="2414" t="s">
        <v>8770</v>
      </c>
    </row>
    <row r="3663" spans="1:4" ht="12.75" customHeight="1">
      <c r="A3663" s="2410" t="str">
        <f t="shared" si="67"/>
        <v>Samenproduktion: Gras Reinbestand</v>
      </c>
      <c r="B3663" s="2410" t="s">
        <v>431</v>
      </c>
      <c r="C3663" s="2410" t="s">
        <v>880</v>
      </c>
      <c r="D3663" s="2414" t="s">
        <v>8771</v>
      </c>
    </row>
    <row r="3664" spans="1:4" ht="12.75" customHeight="1">
      <c r="A3664" s="2410" t="str">
        <f t="shared" si="67"/>
        <v>Weide für Schweine</v>
      </c>
      <c r="B3664" s="2410" t="s">
        <v>2398</v>
      </c>
      <c r="C3664" s="2410" t="s">
        <v>5643</v>
      </c>
      <c r="D3664" s="2414" t="s">
        <v>8538</v>
      </c>
    </row>
    <row r="3665" spans="1:4" ht="12.75" customHeight="1">
      <c r="A3665" s="2410" t="str">
        <f t="shared" si="67"/>
        <v>Uferwiese, ohne Weiden</v>
      </c>
      <c r="B3665" s="2781" t="s">
        <v>11830</v>
      </c>
      <c r="C3665" s="2781" t="s">
        <v>11831</v>
      </c>
      <c r="D3665" s="2780" t="s">
        <v>11832</v>
      </c>
    </row>
    <row r="3666" spans="1:4" ht="12.75" customHeight="1">
      <c r="A3666" s="2410" t="str">
        <f t="shared" si="67"/>
        <v>Zweit-, Dritt- oder Zwischenkulturen</v>
      </c>
      <c r="B3666" s="2410" t="s">
        <v>4740</v>
      </c>
      <c r="C3666" s="2410" t="s">
        <v>6241</v>
      </c>
      <c r="D3666" s="2414" t="s">
        <v>8548</v>
      </c>
    </row>
    <row r="3667" spans="1:4" ht="12.75" customHeight="1">
      <c r="A3667" s="2410" t="str">
        <f t="shared" si="67"/>
        <v>Zwischenfutter, kein Kleegras</v>
      </c>
      <c r="B3667" s="2410" t="s">
        <v>7611</v>
      </c>
      <c r="C3667" s="2410" t="s">
        <v>7613</v>
      </c>
      <c r="D3667" s="2414" t="s">
        <v>10058</v>
      </c>
    </row>
    <row r="3668" spans="1:4" ht="12.75" customHeight="1">
      <c r="A3668" s="2410" t="str">
        <f t="shared" si="67"/>
        <v>Zwischenfutter, Kleegras</v>
      </c>
      <c r="B3668" s="2410" t="s">
        <v>7612</v>
      </c>
      <c r="C3668" s="2410" t="s">
        <v>7614</v>
      </c>
      <c r="D3668" s="2414" t="s">
        <v>10059</v>
      </c>
    </row>
    <row r="3669" spans="1:4" ht="12.75" customHeight="1">
      <c r="A3669" s="2410" t="str">
        <f t="shared" si="67"/>
        <v>Äugstlen</v>
      </c>
      <c r="B3669" s="2410" t="s">
        <v>2176</v>
      </c>
      <c r="C3669" s="2410" t="s">
        <v>6368</v>
      </c>
      <c r="D3669" s="2414" t="s">
        <v>8550</v>
      </c>
    </row>
    <row r="3670" spans="1:4" ht="12.75" customHeight="1">
      <c r="A3670" s="2410" t="str">
        <f t="shared" si="67"/>
        <v>Frühjahrsschnitt vor Wiesenumbruch</v>
      </c>
      <c r="B3670" s="2410" t="s">
        <v>2042</v>
      </c>
      <c r="C3670" s="2410" t="s">
        <v>6369</v>
      </c>
      <c r="D3670" s="2414" t="s">
        <v>8551</v>
      </c>
    </row>
    <row r="3671" spans="1:4" ht="12.75" customHeight="1">
      <c r="A3671" s="2410">
        <f t="shared" si="67"/>
        <v>0</v>
      </c>
      <c r="B3671" s="2410"/>
      <c r="C3671" s="2410"/>
      <c r="D3671" s="2414"/>
    </row>
    <row r="3672" spans="1:4" ht="12.75" customHeight="1">
      <c r="A3672" s="2410" t="str">
        <f t="shared" si="67"/>
        <v>Tierart bzw.Tierkategorie</v>
      </c>
      <c r="B3672" s="2410" t="s">
        <v>5085</v>
      </c>
      <c r="C3672" s="2410" t="s">
        <v>7577</v>
      </c>
      <c r="D3672" s="2414" t="s">
        <v>8557</v>
      </c>
    </row>
    <row r="3673" spans="1:4" ht="12.75" customHeight="1">
      <c r="A3673" s="2410" t="str">
        <f t="shared" si="67"/>
        <v/>
      </c>
      <c r="B3673" s="2418" t="s">
        <v>2125</v>
      </c>
      <c r="C3673" s="2418" t="s">
        <v>2125</v>
      </c>
      <c r="D3673" s="2414"/>
    </row>
    <row r="3674" spans="1:4" ht="12.75" customHeight="1">
      <c r="A3674" s="2410" t="str">
        <f t="shared" si="67"/>
        <v>Einheit</v>
      </c>
      <c r="B3674" s="2410" t="s">
        <v>6392</v>
      </c>
      <c r="C3674" s="2410" t="s">
        <v>6215</v>
      </c>
      <c r="D3674" s="2414" t="s">
        <v>1418</v>
      </c>
    </row>
    <row r="3675" spans="1:4" ht="12.75" customHeight="1">
      <c r="A3675" s="2410" t="str">
        <f t="shared" si="67"/>
        <v xml:space="preserve">Anzahl </v>
      </c>
      <c r="B3675" s="2410" t="s">
        <v>6984</v>
      </c>
      <c r="C3675" s="2410" t="s">
        <v>5260</v>
      </c>
      <c r="D3675" s="2414" t="s">
        <v>3773</v>
      </c>
    </row>
    <row r="3676" spans="1:4" ht="12.75" customHeight="1">
      <c r="A3676" s="2410" t="str">
        <f t="shared" si="67"/>
        <v>Ein-</v>
      </c>
      <c r="B3676" s="2410" t="s">
        <v>6983</v>
      </c>
      <c r="C3676" s="2410" t="s">
        <v>4069</v>
      </c>
      <c r="D3676" s="2414" t="s">
        <v>10060</v>
      </c>
    </row>
    <row r="3677" spans="1:4" ht="12.75" customHeight="1">
      <c r="A3677" s="2410" t="str">
        <f t="shared" si="67"/>
        <v>heiten</v>
      </c>
      <c r="B3677" s="2410" t="s">
        <v>4334</v>
      </c>
      <c r="C3677" s="2418" t="s">
        <v>2125</v>
      </c>
      <c r="D3677" s="2414" t="s">
        <v>4473</v>
      </c>
    </row>
    <row r="3678" spans="1:4" ht="12.75" customHeight="1">
      <c r="A3678" s="2410" t="str">
        <f t="shared" si="67"/>
        <v>Anzahl</v>
      </c>
      <c r="B3678" s="2410" t="s">
        <v>7044</v>
      </c>
      <c r="C3678" s="2410" t="s">
        <v>5260</v>
      </c>
      <c r="D3678" s="2414" t="s">
        <v>3773</v>
      </c>
    </row>
    <row r="3679" spans="1:4" ht="12.75" customHeight="1">
      <c r="A3679" s="2410" t="str">
        <f t="shared" si="67"/>
        <v>korri-</v>
      </c>
      <c r="B3679" s="2410" t="s">
        <v>1342</v>
      </c>
      <c r="C3679" s="2410" t="s">
        <v>359</v>
      </c>
      <c r="D3679" s="2414" t="s">
        <v>1613</v>
      </c>
    </row>
    <row r="3680" spans="1:4" ht="12.75" customHeight="1">
      <c r="A3680" s="2410" t="str">
        <f t="shared" si="67"/>
        <v>giert</v>
      </c>
      <c r="B3680" s="2410" t="s">
        <v>6498</v>
      </c>
      <c r="C3680" s="2418" t="s">
        <v>2125</v>
      </c>
      <c r="D3680" s="2414" t="s">
        <v>1614</v>
      </c>
    </row>
    <row r="3681" spans="1:4" ht="12.75" customHeight="1">
      <c r="A3681" s="2410" t="str">
        <f t="shared" si="67"/>
        <v>Grundfutterverzehr</v>
      </c>
      <c r="B3681" s="2410" t="s">
        <v>3807</v>
      </c>
      <c r="C3681" s="2410" t="s">
        <v>1460</v>
      </c>
      <c r="D3681" s="2414" t="s">
        <v>8721</v>
      </c>
    </row>
    <row r="3682" spans="1:4" ht="12.75" customHeight="1">
      <c r="A3682" s="2410" t="str">
        <f t="shared" si="67"/>
        <v>Grundfutterv. Sömmerung</v>
      </c>
      <c r="B3682" s="2410" t="s">
        <v>7417</v>
      </c>
      <c r="C3682" s="2410" t="s">
        <v>7418</v>
      </c>
      <c r="D3682" s="2414" t="s">
        <v>10061</v>
      </c>
    </row>
    <row r="3683" spans="1:4" ht="12.75" customHeight="1">
      <c r="A3683" s="2410" t="str">
        <f t="shared" si="67"/>
        <v>Abzug</v>
      </c>
      <c r="B3683" s="2410" t="s">
        <v>66</v>
      </c>
      <c r="C3683" s="2410" t="s">
        <v>6934</v>
      </c>
      <c r="D3683" s="2414" t="s">
        <v>10062</v>
      </c>
    </row>
    <row r="3684" spans="1:4" ht="12.75" customHeight="1">
      <c r="A3684" s="2410" t="str">
        <f t="shared" si="67"/>
        <v>Tage</v>
      </c>
      <c r="B3684" s="2410" t="s">
        <v>6497</v>
      </c>
      <c r="C3684" s="2410" t="s">
        <v>223</v>
      </c>
      <c r="D3684" s="2414" t="s">
        <v>8564</v>
      </c>
    </row>
    <row r="3685" spans="1:4" ht="12.75" customHeight="1">
      <c r="A3685" s="2410">
        <f t="shared" si="67"/>
        <v>0</v>
      </c>
      <c r="B3685" s="2410"/>
      <c r="C3685" s="2410"/>
      <c r="D3685" s="2414"/>
    </row>
    <row r="3686" spans="1:4" ht="12.75" customHeight="1">
      <c r="A3686" s="2410" t="str">
        <f t="shared" si="67"/>
        <v>kg TS</v>
      </c>
      <c r="B3686" s="2410" t="s">
        <v>6311</v>
      </c>
      <c r="C3686" s="2410" t="s">
        <v>4957</v>
      </c>
      <c r="D3686" s="2414" t="s">
        <v>7427</v>
      </c>
    </row>
    <row r="3687" spans="1:4" ht="12.75" customHeight="1">
      <c r="A3687" s="2410" t="str">
        <f t="shared" si="67"/>
        <v>je Tag</v>
      </c>
      <c r="B3687" s="2410" t="s">
        <v>7028</v>
      </c>
      <c r="C3687" s="2410" t="s">
        <v>127</v>
      </c>
      <c r="D3687" s="2414" t="s">
        <v>7428</v>
      </c>
    </row>
    <row r="3688" spans="1:4" ht="12.75" customHeight="1">
      <c r="A3688" s="2410" t="str">
        <f t="shared" si="67"/>
        <v>dt TS</v>
      </c>
      <c r="B3688" s="2410" t="s">
        <v>2639</v>
      </c>
      <c r="C3688" s="2410" t="s">
        <v>6533</v>
      </c>
      <c r="D3688" s="2414" t="s">
        <v>5879</v>
      </c>
    </row>
    <row r="3689" spans="1:4" ht="12.75" customHeight="1">
      <c r="A3689" s="2410" t="str">
        <f t="shared" si="67"/>
        <v>je Jahr</v>
      </c>
      <c r="B3689" s="2410" t="s">
        <v>6629</v>
      </c>
      <c r="C3689" s="2410" t="s">
        <v>4958</v>
      </c>
      <c r="D3689" s="2414" t="s">
        <v>7429</v>
      </c>
    </row>
    <row r="3690" spans="1:4" ht="12.75" customHeight="1">
      <c r="A3690" s="2410" t="str">
        <f t="shared" si="67"/>
        <v>dt TS</v>
      </c>
      <c r="B3690" s="2410" t="s">
        <v>2639</v>
      </c>
      <c r="C3690" s="2410" t="s">
        <v>6533</v>
      </c>
      <c r="D3690" s="2414" t="s">
        <v>5879</v>
      </c>
    </row>
    <row r="3691" spans="1:4" ht="12.75" customHeight="1">
      <c r="A3691" s="2410" t="str">
        <f t="shared" si="67"/>
        <v>total</v>
      </c>
      <c r="B3691" s="2410" t="s">
        <v>4333</v>
      </c>
      <c r="C3691" s="2410" t="s">
        <v>4333</v>
      </c>
      <c r="D3691" s="2414" t="s">
        <v>6553</v>
      </c>
    </row>
    <row r="3692" spans="1:4" ht="12.75" customHeight="1">
      <c r="A3692" s="2410" t="str">
        <f t="shared" si="67"/>
        <v>Anfall aus Import- / Exportbilanz</v>
      </c>
      <c r="B3692" s="2410" t="s">
        <v>7759</v>
      </c>
      <c r="C3692" s="2410" t="s">
        <v>8329</v>
      </c>
      <c r="D3692" s="2414" t="s">
        <v>10063</v>
      </c>
    </row>
    <row r="3693" spans="1:4" ht="12.75" customHeight="1">
      <c r="A3693" s="2410" t="str">
        <f t="shared" si="67"/>
        <v>Anfall je Einheit u. Jahr</v>
      </c>
      <c r="B3693" s="2410" t="s">
        <v>1368</v>
      </c>
      <c r="C3693" s="2410" t="s">
        <v>129</v>
      </c>
      <c r="D3693" s="2414" t="s">
        <v>10064</v>
      </c>
    </row>
    <row r="3694" spans="1:4" ht="12.75" customHeight="1">
      <c r="A3694" s="2410" t="str">
        <f t="shared" si="67"/>
        <v>Nges.</v>
      </c>
      <c r="B3694" s="2410" t="s">
        <v>1372</v>
      </c>
      <c r="C3694" s="2410" t="s">
        <v>128</v>
      </c>
      <c r="D3694" s="2414" t="s">
        <v>128</v>
      </c>
    </row>
    <row r="3695" spans="1:4" ht="12.75" customHeight="1">
      <c r="A3695" s="2410" t="str">
        <f t="shared" si="67"/>
        <v>Laufhof</v>
      </c>
      <c r="B3695" s="2410" t="s">
        <v>4544</v>
      </c>
      <c r="C3695" s="2410" t="s">
        <v>130</v>
      </c>
      <c r="D3695" s="2414" t="s">
        <v>1615</v>
      </c>
    </row>
    <row r="3696" spans="1:4" ht="12.75" customHeight="1">
      <c r="A3696" s="2410" t="str">
        <f t="shared" si="67"/>
        <v>Anzahl</v>
      </c>
      <c r="B3696" s="2410" t="s">
        <v>7044</v>
      </c>
      <c r="C3696" s="2410" t="s">
        <v>5260</v>
      </c>
      <c r="D3696" s="2414" t="s">
        <v>3773</v>
      </c>
    </row>
    <row r="3697" spans="1:4" ht="12.75" customHeight="1">
      <c r="A3697" s="2410" t="str">
        <f t="shared" si="67"/>
        <v>Tiere</v>
      </c>
      <c r="B3697" s="2410" t="s">
        <v>3064</v>
      </c>
      <c r="C3697" s="2410" t="s">
        <v>2645</v>
      </c>
      <c r="D3697" s="2414" t="s">
        <v>10065</v>
      </c>
    </row>
    <row r="3698" spans="1:4" ht="12.75" customHeight="1">
      <c r="A3698" s="2410" t="str">
        <f t="shared" si="67"/>
        <v>Tage je</v>
      </c>
      <c r="B3698" s="2410" t="s">
        <v>1369</v>
      </c>
      <c r="C3698" s="2410" t="s">
        <v>131</v>
      </c>
      <c r="D3698" s="2414" t="s">
        <v>3000</v>
      </c>
    </row>
    <row r="3699" spans="1:4" ht="12.75" customHeight="1">
      <c r="A3699" s="2410" t="str">
        <f t="shared" si="67"/>
        <v>Jahr</v>
      </c>
      <c r="B3699" s="2410" t="s">
        <v>6093</v>
      </c>
      <c r="C3699" s="2410" t="s">
        <v>132</v>
      </c>
      <c r="D3699" s="2414" t="s">
        <v>7429</v>
      </c>
    </row>
    <row r="3700" spans="1:4" ht="12.75" customHeight="1">
      <c r="A3700" s="2410" t="str">
        <f t="shared" si="67"/>
        <v>Nges-</v>
      </c>
      <c r="B3700" s="2410" t="s">
        <v>1370</v>
      </c>
      <c r="C3700" s="2410" t="s">
        <v>3606</v>
      </c>
      <c r="D3700" s="2414" t="s">
        <v>606</v>
      </c>
    </row>
    <row r="3701" spans="1:4" ht="12.75" customHeight="1">
      <c r="A3701" s="2410" t="str">
        <f t="shared" si="67"/>
        <v>Anfall</v>
      </c>
      <c r="B3701" s="2410" t="s">
        <v>6628</v>
      </c>
      <c r="C3701" s="2410" t="s">
        <v>128</v>
      </c>
      <c r="D3701" s="2414" t="s">
        <v>1538</v>
      </c>
    </row>
    <row r="3702" spans="1:4" ht="12.75" customHeight="1">
      <c r="A3702" s="2410" t="str">
        <f t="shared" si="67"/>
        <v>Weide</v>
      </c>
      <c r="B3702" s="2410" t="s">
        <v>61</v>
      </c>
      <c r="C3702" s="2410" t="s">
        <v>1935</v>
      </c>
      <c r="D3702" s="2414" t="s">
        <v>2039</v>
      </c>
    </row>
    <row r="3703" spans="1:4" ht="12.75" customHeight="1">
      <c r="A3703" s="2410" t="str">
        <f t="shared" si="67"/>
        <v>Std. je</v>
      </c>
      <c r="B3703" s="2410" t="s">
        <v>1371</v>
      </c>
      <c r="C3703" s="2410" t="s">
        <v>1936</v>
      </c>
      <c r="D3703" s="2414" t="s">
        <v>3002</v>
      </c>
    </row>
    <row r="3704" spans="1:4" ht="12.75" customHeight="1">
      <c r="A3704" s="2410" t="str">
        <f t="shared" si="67"/>
        <v>Tag</v>
      </c>
      <c r="B3704" s="2410" t="s">
        <v>1373</v>
      </c>
      <c r="C3704" s="2410" t="s">
        <v>360</v>
      </c>
      <c r="D3704" s="2414" t="s">
        <v>3001</v>
      </c>
    </row>
    <row r="3705" spans="1:4" ht="12.75" customHeight="1">
      <c r="A3705" s="2410" t="str">
        <f t="shared" si="67"/>
        <v>Tage je</v>
      </c>
      <c r="B3705" s="2410" t="s">
        <v>1369</v>
      </c>
      <c r="C3705" s="2410" t="s">
        <v>131</v>
      </c>
      <c r="D3705" s="2414" t="s">
        <v>3000</v>
      </c>
    </row>
    <row r="3706" spans="1:4" ht="12.75" customHeight="1">
      <c r="A3706" s="2410" t="str">
        <f t="shared" si="67"/>
        <v>Jahr</v>
      </c>
      <c r="B3706" s="2410" t="s">
        <v>6093</v>
      </c>
      <c r="C3706" s="2410" t="s">
        <v>132</v>
      </c>
      <c r="D3706" s="2414" t="s">
        <v>7429</v>
      </c>
    </row>
    <row r="3707" spans="1:4" ht="12.75" customHeight="1">
      <c r="A3707" s="2410" t="str">
        <f t="shared" si="67"/>
        <v>Abzug /</v>
      </c>
      <c r="B3707" s="2410" t="s">
        <v>6987</v>
      </c>
      <c r="C3707" s="2410" t="s">
        <v>1937</v>
      </c>
      <c r="D3707" s="2414" t="s">
        <v>1611</v>
      </c>
    </row>
    <row r="3708" spans="1:4" ht="12.75" customHeight="1">
      <c r="A3708" s="2410" t="str">
        <f t="shared" si="67"/>
        <v>Zuschlag</v>
      </c>
      <c r="B3708" s="2410" t="s">
        <v>1341</v>
      </c>
      <c r="C3708" s="2410" t="s">
        <v>1938</v>
      </c>
      <c r="D3708" s="2414" t="s">
        <v>1612</v>
      </c>
    </row>
    <row r="3709" spans="1:4" ht="12.75" customHeight="1">
      <c r="A3709" s="2410" t="str">
        <f t="shared" si="67"/>
        <v>GVE-</v>
      </c>
      <c r="B3709" s="2410" t="s">
        <v>6985</v>
      </c>
      <c r="C3709" s="2410" t="s">
        <v>7749</v>
      </c>
      <c r="D3709" s="2414" t="s">
        <v>8559</v>
      </c>
    </row>
    <row r="3710" spans="1:4" ht="12.75" customHeight="1">
      <c r="A3710" s="2410" t="str">
        <f t="shared" si="67"/>
        <v>Faktor</v>
      </c>
      <c r="B3710" s="2410" t="s">
        <v>1339</v>
      </c>
      <c r="C3710" s="2410" t="s">
        <v>3184</v>
      </c>
      <c r="D3710" s="2414" t="s">
        <v>199</v>
      </c>
    </row>
    <row r="3711" spans="1:4" ht="12.75" customHeight="1">
      <c r="A3711" s="2410" t="str">
        <f t="shared" si="67"/>
        <v>Nges-</v>
      </c>
      <c r="B3711" s="2410" t="s">
        <v>1370</v>
      </c>
      <c r="C3711" s="2410" t="s">
        <v>7749</v>
      </c>
      <c r="D3711" s="2414" t="s">
        <v>1512</v>
      </c>
    </row>
    <row r="3712" spans="1:4" ht="12.75" customHeight="1">
      <c r="A3712" s="2410" t="str">
        <f t="shared" si="67"/>
        <v>Faktor</v>
      </c>
      <c r="B3712" s="2410" t="s">
        <v>1339</v>
      </c>
      <c r="C3712" s="2410" t="s">
        <v>128</v>
      </c>
      <c r="D3712" s="2414" t="s">
        <v>1538</v>
      </c>
    </row>
    <row r="3713" spans="1:4" ht="12.75" customHeight="1">
      <c r="A3713" s="2410" t="str">
        <f t="shared" si="67"/>
        <v>Alle ... im Laufstall?</v>
      </c>
      <c r="B3713" s="2410" t="s">
        <v>7758</v>
      </c>
      <c r="C3713" s="2410" t="s">
        <v>8285</v>
      </c>
      <c r="D3713" s="2414" t="s">
        <v>11254</v>
      </c>
    </row>
    <row r="3714" spans="1:4" ht="12.75" customHeight="1">
      <c r="A3714" s="2410" t="str">
        <f t="shared" si="67"/>
        <v>MiKu</v>
      </c>
      <c r="B3714" s="2410" t="s">
        <v>7747</v>
      </c>
      <c r="C3714" s="2410" t="s">
        <v>7753</v>
      </c>
      <c r="D3714" s="2414" t="s">
        <v>10066</v>
      </c>
    </row>
    <row r="3715" spans="1:4" ht="12.75" customHeight="1">
      <c r="A3715" s="2410" t="str">
        <f t="shared" si="67"/>
        <v>JV</v>
      </c>
      <c r="B3715" s="2410" t="s">
        <v>7752</v>
      </c>
      <c r="C3715" s="2410" t="s">
        <v>7754</v>
      </c>
      <c r="D3715" s="2414" t="s">
        <v>10067</v>
      </c>
    </row>
    <row r="3716" spans="1:4" ht="12.75" customHeight="1">
      <c r="A3716" s="2410" t="str">
        <f t="shared" si="67"/>
        <v>ad libitum</v>
      </c>
      <c r="B3716" s="2410" t="s">
        <v>4284</v>
      </c>
      <c r="C3716" s="2410" t="s">
        <v>4559</v>
      </c>
      <c r="D3716" s="2414" t="s">
        <v>4284</v>
      </c>
    </row>
    <row r="3717" spans="1:4" ht="12.75" customHeight="1">
      <c r="A3717" s="2410" t="str">
        <f t="shared" si="67"/>
        <v>Bezug zu</v>
      </c>
      <c r="B3717" s="2410" t="s">
        <v>5906</v>
      </c>
      <c r="C3717" s="2410" t="s">
        <v>5781</v>
      </c>
      <c r="D3717" s="2414" t="s">
        <v>10068</v>
      </c>
    </row>
    <row r="3718" spans="1:4" ht="12.75" customHeight="1">
      <c r="A3718" s="2410" t="str">
        <f t="shared" si="67"/>
        <v>GMF</v>
      </c>
      <c r="B3718" s="2410" t="s">
        <v>5907</v>
      </c>
      <c r="C3718" s="2410" t="s">
        <v>236</v>
      </c>
      <c r="D3718" s="2414" t="s">
        <v>249</v>
      </c>
    </row>
    <row r="3719" spans="1:4" ht="12.75" customHeight="1">
      <c r="A3719" s="2410" t="str">
        <f t="shared" si="67"/>
        <v>Futterrüben</v>
      </c>
      <c r="B3719" s="2410" t="s">
        <v>56</v>
      </c>
      <c r="C3719" s="2410" t="s">
        <v>4566</v>
      </c>
      <c r="D3719" s="2414" t="s">
        <v>5199</v>
      </c>
    </row>
    <row r="3720" spans="1:4" ht="12.75" customHeight="1">
      <c r="A3720" s="2410" t="str">
        <f t="shared" si="67"/>
        <v>Kraftfutter</v>
      </c>
      <c r="B3720" s="2410" t="s">
        <v>1374</v>
      </c>
      <c r="C3720" s="2410" t="s">
        <v>4560</v>
      </c>
      <c r="D3720" s="2414" t="s">
        <v>10069</v>
      </c>
    </row>
    <row r="3721" spans="1:4" ht="12.75" customHeight="1">
      <c r="A3721" s="2410"/>
      <c r="B3721" s="2410"/>
      <c r="C3721" s="2410"/>
      <c r="D3721" s="2414"/>
    </row>
    <row r="3722" spans="1:4" ht="12.75" customHeight="1">
      <c r="A3722" s="2410" t="str">
        <f t="shared" si="67"/>
        <v>Milchleistung</v>
      </c>
      <c r="B3722" s="2410" t="s">
        <v>1375</v>
      </c>
      <c r="C3722" s="2410" t="s">
        <v>6680</v>
      </c>
      <c r="D3722" s="2414" t="s">
        <v>10070</v>
      </c>
    </row>
    <row r="3723" spans="1:4" ht="12.75" customHeight="1">
      <c r="A3723" s="2410" t="str">
        <f t="shared" si="67"/>
        <v>TS-Grundverz.</v>
      </c>
      <c r="B3723" s="2410" t="s">
        <v>1376</v>
      </c>
      <c r="C3723" s="2410" t="s">
        <v>4561</v>
      </c>
      <c r="D3723" s="2414" t="s">
        <v>10071</v>
      </c>
    </row>
    <row r="3724" spans="1:4" ht="12.75" customHeight="1">
      <c r="A3724" s="2410" t="str">
        <f t="shared" si="67"/>
        <v>Korr. TS-Verz.</v>
      </c>
      <c r="B3724" s="2410" t="s">
        <v>2330</v>
      </c>
      <c r="C3724" s="2410" t="s">
        <v>3721</v>
      </c>
      <c r="D3724" s="2414" t="s">
        <v>10072</v>
      </c>
    </row>
    <row r="3725" spans="1:4" ht="12.75" customHeight="1">
      <c r="A3725" s="2410" t="str">
        <f t="shared" si="67"/>
        <v>Fragen zu Fütterung S. E2</v>
      </c>
      <c r="B3725" s="2410" t="s">
        <v>4769</v>
      </c>
      <c r="C3725" s="2410" t="s">
        <v>42</v>
      </c>
      <c r="D3725" s="2414" t="s">
        <v>10073</v>
      </c>
    </row>
    <row r="3726" spans="1:4" ht="12.75" customHeight="1">
      <c r="A3726" s="2410" t="str">
        <f t="shared" si="67"/>
        <v>Zuschläge/Abzüge TS-Verzehr</v>
      </c>
      <c r="B3726" s="2410" t="s">
        <v>3370</v>
      </c>
      <c r="C3726" s="2410" t="s">
        <v>4680</v>
      </c>
      <c r="D3726" s="2414" t="s">
        <v>10074</v>
      </c>
    </row>
    <row r="3727" spans="1:4" ht="12.75" customHeight="1">
      <c r="A3727" s="2410" t="str">
        <f t="shared" si="67"/>
        <v>Korr. nach Leistung</v>
      </c>
      <c r="B3727" s="2410" t="s">
        <v>6440</v>
      </c>
      <c r="C3727" s="2410" t="s">
        <v>4681</v>
      </c>
      <c r="D3727" s="2414" t="s">
        <v>10075</v>
      </c>
    </row>
    <row r="3728" spans="1:4" ht="12.75" customHeight="1">
      <c r="A3728" s="2410" t="str">
        <f t="shared" si="67"/>
        <v>dt pro Jahr oder kg pro Jahr</v>
      </c>
      <c r="B3728" s="2410" t="s">
        <v>11061</v>
      </c>
      <c r="C3728" s="2410" t="s">
        <v>11060</v>
      </c>
      <c r="D3728" s="2414" t="s">
        <v>11059</v>
      </c>
    </row>
    <row r="3729" spans="1:4" ht="12.75" customHeight="1">
      <c r="A3729" s="2410" t="str">
        <f t="shared" si="67"/>
        <v>Korr. nach Leistung min/max</v>
      </c>
      <c r="B3729" s="2410" t="s">
        <v>6416</v>
      </c>
      <c r="C3729" s="2410" t="s">
        <v>6142</v>
      </c>
      <c r="D3729" s="2414" t="s">
        <v>10076</v>
      </c>
    </row>
    <row r="3730" spans="1:4" ht="12.75" customHeight="1">
      <c r="A3730" s="2410" t="str">
        <f t="shared" si="67"/>
        <v>Stück</v>
      </c>
      <c r="B3730" s="2410" t="s">
        <v>4322</v>
      </c>
      <c r="C3730" s="2410" t="s">
        <v>5258</v>
      </c>
      <c r="D3730" s="2414" t="s">
        <v>8569</v>
      </c>
    </row>
    <row r="3731" spans="1:4" ht="12.75" customHeight="1">
      <c r="A3731" s="2410" t="str">
        <f t="shared" si="67"/>
        <v>Platz</v>
      </c>
      <c r="B3731" s="2410" t="s">
        <v>5735</v>
      </c>
      <c r="C3731" s="2410" t="s">
        <v>5259</v>
      </c>
      <c r="D3731" s="2414" t="s">
        <v>8570</v>
      </c>
    </row>
    <row r="3732" spans="1:4" ht="12.75" customHeight="1">
      <c r="A3732" s="2410" t="str">
        <f t="shared" si="67"/>
        <v>Anzahl</v>
      </c>
      <c r="B3732" s="2410" t="s">
        <v>7044</v>
      </c>
      <c r="C3732" s="2410" t="s">
        <v>5260</v>
      </c>
      <c r="D3732" s="2414" t="s">
        <v>3773</v>
      </c>
    </row>
    <row r="3733" spans="1:4" ht="12.75" customHeight="1">
      <c r="A3733" s="2410" t="str">
        <f t="shared" si="67"/>
        <v>Einheit</v>
      </c>
      <c r="B3733" s="2410" t="s">
        <v>6392</v>
      </c>
      <c r="C3733" s="2410" t="s">
        <v>6215</v>
      </c>
      <c r="D3733" s="2414" t="s">
        <v>1610</v>
      </c>
    </row>
    <row r="3734" spans="1:4" ht="12.75" customHeight="1">
      <c r="A3734" s="2410" t="str">
        <f t="shared" ref="A3734:A3822" si="68">IF($A$2=1,B3734,IF($A$2=2,C3734,IF($A$2=3,IF(D3734="",C3734,D3734),"")))</f>
        <v>100 Pl.</v>
      </c>
      <c r="B3734" s="2410" t="s">
        <v>5537</v>
      </c>
      <c r="C3734" s="2410" t="s">
        <v>5537</v>
      </c>
      <c r="D3734" s="2414" t="s">
        <v>8571</v>
      </c>
    </row>
    <row r="3735" spans="1:4" ht="12.75" customHeight="1">
      <c r="A3735" s="2410" t="str">
        <f t="shared" si="68"/>
        <v>100 St.</v>
      </c>
      <c r="B3735" s="2410" t="s">
        <v>1541</v>
      </c>
      <c r="C3735" s="2410" t="s">
        <v>1542</v>
      </c>
      <c r="D3735" s="2414" t="s">
        <v>10077</v>
      </c>
    </row>
    <row r="3736" spans="1:4" ht="12.75" customHeight="1">
      <c r="A3736" s="2410" t="str">
        <f t="shared" si="68"/>
        <v>Rindvieh</v>
      </c>
      <c r="B3736" s="2410" t="s">
        <v>2588</v>
      </c>
      <c r="C3736" s="2410" t="s">
        <v>712</v>
      </c>
      <c r="D3736" s="2414" t="s">
        <v>2218</v>
      </c>
    </row>
    <row r="3737" spans="1:4" ht="12.75" customHeight="1">
      <c r="A3737" s="2410" t="str">
        <f t="shared" si="68"/>
        <v>Milchkühe, Ø Milchmenge:</v>
      </c>
      <c r="B3737" s="2410" t="s">
        <v>647</v>
      </c>
      <c r="C3737" s="2410" t="s">
        <v>6124</v>
      </c>
      <c r="D3737" s="3326" t="s">
        <v>10078</v>
      </c>
    </row>
    <row r="3738" spans="1:4" ht="12.75" customHeight="1">
      <c r="A3738" s="2410" t="str">
        <f t="shared" si="68"/>
        <v>Galtkühe</v>
      </c>
      <c r="B3738" s="2410" t="s">
        <v>1544</v>
      </c>
      <c r="C3738" s="2410" t="s">
        <v>8286</v>
      </c>
      <c r="D3738" s="2414" t="s">
        <v>10079</v>
      </c>
    </row>
    <row r="3739" spans="1:4" ht="12.75" customHeight="1">
      <c r="A3739" s="2410" t="str">
        <f t="shared" si="68"/>
        <v>Ausmastkühe</v>
      </c>
      <c r="B3739" s="2410" t="s">
        <v>1545</v>
      </c>
      <c r="C3739" s="2410" t="s">
        <v>8287</v>
      </c>
      <c r="D3739" s="2414" t="s">
        <v>11255</v>
      </c>
    </row>
    <row r="3740" spans="1:4" ht="12.75" customHeight="1">
      <c r="A3740" s="2410" t="str">
        <f t="shared" si="68"/>
        <v>Jungvieh, bis 160-tägig</v>
      </c>
      <c r="B3740" s="2410" t="s">
        <v>4017</v>
      </c>
      <c r="C3740" s="3327" t="s">
        <v>12142</v>
      </c>
      <c r="D3740" s="2414" t="s">
        <v>10080</v>
      </c>
    </row>
    <row r="3741" spans="1:4" ht="12.75" customHeight="1">
      <c r="A3741" s="2410" t="str">
        <f t="shared" si="68"/>
        <v>Jungvieh, 160 bis 365-tägig</v>
      </c>
      <c r="B3741" s="2410" t="s">
        <v>4016</v>
      </c>
      <c r="C3741" s="2410" t="s">
        <v>8288</v>
      </c>
      <c r="D3741" s="2414" t="s">
        <v>10081</v>
      </c>
    </row>
    <row r="3742" spans="1:4" ht="12.75" customHeight="1">
      <c r="A3742" s="2410" t="str">
        <f t="shared" si="68"/>
        <v>Jungvieh, 1 bis 2-jährig</v>
      </c>
      <c r="B3742" s="2410" t="s">
        <v>198</v>
      </c>
      <c r="C3742" s="2410" t="s">
        <v>7773</v>
      </c>
      <c r="D3742" s="2414" t="s">
        <v>8992</v>
      </c>
    </row>
    <row r="3743" spans="1:4" ht="12.75" customHeight="1">
      <c r="A3743" s="2410" t="str">
        <f t="shared" si="68"/>
        <v>Jungvieh, über 2-jährig</v>
      </c>
      <c r="B3743" s="2410" t="s">
        <v>7744</v>
      </c>
      <c r="C3743" s="2410" t="s">
        <v>8289</v>
      </c>
      <c r="D3743" s="2414" t="s">
        <v>8993</v>
      </c>
    </row>
    <row r="3744" spans="1:4" ht="12.75" customHeight="1">
      <c r="A3744" s="2410" t="str">
        <f t="shared" si="68"/>
        <v>Stiere, 1 bis 2-jährig</v>
      </c>
      <c r="B3744" s="2410" t="s">
        <v>2770</v>
      </c>
      <c r="C3744" s="2410" t="s">
        <v>6217</v>
      </c>
      <c r="D3744" s="2414" t="s">
        <v>8994</v>
      </c>
    </row>
    <row r="3745" spans="1:4" ht="12.75" customHeight="1">
      <c r="A3745" s="2410" t="str">
        <f t="shared" si="68"/>
        <v>Stiere, über 2-jährig</v>
      </c>
      <c r="B3745" s="2410" t="s">
        <v>2771</v>
      </c>
      <c r="C3745" s="2410" t="s">
        <v>8290</v>
      </c>
      <c r="D3745" s="2414" t="s">
        <v>10082</v>
      </c>
    </row>
    <row r="3746" spans="1:4" ht="12.75" customHeight="1">
      <c r="A3746" s="2410" t="str">
        <f t="shared" si="68"/>
        <v>Mutterkühe</v>
      </c>
      <c r="B3746" s="2410" t="s">
        <v>5441</v>
      </c>
      <c r="C3746" s="2410" t="s">
        <v>5904</v>
      </c>
      <c r="D3746" s="2414" t="s">
        <v>8996</v>
      </c>
    </row>
    <row r="3747" spans="1:4" ht="12.75" customHeight="1">
      <c r="A3747" s="2410" t="str">
        <f t="shared" si="68"/>
        <v>Mutterkuhkälber zur Mast, bis 160-tägig</v>
      </c>
      <c r="B3747" s="2410" t="s">
        <v>7709</v>
      </c>
      <c r="C3747" s="2410" t="s">
        <v>8291</v>
      </c>
      <c r="D3747" s="2414" t="s">
        <v>11176</v>
      </c>
    </row>
    <row r="3748" spans="1:4" ht="12.75" customHeight="1">
      <c r="A3748" s="2410" t="str">
        <f t="shared" si="68"/>
        <v>Mutterkuhkälber, Mast über 160-tägig</v>
      </c>
      <c r="B3748" s="2410" t="s">
        <v>8100</v>
      </c>
      <c r="C3748" s="2410" t="s">
        <v>8292</v>
      </c>
      <c r="D3748" s="2414" t="s">
        <v>11256</v>
      </c>
    </row>
    <row r="3749" spans="1:4" ht="12.75" customHeight="1">
      <c r="A3749" s="2410" t="str">
        <f t="shared" si="68"/>
        <v>Mastkälber, 60 bis 220 kg</v>
      </c>
      <c r="B3749" s="2410" t="s">
        <v>4018</v>
      </c>
      <c r="C3749" s="2410" t="s">
        <v>8293</v>
      </c>
      <c r="D3749" s="2414" t="s">
        <v>10083</v>
      </c>
    </row>
    <row r="3750" spans="1:4" ht="12.75" customHeight="1">
      <c r="A3750" s="2410" t="str">
        <f t="shared" si="68"/>
        <v>Mastkälber, 60 bis 220 kg, pro Jahr</v>
      </c>
      <c r="B3750" s="2410" t="s">
        <v>4019</v>
      </c>
      <c r="C3750" s="2410" t="s">
        <v>8294</v>
      </c>
      <c r="D3750" s="3326" t="s">
        <v>10084</v>
      </c>
    </row>
    <row r="3751" spans="1:4" ht="12.75" customHeight="1">
      <c r="A3751" s="2410" t="str">
        <f t="shared" si="68"/>
        <v>Rindviehmast, intensiv,  65 bis 520 kg</v>
      </c>
      <c r="B3751" s="2410" t="s">
        <v>1252</v>
      </c>
      <c r="C3751" s="2410" t="s">
        <v>1251</v>
      </c>
      <c r="D3751" s="2414" t="s">
        <v>10085</v>
      </c>
    </row>
    <row r="3752" spans="1:4" ht="12.75" customHeight="1">
      <c r="A3752" s="2410" t="str">
        <f t="shared" si="68"/>
        <v>Rindviehmast, bis 160-tägig</v>
      </c>
      <c r="B3752" s="3327" t="s">
        <v>7718</v>
      </c>
      <c r="C3752" s="2410" t="s">
        <v>8295</v>
      </c>
      <c r="D3752" s="2414" t="s">
        <v>10086</v>
      </c>
    </row>
    <row r="3753" spans="1:4" ht="12.75" customHeight="1">
      <c r="A3753" s="2410" t="str">
        <f t="shared" si="68"/>
        <v>Rindviehmast, über 160-tägig</v>
      </c>
      <c r="B3753" s="2410" t="s">
        <v>7719</v>
      </c>
      <c r="C3753" s="2410" t="s">
        <v>8260</v>
      </c>
      <c r="D3753" s="2414" t="s">
        <v>8714</v>
      </c>
    </row>
    <row r="3754" spans="1:4" ht="12.75" customHeight="1">
      <c r="A3754" s="2410" t="str">
        <f t="shared" si="68"/>
        <v>Rindviehmast, Weidemast, über 4 Monate</v>
      </c>
      <c r="B3754" s="2410" t="s">
        <v>1261</v>
      </c>
      <c r="C3754" s="2410" t="s">
        <v>6974</v>
      </c>
      <c r="D3754" s="2414" t="s">
        <v>9007</v>
      </c>
    </row>
    <row r="3755" spans="1:4" ht="12.75" customHeight="1">
      <c r="A3755" s="2410" t="str">
        <f t="shared" si="68"/>
        <v>Rindviehmast, intensive Ausmast, ab ca. 300 kg LG</v>
      </c>
      <c r="B3755" s="2410" t="s">
        <v>1253</v>
      </c>
      <c r="C3755" s="2410" t="s">
        <v>4377</v>
      </c>
      <c r="D3755" s="2414" t="s">
        <v>9350</v>
      </c>
    </row>
    <row r="3756" spans="1:4" ht="12.75" customHeight="1">
      <c r="A3756" s="2410" t="str">
        <f t="shared" si="68"/>
        <v>Mastkälber aus Import/Export Bilanz</v>
      </c>
      <c r="B3756" s="3327" t="s">
        <v>12163</v>
      </c>
      <c r="C3756" s="3327" t="s">
        <v>12164</v>
      </c>
      <c r="D3756" s="3326" t="s">
        <v>12165</v>
      </c>
    </row>
    <row r="3757" spans="1:4" ht="12.75" customHeight="1">
      <c r="A3757" s="2410" t="str">
        <f t="shared" si="68"/>
        <v>Tiere der Pferdegattung (Equiden)</v>
      </c>
      <c r="B3757" s="2410" t="s">
        <v>7178</v>
      </c>
      <c r="C3757" s="2410" t="s">
        <v>59</v>
      </c>
      <c r="D3757" s="2414" t="s">
        <v>2219</v>
      </c>
    </row>
    <row r="3758" spans="1:4" ht="12.75" customHeight="1">
      <c r="A3758" s="2410" t="str">
        <f t="shared" si="68"/>
        <v>Pferde &gt; 148 cm, über 180-tägig</v>
      </c>
      <c r="B3758" s="2410" t="s">
        <v>1259</v>
      </c>
      <c r="C3758" s="2410" t="s">
        <v>1254</v>
      </c>
      <c r="D3758" s="2414" t="s">
        <v>9009</v>
      </c>
    </row>
    <row r="3759" spans="1:4" ht="12.75" customHeight="1">
      <c r="A3759" s="2410" t="str">
        <f t="shared" si="68"/>
        <v>Pferde &gt; 148 cm, bis 180-tägig</v>
      </c>
      <c r="B3759" s="2410" t="s">
        <v>1260</v>
      </c>
      <c r="C3759" s="2410" t="s">
        <v>8296</v>
      </c>
      <c r="D3759" s="2414" t="s">
        <v>9010</v>
      </c>
    </row>
    <row r="3760" spans="1:4" ht="12.75" customHeight="1">
      <c r="A3760" s="2410" t="str">
        <f t="shared" si="68"/>
        <v>Maultiere, Maulesel, über 180-tägig, unabh. von Widerristhöhe</v>
      </c>
      <c r="B3760" s="2410" t="s">
        <v>1258</v>
      </c>
      <c r="C3760" s="2410" t="s">
        <v>8297</v>
      </c>
      <c r="D3760" s="2414" t="s">
        <v>10087</v>
      </c>
    </row>
    <row r="3761" spans="1:4" ht="12.75" customHeight="1">
      <c r="A3761" s="2410" t="str">
        <f t="shared" si="68"/>
        <v>Maultiere, Maulesel, bis 180-tägig, unabh. von Widerristhöhe</v>
      </c>
      <c r="B3761" s="2410" t="s">
        <v>1257</v>
      </c>
      <c r="C3761" s="2410" t="s">
        <v>8298</v>
      </c>
      <c r="D3761" s="2414" t="s">
        <v>10088</v>
      </c>
    </row>
    <row r="3762" spans="1:4" ht="12.75" customHeight="1">
      <c r="A3762" s="2410" t="str">
        <f t="shared" si="68"/>
        <v>Ponys, Kleinpferde, Esel, jeden Alters, bis 148 cm</v>
      </c>
      <c r="B3762" s="2410" t="s">
        <v>1256</v>
      </c>
      <c r="C3762" s="2410" t="s">
        <v>8179</v>
      </c>
      <c r="D3762" s="2414" t="s">
        <v>10089</v>
      </c>
    </row>
    <row r="3763" spans="1:4" ht="12.75" customHeight="1">
      <c r="A3763" s="2410">
        <f t="shared" si="68"/>
        <v>0</v>
      </c>
      <c r="B3763" s="2410"/>
      <c r="C3763" s="2410"/>
      <c r="D3763" s="2414"/>
    </row>
    <row r="3764" spans="1:4" ht="12.75" customHeight="1">
      <c r="A3764" s="2410" t="str">
        <f t="shared" si="68"/>
        <v>Kleine Wiederkäuer</v>
      </c>
      <c r="B3764" s="2410" t="s">
        <v>6583</v>
      </c>
      <c r="C3764" s="2410" t="s">
        <v>3848</v>
      </c>
      <c r="D3764" s="2414" t="s">
        <v>2220</v>
      </c>
    </row>
    <row r="3765" spans="1:4" ht="12.75" customHeight="1">
      <c r="A3765" s="3328" t="str">
        <f t="shared" si="68"/>
        <v>Milchschafe, Ø Milchmenge:</v>
      </c>
      <c r="B3765" s="3327" t="s">
        <v>12155</v>
      </c>
      <c r="C3765" s="3327" t="s">
        <v>12157</v>
      </c>
      <c r="D3765" s="3326" t="s">
        <v>12159</v>
      </c>
    </row>
    <row r="3766" spans="1:4" ht="12.75" customHeight="1">
      <c r="A3766" s="3328" t="str">
        <f t="shared" si="68"/>
        <v>Andere Schafe, über 365-tägig</v>
      </c>
      <c r="B3766" s="3327" t="s">
        <v>12144</v>
      </c>
      <c r="C3766" s="3327" t="s">
        <v>12140</v>
      </c>
      <c r="D3766" s="3326" t="s">
        <v>12141</v>
      </c>
    </row>
    <row r="3767" spans="1:4" ht="12.75" customHeight="1">
      <c r="A3767" s="3328" t="str">
        <f t="shared" si="68"/>
        <v>Jungschafe, über 180 bis 365-tägig</v>
      </c>
      <c r="B3767" s="3327" t="s">
        <v>12182</v>
      </c>
      <c r="C3767" s="3327" t="s">
        <v>12185</v>
      </c>
      <c r="D3767" s="3326" t="s">
        <v>12187</v>
      </c>
    </row>
    <row r="3768" spans="1:4" ht="12.75" customHeight="1">
      <c r="A3768" s="3328" t="str">
        <f t="shared" si="68"/>
        <v>Lämmer, bis 180-tägig</v>
      </c>
      <c r="B3768" s="3327" t="s">
        <v>12145</v>
      </c>
      <c r="C3768" s="3327" t="s">
        <v>12143</v>
      </c>
      <c r="D3768" s="3326" t="s">
        <v>12186</v>
      </c>
    </row>
    <row r="3769" spans="1:4" ht="12.75" customHeight="1">
      <c r="A3769" s="3328" t="str">
        <f t="shared" si="68"/>
        <v>Milchziegen, Ø Milchmenge:</v>
      </c>
      <c r="B3769" s="3327" t="s">
        <v>12156</v>
      </c>
      <c r="C3769" s="3327" t="s">
        <v>12158</v>
      </c>
      <c r="D3769" s="3326" t="s">
        <v>12160</v>
      </c>
    </row>
    <row r="3770" spans="1:4" ht="12.75" customHeight="1">
      <c r="A3770" s="3328" t="str">
        <f t="shared" si="68"/>
        <v>Andere Zeigen, über 365-tägig</v>
      </c>
      <c r="B3770" s="3327" t="s">
        <v>12146</v>
      </c>
      <c r="C3770" s="3327" t="s">
        <v>12147</v>
      </c>
      <c r="D3770" s="3326" t="s">
        <v>12148</v>
      </c>
    </row>
    <row r="3771" spans="1:4" ht="12.75" customHeight="1">
      <c r="A3771" s="3328" t="str">
        <f t="shared" si="68"/>
        <v>Jungziegen, über 180 bis 365-tägig</v>
      </c>
      <c r="B3771" s="3327" t="s">
        <v>12183</v>
      </c>
      <c r="C3771" s="3327" t="s">
        <v>12184</v>
      </c>
      <c r="D3771" s="3326" t="s">
        <v>12188</v>
      </c>
    </row>
    <row r="3772" spans="1:4" ht="12.75" customHeight="1">
      <c r="A3772" s="3328" t="str">
        <f t="shared" si="68"/>
        <v>Zicklein bis 180-tägig, Milchziegenherde</v>
      </c>
      <c r="B3772" s="3327" t="s">
        <v>12150</v>
      </c>
      <c r="C3772" s="3327" t="s">
        <v>12153</v>
      </c>
      <c r="D3772" s="3326" t="s">
        <v>12151</v>
      </c>
    </row>
    <row r="3773" spans="1:4" ht="12.75" customHeight="1">
      <c r="A3773" s="3328" t="str">
        <f t="shared" si="68"/>
        <v>Zicklein bis 180-tägig, Mutterziegenherde</v>
      </c>
      <c r="B3773" s="3327" t="s">
        <v>12149</v>
      </c>
      <c r="C3773" s="3327" t="s">
        <v>12154</v>
      </c>
      <c r="D3773" s="3326" t="s">
        <v>12152</v>
      </c>
    </row>
    <row r="3774" spans="1:4" ht="12.75" customHeight="1">
      <c r="A3774" s="2410" t="str">
        <f t="shared" si="68"/>
        <v>Weitere raufutterverzehrende Nutztiere</v>
      </c>
      <c r="B3774" s="2410" t="s">
        <v>3450</v>
      </c>
      <c r="C3774" s="2410" t="s">
        <v>1332</v>
      </c>
      <c r="D3774" s="2414" t="s">
        <v>2221</v>
      </c>
    </row>
    <row r="3775" spans="1:4" ht="12.75" customHeight="1">
      <c r="A3775" s="2410" t="str">
        <f t="shared" si="68"/>
        <v>Bisons über 900-tägig</v>
      </c>
      <c r="B3775" s="2410" t="s">
        <v>5443</v>
      </c>
      <c r="C3775" s="2410" t="s">
        <v>8184</v>
      </c>
      <c r="D3775" s="2414" t="s">
        <v>9019</v>
      </c>
    </row>
    <row r="3776" spans="1:4" ht="12.75" customHeight="1">
      <c r="A3776" s="2410" t="str">
        <f t="shared" si="68"/>
        <v>Bisons bis 900-tägig, Zucht und Mast</v>
      </c>
      <c r="B3776" s="2410" t="s">
        <v>1266</v>
      </c>
      <c r="C3776" s="2410" t="s">
        <v>5457</v>
      </c>
      <c r="D3776" s="2414" t="s">
        <v>10090</v>
      </c>
    </row>
    <row r="3777" spans="1:4" ht="12.75" customHeight="1">
      <c r="A3777" s="2410" t="str">
        <f t="shared" si="68"/>
        <v>Damhirsche, 2 Tiere, Muttertier und Nachwuchs</v>
      </c>
      <c r="B3777" s="2410" t="s">
        <v>5730</v>
      </c>
      <c r="C3777" s="2410" t="s">
        <v>5731</v>
      </c>
      <c r="D3777" s="2414" t="s">
        <v>9362</v>
      </c>
    </row>
    <row r="3778" spans="1:4" ht="12.75" customHeight="1">
      <c r="A3778" s="2410" t="str">
        <f t="shared" si="68"/>
        <v>Rothirsche, 2 Tiere, Muttertier und Nachwuchs</v>
      </c>
      <c r="B3778" s="2410" t="s">
        <v>5729</v>
      </c>
      <c r="C3778" s="2410" t="s">
        <v>5732</v>
      </c>
      <c r="D3778" s="2414" t="s">
        <v>9362</v>
      </c>
    </row>
    <row r="3779" spans="1:4" ht="12.75" customHeight="1">
      <c r="A3779" s="2410" t="str">
        <f t="shared" si="68"/>
        <v>Lamas über 2-jährig</v>
      </c>
      <c r="B3779" s="2410" t="s">
        <v>5454</v>
      </c>
      <c r="C3779" s="2410" t="s">
        <v>8185</v>
      </c>
      <c r="D3779" s="2414" t="s">
        <v>8186</v>
      </c>
    </row>
    <row r="3780" spans="1:4" ht="12.75" customHeight="1">
      <c r="A3780" s="2410" t="str">
        <f t="shared" si="68"/>
        <v>Lamas bis 2-jährig</v>
      </c>
      <c r="B3780" s="2410" t="s">
        <v>1262</v>
      </c>
      <c r="C3780" s="2410" t="s">
        <v>8180</v>
      </c>
      <c r="D3780" s="2414" t="s">
        <v>11257</v>
      </c>
    </row>
    <row r="3781" spans="1:4" ht="12.75" customHeight="1">
      <c r="A3781" s="2410" t="str">
        <f t="shared" si="68"/>
        <v>Alpakas über 2-jährig</v>
      </c>
      <c r="B3781" s="2410" t="s">
        <v>5456</v>
      </c>
      <c r="C3781" s="2410" t="s">
        <v>8187</v>
      </c>
      <c r="D3781" s="2414" t="s">
        <v>8188</v>
      </c>
    </row>
    <row r="3782" spans="1:4" ht="12.75" customHeight="1">
      <c r="A3782" s="2410" t="str">
        <f t="shared" si="68"/>
        <v>Alpakas bis 2-jährig</v>
      </c>
      <c r="B3782" s="2410" t="s">
        <v>1263</v>
      </c>
      <c r="C3782" s="2410" t="s">
        <v>8181</v>
      </c>
      <c r="D3782" s="2414" t="s">
        <v>11258</v>
      </c>
    </row>
    <row r="3783" spans="1:4" ht="12.75" customHeight="1">
      <c r="A3783" s="2410" t="str">
        <f t="shared" si="68"/>
        <v>Kaninchen</v>
      </c>
      <c r="B3783" s="2410" t="s">
        <v>5013</v>
      </c>
      <c r="C3783" s="2410" t="s">
        <v>1062</v>
      </c>
      <c r="D3783" s="2414" t="s">
        <v>9600</v>
      </c>
    </row>
    <row r="3784" spans="1:4" ht="12.75" customHeight="1">
      <c r="A3784" s="2410" t="str">
        <f t="shared" si="68"/>
        <v>Kaninchen, Zibben inkl. Jungtiere bis ca. 35-tägig</v>
      </c>
      <c r="B3784" s="2410" t="s">
        <v>2534</v>
      </c>
      <c r="C3784" s="2410" t="s">
        <v>8109</v>
      </c>
      <c r="D3784" s="2414" t="s">
        <v>11259</v>
      </c>
    </row>
    <row r="3785" spans="1:4" ht="12.75" customHeight="1">
      <c r="A3785" s="2410" t="str">
        <f t="shared" si="68"/>
        <v>Kaninchen, Jungtiere über ca. 35-tägig</v>
      </c>
      <c r="B3785" s="2410" t="s">
        <v>7318</v>
      </c>
      <c r="C3785" s="2410" t="s">
        <v>3221</v>
      </c>
      <c r="D3785" s="2414" t="s">
        <v>11260</v>
      </c>
    </row>
    <row r="3786" spans="1:4" ht="12.75" customHeight="1">
      <c r="A3786" s="2410" t="str">
        <f t="shared" si="68"/>
        <v>Kaninchen aus Import/Export Bilanz</v>
      </c>
      <c r="B3786" s="2410" t="s">
        <v>5011</v>
      </c>
      <c r="C3786" s="2410" t="s">
        <v>5012</v>
      </c>
      <c r="D3786" s="2414" t="s">
        <v>11261</v>
      </c>
    </row>
    <row r="3787" spans="1:4" ht="12.75" customHeight="1">
      <c r="A3787" s="2410" t="str">
        <f t="shared" si="68"/>
        <v>Schweine</v>
      </c>
      <c r="B3787" s="2410" t="s">
        <v>2279</v>
      </c>
      <c r="C3787" s="2410" t="s">
        <v>1585</v>
      </c>
      <c r="D3787" s="2414" t="s">
        <v>1918</v>
      </c>
    </row>
    <row r="3788" spans="1:4" ht="12.75" customHeight="1">
      <c r="A3788" s="2410" t="str">
        <f t="shared" si="68"/>
        <v>Zuchtschweine inkl. Ferkel bis 26 kg LG</v>
      </c>
      <c r="B3788" s="2410" t="s">
        <v>2536</v>
      </c>
      <c r="C3788" s="2410" t="s">
        <v>2537</v>
      </c>
      <c r="D3788" s="2414" t="s">
        <v>11262</v>
      </c>
    </row>
    <row r="3789" spans="1:4" ht="12.75" customHeight="1">
      <c r="A3789" s="2410" t="str">
        <f t="shared" si="68"/>
        <v>26 abgesetzte Ferkel pro Sau und Jahr</v>
      </c>
      <c r="B3789" s="2410" t="s">
        <v>2535</v>
      </c>
      <c r="C3789" s="2410" t="s">
        <v>8299</v>
      </c>
      <c r="D3789" s="2414" t="s">
        <v>11263</v>
      </c>
    </row>
    <row r="3790" spans="1:4" ht="12.75" customHeight="1">
      <c r="A3790" s="2410" t="str">
        <f t="shared" si="68"/>
        <v>Mastschweine, Remonten, 3.32 Umtriebe pro Jahr</v>
      </c>
      <c r="B3790" s="2410" t="s">
        <v>1601</v>
      </c>
      <c r="C3790" s="2410" t="s">
        <v>8300</v>
      </c>
      <c r="D3790" s="2414" t="s">
        <v>10091</v>
      </c>
    </row>
    <row r="3791" spans="1:4" ht="12.75" customHeight="1">
      <c r="A3791" s="2410" t="str">
        <f t="shared" si="68"/>
        <v>Zuchteber</v>
      </c>
      <c r="B3791" s="2410" t="s">
        <v>6332</v>
      </c>
      <c r="C3791" s="2410" t="s">
        <v>3954</v>
      </c>
      <c r="D3791" s="2414" t="s">
        <v>9025</v>
      </c>
    </row>
    <row r="3792" spans="1:4" ht="12.75" customHeight="1">
      <c r="A3792" s="2410" t="str">
        <f t="shared" si="68"/>
        <v>Zuchtschweine, säugend</v>
      </c>
      <c r="B3792" s="2410" t="s">
        <v>5570</v>
      </c>
      <c r="C3792" s="2410" t="s">
        <v>3955</v>
      </c>
      <c r="D3792" s="2414" t="s">
        <v>10689</v>
      </c>
    </row>
    <row r="3793" spans="1:4" ht="10.5" customHeight="1">
      <c r="A3793" s="2410" t="str">
        <f t="shared" si="68"/>
        <v>Zuchtsauen über 6 Monate, nicht säugend</v>
      </c>
      <c r="B3793" s="2410" t="s">
        <v>1265</v>
      </c>
      <c r="C3793" s="2410" t="s">
        <v>8301</v>
      </c>
      <c r="D3793" s="2414" t="s">
        <v>11181</v>
      </c>
    </row>
    <row r="3794" spans="1:4" ht="12.75" customHeight="1">
      <c r="A3794" s="2410" t="str">
        <f t="shared" si="68"/>
        <v>Ferkel, abgesetzt, 8 bis 26 kg LG, 9.61 Umtriebe</v>
      </c>
      <c r="B3794" s="2410" t="s">
        <v>2538</v>
      </c>
      <c r="C3794" s="2410" t="s">
        <v>8302</v>
      </c>
      <c r="D3794" s="2414" t="s">
        <v>9371</v>
      </c>
    </row>
    <row r="3795" spans="1:4" ht="12.75" customHeight="1">
      <c r="A3795" s="2410" t="str">
        <f t="shared" si="68"/>
        <v>Schweine aus Import/Export Bilanz</v>
      </c>
      <c r="B3795" s="2410" t="s">
        <v>1148</v>
      </c>
      <c r="C3795" s="2410" t="s">
        <v>8303</v>
      </c>
      <c r="D3795" s="2414" t="s">
        <v>11264</v>
      </c>
    </row>
    <row r="3796" spans="1:4" ht="12.75" customHeight="1">
      <c r="A3796" s="2410" t="str">
        <f t="shared" si="68"/>
        <v>Geflügel</v>
      </c>
      <c r="B3796" s="2410" t="s">
        <v>2280</v>
      </c>
      <c r="C3796" s="2410" t="s">
        <v>3957</v>
      </c>
      <c r="D3796" s="2414" t="s">
        <v>8462</v>
      </c>
    </row>
    <row r="3797" spans="1:4" ht="12.75" customHeight="1">
      <c r="A3797" s="2410" t="str">
        <f t="shared" si="68"/>
        <v>Lege- und Zuchthennen</v>
      </c>
      <c r="B3797" s="2410" t="s">
        <v>5536</v>
      </c>
      <c r="C3797" s="2410" t="s">
        <v>3958</v>
      </c>
      <c r="D3797" s="2414" t="s">
        <v>9026</v>
      </c>
    </row>
    <row r="3798" spans="1:4" ht="12.75" customHeight="1">
      <c r="A3798" s="2410" t="str">
        <f t="shared" si="68"/>
        <v>Junghennen, 2.25 Umtriebe</v>
      </c>
      <c r="B3798" s="2410" t="s">
        <v>2539</v>
      </c>
      <c r="C3798" s="2410" t="s">
        <v>8304</v>
      </c>
      <c r="D3798" s="2414" t="s">
        <v>10092</v>
      </c>
    </row>
    <row r="3799" spans="1:4" ht="12.75" customHeight="1">
      <c r="A3799" s="2410" t="str">
        <f t="shared" si="68"/>
        <v>Mastpoulets</v>
      </c>
      <c r="B3799" s="2410" t="s">
        <v>5539</v>
      </c>
      <c r="C3799" s="2410" t="s">
        <v>4864</v>
      </c>
      <c r="D3799" s="2414" t="s">
        <v>9030</v>
      </c>
    </row>
    <row r="3800" spans="1:4" ht="12.75" customHeight="1">
      <c r="A3800" s="2410" t="str">
        <f t="shared" si="68"/>
        <v>Masttruten</v>
      </c>
      <c r="B3800" s="2410" t="s">
        <v>5540</v>
      </c>
      <c r="C3800" s="2410" t="s">
        <v>3453</v>
      </c>
      <c r="D3800" s="2414" t="s">
        <v>9031</v>
      </c>
    </row>
    <row r="3801" spans="1:4" ht="12.75" customHeight="1">
      <c r="A3801" s="2410" t="str">
        <f t="shared" si="68"/>
        <v>Trutenvormast, bis 1.5 kg LG, 6 Umtriebe</v>
      </c>
      <c r="B3801" s="2410" t="s">
        <v>1965</v>
      </c>
      <c r="C3801" s="2410" t="s">
        <v>8305</v>
      </c>
      <c r="D3801" s="2414" t="s">
        <v>11265</v>
      </c>
    </row>
    <row r="3802" spans="1:4" ht="12.75" customHeight="1">
      <c r="A3802" s="2410" t="str">
        <f t="shared" si="68"/>
        <v>Trutenausmast, 1.5 bis 13 kg LG, 2.9 Umtriebe</v>
      </c>
      <c r="B3802" s="2410" t="s">
        <v>1966</v>
      </c>
      <c r="C3802" s="2410" t="s">
        <v>8306</v>
      </c>
      <c r="D3802" s="2414" t="s">
        <v>11266</v>
      </c>
    </row>
    <row r="3803" spans="1:4" ht="12.75" customHeight="1">
      <c r="A3803" s="2410" t="str">
        <f t="shared" si="68"/>
        <v>Masttruten, 2.8 Umtriebe</v>
      </c>
      <c r="B3803" s="2410" t="s">
        <v>1543</v>
      </c>
      <c r="C3803" s="2410" t="s">
        <v>8307</v>
      </c>
      <c r="D3803" s="2414" t="s">
        <v>10093</v>
      </c>
    </row>
    <row r="3804" spans="1:4" ht="12.75" customHeight="1">
      <c r="A3804" s="2410" t="str">
        <f t="shared" si="68"/>
        <v>Pferde</v>
      </c>
      <c r="B3804" s="2410" t="s">
        <v>2589</v>
      </c>
      <c r="C3804" s="2410" t="str">
        <f>B3804</f>
        <v>Pferde</v>
      </c>
      <c r="D3804" s="2414" t="s">
        <v>10306</v>
      </c>
    </row>
    <row r="3805" spans="1:4" ht="12.75" customHeight="1">
      <c r="A3805" s="2410" t="str">
        <f t="shared" si="68"/>
        <v>Fohlen</v>
      </c>
      <c r="B3805" s="2410" t="s">
        <v>7180</v>
      </c>
      <c r="C3805" s="2410" t="str">
        <f t="shared" ref="C3805:C3811" si="69">B3805</f>
        <v>Fohlen</v>
      </c>
      <c r="D3805" s="2414" t="s">
        <v>11067</v>
      </c>
    </row>
    <row r="3806" spans="1:4" ht="12.75" customHeight="1">
      <c r="A3806" s="2410" t="str">
        <f t="shared" si="68"/>
        <v>Maultiere, -esel</v>
      </c>
      <c r="B3806" s="2410" t="s">
        <v>7179</v>
      </c>
      <c r="C3806" s="2410" t="str">
        <f t="shared" si="69"/>
        <v>Maultiere, -esel</v>
      </c>
      <c r="D3806" s="2421" t="s">
        <v>11066</v>
      </c>
    </row>
    <row r="3807" spans="1:4" ht="12.75" customHeight="1">
      <c r="A3807" s="2410" t="str">
        <f t="shared" si="68"/>
        <v>Pferde für Suisse-Bilanz</v>
      </c>
      <c r="B3807" s="2410" t="s">
        <v>1962</v>
      </c>
      <c r="C3807" s="2410" t="str">
        <f t="shared" si="69"/>
        <v>Pferde für Suisse-Bilanz</v>
      </c>
      <c r="D3807" s="2421" t="s">
        <v>11068</v>
      </c>
    </row>
    <row r="3808" spans="1:4" ht="12.75" customHeight="1">
      <c r="A3808" s="2410" t="str">
        <f t="shared" si="68"/>
        <v>Pferde für SuiBi</v>
      </c>
      <c r="B3808" s="2410" t="s">
        <v>1963</v>
      </c>
      <c r="C3808" s="2410" t="str">
        <f t="shared" si="69"/>
        <v>Pferde für SuiBi</v>
      </c>
      <c r="D3808" s="2414" t="s">
        <v>11267</v>
      </c>
    </row>
    <row r="3809" spans="1:4" ht="12.75" customHeight="1">
      <c r="A3809" s="2410" t="str">
        <f t="shared" si="68"/>
        <v>Ponys, Esel</v>
      </c>
      <c r="B3809" s="2410" t="s">
        <v>6489</v>
      </c>
      <c r="C3809" s="2410" t="str">
        <f t="shared" si="69"/>
        <v>Ponys, Esel</v>
      </c>
      <c r="D3809" s="2421" t="s">
        <v>11069</v>
      </c>
    </row>
    <row r="3810" spans="1:4" ht="12.75" customHeight="1">
      <c r="A3810" s="2410" t="str">
        <f t="shared" si="68"/>
        <v>Fohlen für Suisse-Bilanz</v>
      </c>
      <c r="B3810" s="2410" t="s">
        <v>11065</v>
      </c>
      <c r="C3810" s="2410" t="str">
        <f t="shared" si="69"/>
        <v>Fohlen für Suisse-Bilanz</v>
      </c>
      <c r="D3810" s="2414" t="s">
        <v>11070</v>
      </c>
    </row>
    <row r="3811" spans="1:4" ht="12.75" customHeight="1">
      <c r="A3811" s="2410" t="str">
        <f t="shared" si="68"/>
        <v>Fohlen für SuiBi</v>
      </c>
      <c r="B3811" s="2410" t="s">
        <v>1964</v>
      </c>
      <c r="C3811" s="2410" t="str">
        <f t="shared" si="69"/>
        <v>Fohlen für SuiBi</v>
      </c>
      <c r="D3811" s="2414" t="s">
        <v>11268</v>
      </c>
    </row>
    <row r="3812" spans="1:4" ht="12.75" customHeight="1">
      <c r="A3812" s="2410" t="str">
        <f t="shared" si="68"/>
        <v>Spezifische Werte</v>
      </c>
      <c r="B3812" s="2410" t="s">
        <v>3451</v>
      </c>
      <c r="C3812" s="2410" t="s">
        <v>3026</v>
      </c>
      <c r="D3812" s="2424" t="s">
        <v>10094</v>
      </c>
    </row>
    <row r="3813" spans="1:4" ht="12.75" customHeight="1">
      <c r="A3813" s="2410" t="str">
        <f t="shared" si="68"/>
        <v>Energiekorrigierte Werte</v>
      </c>
      <c r="B3813" s="2410" t="s">
        <v>624</v>
      </c>
      <c r="C3813" s="2410" t="s">
        <v>708</v>
      </c>
      <c r="D3813" s="2424" t="s">
        <v>10095</v>
      </c>
    </row>
    <row r="3814" spans="1:4" ht="12.75" customHeight="1">
      <c r="A3814" s="2410" t="str">
        <f t="shared" si="68"/>
        <v>Standardwerte FS</v>
      </c>
      <c r="B3814" s="2410" t="s">
        <v>6313</v>
      </c>
      <c r="C3814" s="2410" t="s">
        <v>5177</v>
      </c>
      <c r="D3814" s="2424" t="s">
        <v>10096</v>
      </c>
    </row>
    <row r="3815" spans="1:4" ht="12.75" customHeight="1">
      <c r="A3815" s="2410" t="str">
        <f t="shared" si="68"/>
        <v>Tiefstwerte FS</v>
      </c>
      <c r="B3815" s="2410" t="s">
        <v>2518</v>
      </c>
      <c r="C3815" s="2410" t="s">
        <v>7096</v>
      </c>
      <c r="D3815" s="2424" t="s">
        <v>10097</v>
      </c>
    </row>
    <row r="3816" spans="1:4" ht="12.75" customHeight="1">
      <c r="A3816" s="2410" t="str">
        <f t="shared" si="68"/>
        <v>Tiefstwerte</v>
      </c>
      <c r="B3816" s="2410" t="s">
        <v>8107</v>
      </c>
      <c r="C3816" s="2410" t="s">
        <v>8108</v>
      </c>
      <c r="D3816" s="2424" t="s">
        <v>10098</v>
      </c>
    </row>
    <row r="3817" spans="1:4" ht="12.75" customHeight="1">
      <c r="A3817" s="2410" t="str">
        <f t="shared" si="68"/>
        <v>g RP FS</v>
      </c>
      <c r="B3817" s="2410" t="s">
        <v>254</v>
      </c>
      <c r="C3817" s="2410" t="s">
        <v>23</v>
      </c>
      <c r="D3817" s="2424" t="s">
        <v>10099</v>
      </c>
    </row>
    <row r="3818" spans="1:4" ht="12.75" customHeight="1">
      <c r="A3818" s="2410" t="str">
        <f t="shared" si="68"/>
        <v>g P FS</v>
      </c>
      <c r="B3818" s="2410" t="s">
        <v>255</v>
      </c>
      <c r="C3818" s="2410" t="s">
        <v>24</v>
      </c>
      <c r="D3818" s="2424" t="s">
        <v>10100</v>
      </c>
    </row>
    <row r="3819" spans="1:4" ht="12.75" customHeight="1">
      <c r="A3819" s="2410" t="str">
        <f t="shared" si="68"/>
        <v>MJ VES</v>
      </c>
      <c r="B3819" s="2410" t="s">
        <v>256</v>
      </c>
      <c r="C3819" s="2410" t="s">
        <v>25</v>
      </c>
      <c r="D3819" s="2424" t="s">
        <v>9049</v>
      </c>
    </row>
    <row r="3820" spans="1:4" ht="12.75" customHeight="1">
      <c r="A3820" s="2410" t="str">
        <f t="shared" si="68"/>
        <v>g RP korr.</v>
      </c>
      <c r="B3820" s="2410" t="s">
        <v>257</v>
      </c>
      <c r="C3820" s="2410" t="s">
        <v>5095</v>
      </c>
      <c r="D3820" s="2424" t="s">
        <v>10101</v>
      </c>
    </row>
    <row r="3821" spans="1:4" ht="12.75" customHeight="1">
      <c r="A3821" s="2410" t="str">
        <f t="shared" si="68"/>
        <v>g P korr.</v>
      </c>
      <c r="B3821" s="2410" t="s">
        <v>6291</v>
      </c>
      <c r="C3821" s="2410" t="s">
        <v>5096</v>
      </c>
      <c r="D3821" s="2424" t="s">
        <v>10101</v>
      </c>
    </row>
    <row r="3822" spans="1:4" ht="12.75" customHeight="1">
      <c r="A3822" s="2410" t="str">
        <f t="shared" si="68"/>
        <v>g RP FS</v>
      </c>
      <c r="B3822" s="2410" t="s">
        <v>254</v>
      </c>
      <c r="C3822" s="2410" t="s">
        <v>23</v>
      </c>
      <c r="D3822" s="2424" t="s">
        <v>10099</v>
      </c>
    </row>
    <row r="3823" spans="1:4" ht="12.75" customHeight="1">
      <c r="A3823" s="2410" t="str">
        <f t="shared" ref="A3823:A3886" si="70">IF($A$2=1,B3823,IF($A$2=2,C3823,IF($A$2=3,IF(D3823="",C3823,D3823),"")))</f>
        <v>g P FS</v>
      </c>
      <c r="B3823" s="2410" t="s">
        <v>255</v>
      </c>
      <c r="C3823" s="2410" t="s">
        <v>24</v>
      </c>
      <c r="D3823" s="2424" t="s">
        <v>10100</v>
      </c>
    </row>
    <row r="3824" spans="1:4" ht="12.75" customHeight="1">
      <c r="A3824" s="2410" t="str">
        <f t="shared" si="70"/>
        <v>MJ VES</v>
      </c>
      <c r="B3824" s="2410" t="s">
        <v>256</v>
      </c>
      <c r="C3824" s="2410" t="s">
        <v>25</v>
      </c>
      <c r="D3824" s="2424" t="s">
        <v>9049</v>
      </c>
    </row>
    <row r="3825" spans="1:4" ht="12.75" customHeight="1">
      <c r="A3825" s="2410" t="str">
        <f t="shared" si="70"/>
        <v>Futter für Zucht-</v>
      </c>
      <c r="B3825" s="2410" t="s">
        <v>7755</v>
      </c>
      <c r="C3825" s="2410" t="s">
        <v>7757</v>
      </c>
      <c r="D3825" s="2424" t="s">
        <v>11269</v>
      </c>
    </row>
    <row r="3826" spans="1:4" ht="12.75" customHeight="1">
      <c r="A3826" s="2410" t="str">
        <f t="shared" si="70"/>
        <v>schweine, inkl. Ferkel</v>
      </c>
      <c r="B3826" s="2410" t="s">
        <v>7756</v>
      </c>
      <c r="C3826" s="2410" t="s">
        <v>7748</v>
      </c>
      <c r="D3826" s="2424" t="s">
        <v>11270</v>
      </c>
    </row>
    <row r="3827" spans="1:4" ht="12.75" customHeight="1">
      <c r="A3827" s="2410" t="str">
        <f t="shared" si="70"/>
        <v>Mastschweinefutter</v>
      </c>
      <c r="B3827" s="2410" t="s">
        <v>6292</v>
      </c>
      <c r="C3827" s="2410" t="s">
        <v>5097</v>
      </c>
      <c r="D3827" s="2424" t="s">
        <v>10102</v>
      </c>
    </row>
    <row r="3828" spans="1:4" ht="12.75" customHeight="1">
      <c r="A3828" s="2410" t="str">
        <f t="shared" si="70"/>
        <v>Eberfutter</v>
      </c>
      <c r="B3828" s="2410" t="s">
        <v>7046</v>
      </c>
      <c r="C3828" s="2410" t="s">
        <v>5253</v>
      </c>
      <c r="D3828" s="2424" t="s">
        <v>10103</v>
      </c>
    </row>
    <row r="3829" spans="1:4" ht="12.75" customHeight="1">
      <c r="A3829" s="2410" t="str">
        <f t="shared" si="70"/>
        <v>Galtsauenfutter</v>
      </c>
      <c r="B3829" s="2410" t="s">
        <v>7047</v>
      </c>
      <c r="C3829" s="2410" t="s">
        <v>6787</v>
      </c>
      <c r="D3829" s="2424" t="s">
        <v>11271</v>
      </c>
    </row>
    <row r="3830" spans="1:4" ht="12.75" customHeight="1">
      <c r="A3830" s="2410" t="str">
        <f t="shared" si="70"/>
        <v>Futter säugende Sauen</v>
      </c>
      <c r="B3830" s="2410" t="s">
        <v>6603</v>
      </c>
      <c r="C3830" s="2410" t="s">
        <v>7176</v>
      </c>
      <c r="D3830" s="2424" t="s">
        <v>10104</v>
      </c>
    </row>
    <row r="3831" spans="1:4" ht="12.75" customHeight="1">
      <c r="A3831" s="2410" t="str">
        <f t="shared" si="70"/>
        <v>Ferkelfutter</v>
      </c>
      <c r="B3831" s="2410" t="s">
        <v>3255</v>
      </c>
      <c r="C3831" s="2410" t="s">
        <v>4491</v>
      </c>
      <c r="D3831" s="2424" t="s">
        <v>10105</v>
      </c>
    </row>
    <row r="3832" spans="1:4" ht="12.75" customHeight="1">
      <c r="A3832" s="2410" t="str">
        <f t="shared" si="70"/>
        <v>Zuchtschweine- / Eberfutter</v>
      </c>
      <c r="B3832" s="2410" t="s">
        <v>6325</v>
      </c>
      <c r="C3832" s="2410" t="s">
        <v>6121</v>
      </c>
      <c r="D3832" s="2424" t="s">
        <v>11272</v>
      </c>
    </row>
    <row r="3833" spans="1:4" ht="12.75" customHeight="1">
      <c r="A3833" s="2410" t="str">
        <f t="shared" si="70"/>
        <v>Legehennenfutter</v>
      </c>
      <c r="B3833" s="2410" t="s">
        <v>3256</v>
      </c>
      <c r="C3833" s="2410" t="s">
        <v>3537</v>
      </c>
      <c r="D3833" s="2424" t="s">
        <v>10106</v>
      </c>
    </row>
    <row r="3834" spans="1:4" ht="12.75" customHeight="1">
      <c r="A3834" s="2410" t="str">
        <f t="shared" si="70"/>
        <v>Standardanfall der beteiligten Kategorien</v>
      </c>
      <c r="B3834" s="2410" t="s">
        <v>7037</v>
      </c>
      <c r="C3834" s="2410" t="s">
        <v>7581</v>
      </c>
      <c r="D3834" s="2424" t="s">
        <v>10107</v>
      </c>
    </row>
    <row r="3835" spans="1:4" ht="12.75" customHeight="1">
      <c r="A3835" s="2410" t="str">
        <f t="shared" si="70"/>
        <v>Summe</v>
      </c>
      <c r="B3835" s="2410" t="s">
        <v>4321</v>
      </c>
      <c r="C3835" s="2410" t="s">
        <v>3048</v>
      </c>
      <c r="D3835" s="2424" t="s">
        <v>8612</v>
      </c>
    </row>
    <row r="3836" spans="1:4" ht="12.75" customHeight="1">
      <c r="A3836" s="2410" t="str">
        <f t="shared" si="70"/>
        <v>Werte für Schweine aus Impex für Hofdüngerberechnung</v>
      </c>
      <c r="B3836" s="2410" t="s">
        <v>4425</v>
      </c>
      <c r="C3836" s="2410" t="s">
        <v>7582</v>
      </c>
      <c r="D3836" s="2424" t="s">
        <v>10108</v>
      </c>
    </row>
    <row r="3837" spans="1:4" ht="12.75" customHeight="1">
      <c r="A3837" s="2410" t="str">
        <f t="shared" si="70"/>
        <v>Rindviehmast</v>
      </c>
      <c r="B3837" s="3327" t="s">
        <v>4242</v>
      </c>
      <c r="C3837" s="2410" t="s">
        <v>12166</v>
      </c>
      <c r="D3837" s="3326" t="s">
        <v>8866</v>
      </c>
    </row>
    <row r="3838" spans="1:4" ht="12.75" customHeight="1">
      <c r="A3838" s="2410" t="str">
        <f t="shared" si="70"/>
        <v>Aubergine</v>
      </c>
      <c r="B3838" s="2410" t="s">
        <v>5491</v>
      </c>
      <c r="C3838" s="2410" t="s">
        <v>5491</v>
      </c>
      <c r="D3838" s="2424" t="s">
        <v>10109</v>
      </c>
    </row>
    <row r="3839" spans="1:4" ht="12.75" customHeight="1">
      <c r="A3839" s="2410" t="str">
        <f t="shared" si="70"/>
        <v>Blumenkohl</v>
      </c>
      <c r="B3839" s="2410" t="s">
        <v>5492</v>
      </c>
      <c r="C3839" s="2410" t="s">
        <v>4832</v>
      </c>
      <c r="D3839" s="2424" t="s">
        <v>10110</v>
      </c>
    </row>
    <row r="3840" spans="1:4" ht="12.75" customHeight="1">
      <c r="A3840" s="2410" t="str">
        <f t="shared" si="70"/>
        <v>Bodenkohlrabi</v>
      </c>
      <c r="B3840" s="2410" t="s">
        <v>4738</v>
      </c>
      <c r="C3840" s="2410" t="s">
        <v>4833</v>
      </c>
      <c r="D3840" s="2424" t="s">
        <v>10111</v>
      </c>
    </row>
    <row r="3841" spans="1:4" ht="12.75" customHeight="1">
      <c r="A3841" s="2410" t="str">
        <f t="shared" si="70"/>
        <v>Bohnen Busch-, Handpflück-</v>
      </c>
      <c r="B3841" s="2410" t="s">
        <v>1781</v>
      </c>
      <c r="C3841" s="2410" t="s">
        <v>4834</v>
      </c>
      <c r="D3841" s="2424" t="s">
        <v>10112</v>
      </c>
    </row>
    <row r="3842" spans="1:4" ht="12.75" customHeight="1">
      <c r="A3842" s="2410" t="str">
        <f t="shared" si="70"/>
        <v>Bohnen, Verarbeitung-</v>
      </c>
      <c r="B3842" s="2410" t="s">
        <v>3632</v>
      </c>
      <c r="C3842" s="2410" t="s">
        <v>1149</v>
      </c>
      <c r="D3842" s="2424" t="s">
        <v>10113</v>
      </c>
    </row>
    <row r="3843" spans="1:4" ht="12.75" customHeight="1">
      <c r="A3843" s="2410" t="str">
        <f t="shared" si="70"/>
        <v>Broccoli</v>
      </c>
      <c r="B3843" s="2410" t="s">
        <v>3633</v>
      </c>
      <c r="C3843" s="2410" t="s">
        <v>5487</v>
      </c>
      <c r="D3843" s="2424" t="s">
        <v>10114</v>
      </c>
    </row>
    <row r="3844" spans="1:4" ht="12.75" customHeight="1">
      <c r="A3844" s="2410" t="str">
        <f t="shared" si="70"/>
        <v>Chinakohl</v>
      </c>
      <c r="B3844" s="2410" t="s">
        <v>3634</v>
      </c>
      <c r="C3844" s="2410" t="s">
        <v>5488</v>
      </c>
      <c r="D3844" s="2424" t="s">
        <v>10115</v>
      </c>
    </row>
    <row r="3845" spans="1:4" ht="12.75" customHeight="1">
      <c r="A3845" s="2410" t="str">
        <f t="shared" si="70"/>
        <v>Chicorée, Wurzelanbau</v>
      </c>
      <c r="B3845" s="2410" t="s">
        <v>3635</v>
      </c>
      <c r="C3845" s="2410" t="s">
        <v>5489</v>
      </c>
      <c r="D3845" s="2424" t="s">
        <v>10116</v>
      </c>
    </row>
    <row r="3846" spans="1:4">
      <c r="A3846" s="2410" t="str">
        <f t="shared" si="70"/>
        <v>Cima di rapa</v>
      </c>
      <c r="B3846" s="2410" t="s">
        <v>1033</v>
      </c>
      <c r="C3846" s="2423" t="s">
        <v>1033</v>
      </c>
      <c r="D3846" s="2424" t="s">
        <v>1033</v>
      </c>
    </row>
    <row r="3847" spans="1:4" ht="12.75" customHeight="1">
      <c r="A3847" s="2410" t="str">
        <f t="shared" si="70"/>
        <v>Cicorino rosso, Radicchio</v>
      </c>
      <c r="B3847" s="2410" t="s">
        <v>3636</v>
      </c>
      <c r="C3847" s="2410" t="s">
        <v>2257</v>
      </c>
      <c r="D3847" s="2424" t="s">
        <v>10117</v>
      </c>
    </row>
    <row r="3848" spans="1:4" ht="12.75" customHeight="1">
      <c r="A3848" s="2410" t="str">
        <f t="shared" si="70"/>
        <v>Endivie, mittlerer Ertrag</v>
      </c>
      <c r="B3848" s="2410" t="s">
        <v>3637</v>
      </c>
      <c r="C3848" s="2410" t="s">
        <v>2258</v>
      </c>
      <c r="D3848" s="2424" t="s">
        <v>10118</v>
      </c>
    </row>
    <row r="3849" spans="1:4" ht="12.75" customHeight="1">
      <c r="A3849" s="2410" t="str">
        <f t="shared" si="70"/>
        <v>Endivie, hoher Ertrag</v>
      </c>
      <c r="B3849" s="2410" t="s">
        <v>1668</v>
      </c>
      <c r="C3849" s="2410" t="s">
        <v>6638</v>
      </c>
      <c r="D3849" s="2424" t="s">
        <v>10119</v>
      </c>
    </row>
    <row r="3850" spans="1:4" ht="12.75" customHeight="1">
      <c r="A3850" s="2410" t="str">
        <f t="shared" si="70"/>
        <v>Erbsen, Verarbeitung-</v>
      </c>
      <c r="B3850" s="2410" t="s">
        <v>1669</v>
      </c>
      <c r="C3850" s="2410" t="s">
        <v>1954</v>
      </c>
      <c r="D3850" s="2424" t="s">
        <v>10120</v>
      </c>
    </row>
    <row r="3851" spans="1:4" ht="12.75" customHeight="1">
      <c r="A3851" s="2410" t="str">
        <f t="shared" si="70"/>
        <v>Erbsen, Kefen</v>
      </c>
      <c r="B3851" s="2410" t="s">
        <v>86</v>
      </c>
      <c r="C3851" s="2410" t="s">
        <v>1955</v>
      </c>
      <c r="D3851" s="2424" t="s">
        <v>10121</v>
      </c>
    </row>
    <row r="3852" spans="1:4" ht="12.75" customHeight="1">
      <c r="A3852" s="2410" t="str">
        <f t="shared" si="70"/>
        <v>Federkohl</v>
      </c>
      <c r="B3852" s="2410" t="s">
        <v>1029</v>
      </c>
      <c r="C3852" s="2410" t="s">
        <v>8308</v>
      </c>
      <c r="D3852" s="2424" t="s">
        <v>10122</v>
      </c>
    </row>
    <row r="3853" spans="1:4" ht="12.75" customHeight="1">
      <c r="A3853" s="2410" t="str">
        <f t="shared" si="70"/>
        <v>Fenchel, Knollen</v>
      </c>
      <c r="B3853" s="2410" t="s">
        <v>87</v>
      </c>
      <c r="C3853" s="2410" t="s">
        <v>5239</v>
      </c>
      <c r="D3853" s="2424" t="s">
        <v>10123</v>
      </c>
    </row>
    <row r="3854" spans="1:4" ht="12.75" customHeight="1">
      <c r="A3854" s="2410" t="str">
        <f t="shared" si="70"/>
        <v>Gurken, Essiggurken</v>
      </c>
      <c r="B3854" s="2410" t="s">
        <v>5955</v>
      </c>
      <c r="C3854" s="2410" t="s">
        <v>5240</v>
      </c>
      <c r="D3854" s="2424" t="s">
        <v>10124</v>
      </c>
    </row>
    <row r="3855" spans="1:4" ht="12.75" customHeight="1">
      <c r="A3855" s="2410" t="str">
        <f t="shared" si="70"/>
        <v>Kabis Früh-, Folie</v>
      </c>
      <c r="B3855" s="2410" t="s">
        <v>6831</v>
      </c>
      <c r="C3855" s="2410" t="s">
        <v>4167</v>
      </c>
      <c r="D3855" s="2424" t="s">
        <v>10125</v>
      </c>
    </row>
    <row r="3856" spans="1:4" ht="12.75" customHeight="1">
      <c r="A3856" s="2410" t="str">
        <f t="shared" si="70"/>
        <v>Kabis Lager</v>
      </c>
      <c r="B3856" s="2410" t="s">
        <v>6832</v>
      </c>
      <c r="C3856" s="2410" t="s">
        <v>4168</v>
      </c>
      <c r="D3856" s="2424" t="s">
        <v>10126</v>
      </c>
    </row>
    <row r="3857" spans="1:4" ht="12.75" customHeight="1">
      <c r="A3857" s="2410" t="str">
        <f t="shared" si="70"/>
        <v>Kabis Einschneide-</v>
      </c>
      <c r="B3857" s="2410" t="s">
        <v>896</v>
      </c>
      <c r="C3857" s="2410" t="s">
        <v>4169</v>
      </c>
      <c r="D3857" s="2424" t="s">
        <v>10127</v>
      </c>
    </row>
    <row r="3858" spans="1:4" ht="12.75" customHeight="1">
      <c r="A3858" s="2410" t="str">
        <f t="shared" si="70"/>
        <v>Karotten Pariser</v>
      </c>
      <c r="B3858" s="2410" t="s">
        <v>897</v>
      </c>
      <c r="C3858" s="2410" t="s">
        <v>5270</v>
      </c>
      <c r="D3858" s="2424" t="s">
        <v>10128</v>
      </c>
    </row>
    <row r="3859" spans="1:4" ht="12.75" customHeight="1">
      <c r="A3859" s="2410" t="str">
        <f t="shared" si="70"/>
        <v>Karotten Bund-, Früh-</v>
      </c>
      <c r="B3859" s="2410" t="s">
        <v>898</v>
      </c>
      <c r="C3859" s="2410" t="s">
        <v>1555</v>
      </c>
      <c r="D3859" s="2424" t="s">
        <v>10129</v>
      </c>
    </row>
    <row r="3860" spans="1:4" ht="12.75" customHeight="1">
      <c r="A3860" s="2410" t="str">
        <f t="shared" si="70"/>
        <v>Karotten Verarbeitung-, Lager-, mittlerer Ertrag</v>
      </c>
      <c r="B3860" s="2410" t="s">
        <v>85</v>
      </c>
      <c r="C3860" s="2410" t="s">
        <v>5497</v>
      </c>
      <c r="D3860" s="2424" t="s">
        <v>10130</v>
      </c>
    </row>
    <row r="3861" spans="1:4" ht="12.75" customHeight="1">
      <c r="A3861" s="2410" t="str">
        <f t="shared" si="70"/>
        <v>Karotten Verarbeitung-, Lager-, hoher Ertrag</v>
      </c>
      <c r="B3861" s="2410" t="s">
        <v>7548</v>
      </c>
      <c r="C3861" s="2410" t="s">
        <v>5845</v>
      </c>
      <c r="D3861" s="2424" t="s">
        <v>10131</v>
      </c>
    </row>
    <row r="3862" spans="1:4" ht="12.75" customHeight="1">
      <c r="A3862" s="2410" t="str">
        <f t="shared" si="70"/>
        <v>Kartoffeln Früh-</v>
      </c>
      <c r="B3862" s="2410" t="s">
        <v>5588</v>
      </c>
      <c r="C3862" s="2410" t="s">
        <v>5600</v>
      </c>
      <c r="D3862" s="2424" t="s">
        <v>10044</v>
      </c>
    </row>
    <row r="3863" spans="1:4">
      <c r="A3863" s="2410" t="str">
        <f t="shared" si="70"/>
        <v>Knoblauch</v>
      </c>
      <c r="B3863" s="2410" t="s">
        <v>1031</v>
      </c>
      <c r="C3863" s="2423" t="s">
        <v>1032</v>
      </c>
      <c r="D3863" s="2424" t="s">
        <v>10132</v>
      </c>
    </row>
    <row r="3864" spans="1:4" ht="12.75" customHeight="1">
      <c r="A3864" s="2410" t="str">
        <f t="shared" si="70"/>
        <v>Kohlrabi</v>
      </c>
      <c r="B3864" s="2410" t="s">
        <v>5589</v>
      </c>
      <c r="C3864" s="2410" t="s">
        <v>5416</v>
      </c>
      <c r="D3864" s="2424" t="s">
        <v>10111</v>
      </c>
    </row>
    <row r="3865" spans="1:4" ht="12.75" customHeight="1">
      <c r="A3865" s="2410" t="str">
        <f t="shared" si="70"/>
        <v>Kohlrabi Verarbeitung</v>
      </c>
      <c r="B3865" s="2410" t="s">
        <v>5590</v>
      </c>
      <c r="C3865" s="2410" t="s">
        <v>4257</v>
      </c>
      <c r="D3865" s="2424" t="s">
        <v>10133</v>
      </c>
    </row>
    <row r="3866" spans="1:4" ht="12.75" customHeight="1">
      <c r="A3866" s="2410" t="str">
        <f t="shared" si="70"/>
        <v>Kräuter, Gewürz klein</v>
      </c>
      <c r="B3866" s="2410" t="s">
        <v>3576</v>
      </c>
      <c r="C3866" s="2410" t="s">
        <v>5846</v>
      </c>
      <c r="D3866" s="2424" t="s">
        <v>10134</v>
      </c>
    </row>
    <row r="3867" spans="1:4" ht="12.75" customHeight="1">
      <c r="A3867" s="2410" t="str">
        <f t="shared" si="70"/>
        <v>Kräuter, Gewürz mittel</v>
      </c>
      <c r="B3867" s="2410" t="s">
        <v>7220</v>
      </c>
      <c r="C3867" s="2410" t="s">
        <v>5847</v>
      </c>
      <c r="D3867" s="2424" t="s">
        <v>10135</v>
      </c>
    </row>
    <row r="3868" spans="1:4" ht="12.75" customHeight="1">
      <c r="A3868" s="2410" t="str">
        <f t="shared" si="70"/>
        <v>Kräuter, Gewürz mittel bis gross</v>
      </c>
      <c r="B3868" s="2410" t="s">
        <v>6218</v>
      </c>
      <c r="C3868" s="2410" t="s">
        <v>5848</v>
      </c>
      <c r="D3868" s="2424" t="s">
        <v>10136</v>
      </c>
    </row>
    <row r="3869" spans="1:4" ht="12.75" customHeight="1">
      <c r="A3869" s="2410" t="str">
        <f t="shared" si="70"/>
        <v>Kräuter, Gewürz gross</v>
      </c>
      <c r="B3869" s="2410" t="s">
        <v>6219</v>
      </c>
      <c r="C3869" s="2410" t="s">
        <v>5175</v>
      </c>
      <c r="D3869" s="2424" t="s">
        <v>10137</v>
      </c>
    </row>
    <row r="3870" spans="1:4" ht="12.75" customHeight="1">
      <c r="A3870" s="2410">
        <f t="shared" si="70"/>
        <v>0</v>
      </c>
      <c r="B3870" s="2410"/>
      <c r="C3870" s="2410" t="s">
        <v>627</v>
      </c>
      <c r="D3870" s="2424"/>
    </row>
    <row r="3871" spans="1:4" ht="12.75" customHeight="1">
      <c r="A3871" s="2410" t="str">
        <f t="shared" si="70"/>
        <v>Krautstiel</v>
      </c>
      <c r="B3871" s="2410" t="s">
        <v>6220</v>
      </c>
      <c r="C3871" s="2410" t="s">
        <v>1926</v>
      </c>
      <c r="D3871" s="2424" t="s">
        <v>10138</v>
      </c>
    </row>
    <row r="3872" spans="1:4" ht="12.75" customHeight="1">
      <c r="A3872" s="2410" t="str">
        <f t="shared" si="70"/>
        <v>Lauch</v>
      </c>
      <c r="B3872" s="2410" t="s">
        <v>6221</v>
      </c>
      <c r="C3872" s="2410" t="s">
        <v>881</v>
      </c>
      <c r="D3872" s="2424" t="s">
        <v>10139</v>
      </c>
    </row>
    <row r="3873" spans="1:4" ht="12.75" customHeight="1">
      <c r="A3873" s="2410" t="str">
        <f t="shared" si="70"/>
        <v>Melone</v>
      </c>
      <c r="B3873" s="2410" t="s">
        <v>6222</v>
      </c>
      <c r="C3873" s="2410" t="s">
        <v>882</v>
      </c>
      <c r="D3873" s="2424" t="s">
        <v>6222</v>
      </c>
    </row>
    <row r="3874" spans="1:4" ht="12.75" customHeight="1">
      <c r="A3874" s="2410" t="str">
        <f t="shared" si="70"/>
        <v>Nüsslisalat, Feldsalat</v>
      </c>
      <c r="B3874" s="2410" t="s">
        <v>3322</v>
      </c>
      <c r="C3874" s="2410" t="s">
        <v>8309</v>
      </c>
      <c r="D3874" s="2424" t="s">
        <v>10140</v>
      </c>
    </row>
    <row r="3875" spans="1:4">
      <c r="A3875" s="2410" t="str">
        <f t="shared" si="70"/>
        <v>Pastinake</v>
      </c>
      <c r="B3875" s="2410" t="s">
        <v>1030</v>
      </c>
      <c r="C3875" s="2410" t="s">
        <v>7364</v>
      </c>
      <c r="D3875" s="2424" t="s">
        <v>10141</v>
      </c>
    </row>
    <row r="3876" spans="1:4" ht="12.75" customHeight="1">
      <c r="A3876" s="2410" t="str">
        <f t="shared" si="70"/>
        <v>Petersilie</v>
      </c>
      <c r="B3876" s="2410" t="s">
        <v>3094</v>
      </c>
      <c r="C3876" s="2410" t="s">
        <v>4369</v>
      </c>
      <c r="D3876" s="2424" t="s">
        <v>10142</v>
      </c>
    </row>
    <row r="3877" spans="1:4" ht="12.75" customHeight="1">
      <c r="A3877" s="2410" t="str">
        <f t="shared" si="70"/>
        <v>Radies 10 Bund/m2</v>
      </c>
      <c r="B3877" s="2410" t="s">
        <v>3095</v>
      </c>
      <c r="C3877" s="2410" t="s">
        <v>6095</v>
      </c>
      <c r="D3877" s="2424" t="s">
        <v>10143</v>
      </c>
    </row>
    <row r="3878" spans="1:4" ht="12.75" customHeight="1">
      <c r="A3878" s="2410" t="str">
        <f t="shared" si="70"/>
        <v>Randen</v>
      </c>
      <c r="B3878" s="2410" t="s">
        <v>3096</v>
      </c>
      <c r="C3878" s="2410" t="s">
        <v>5207</v>
      </c>
      <c r="D3878" s="2424" t="s">
        <v>10144</v>
      </c>
    </row>
    <row r="3879" spans="1:4" ht="12.75" customHeight="1">
      <c r="A3879" s="2410" t="str">
        <f t="shared" si="70"/>
        <v>Rettich 8-9 Stk/m2</v>
      </c>
      <c r="B3879" s="2410" t="s">
        <v>3781</v>
      </c>
      <c r="C3879" s="2410" t="s">
        <v>5208</v>
      </c>
      <c r="D3879" s="2424" t="s">
        <v>10145</v>
      </c>
    </row>
    <row r="3880" spans="1:4" ht="12.75" customHeight="1">
      <c r="A3880" s="2410" t="str">
        <f t="shared" si="70"/>
        <v>Rhabarber</v>
      </c>
      <c r="B3880" s="2410" t="s">
        <v>1651</v>
      </c>
      <c r="C3880" s="2410" t="s">
        <v>5209</v>
      </c>
      <c r="D3880" s="2424" t="s">
        <v>10146</v>
      </c>
    </row>
    <row r="3881" spans="1:4" ht="12.75" customHeight="1">
      <c r="A3881" s="2410" t="str">
        <f t="shared" si="70"/>
        <v>Rosenkohl, Strünke abgeführt</v>
      </c>
      <c r="B3881" s="2410" t="s">
        <v>1652</v>
      </c>
      <c r="C3881" s="2410" t="s">
        <v>5210</v>
      </c>
      <c r="D3881" s="2424" t="s">
        <v>10147</v>
      </c>
    </row>
    <row r="3882" spans="1:4" ht="12.75" customHeight="1">
      <c r="A3882" s="2410" t="str">
        <f t="shared" si="70"/>
        <v>Rüben Herbst-, Mai-</v>
      </c>
      <c r="B3882" s="2410" t="s">
        <v>3130</v>
      </c>
      <c r="C3882" s="2410" t="s">
        <v>5211</v>
      </c>
      <c r="D3882" s="2424" t="s">
        <v>10148</v>
      </c>
    </row>
    <row r="3883" spans="1:4" ht="12.75" customHeight="1">
      <c r="A3883" s="2410" t="str">
        <f t="shared" si="70"/>
        <v>Rucola, 1 Schnitt</v>
      </c>
      <c r="B3883" s="3327" t="s">
        <v>12189</v>
      </c>
      <c r="C3883" s="2410" t="s">
        <v>8310</v>
      </c>
      <c r="D3883" s="2424" t="s">
        <v>10149</v>
      </c>
    </row>
    <row r="3884" spans="1:4" ht="12.75" customHeight="1">
      <c r="A3884" s="2410" t="str">
        <f t="shared" si="70"/>
        <v>Rucola, 2 Schnitte</v>
      </c>
      <c r="B3884" s="3327" t="s">
        <v>12190</v>
      </c>
      <c r="C3884" s="2410" t="s">
        <v>8311</v>
      </c>
      <c r="D3884" s="2424" t="s">
        <v>10150</v>
      </c>
    </row>
    <row r="3885" spans="1:4" ht="12.75" customHeight="1">
      <c r="A3885" s="2410" t="str">
        <f t="shared" si="70"/>
        <v>Salate, diverse, mittlerer Ertrag</v>
      </c>
      <c r="B3885" s="2410" t="s">
        <v>5049</v>
      </c>
      <c r="C3885" s="2410" t="s">
        <v>5212</v>
      </c>
      <c r="D3885" s="2424" t="s">
        <v>10151</v>
      </c>
    </row>
    <row r="3886" spans="1:4" ht="12.75" customHeight="1">
      <c r="A3886" s="2410" t="str">
        <f t="shared" si="70"/>
        <v>Salate, diverse, hoher Ertrag</v>
      </c>
      <c r="B3886" s="2410" t="s">
        <v>5050</v>
      </c>
      <c r="C3886" s="2410" t="s">
        <v>5213</v>
      </c>
      <c r="D3886" s="2424" t="s">
        <v>10152</v>
      </c>
    </row>
    <row r="3887" spans="1:4" ht="12.75" customHeight="1">
      <c r="A3887" s="2410" t="str">
        <f t="shared" ref="A3887:A3950" si="71">IF($A$2=1,B3887,IF($A$2=2,C3887,IF($A$2=3,IF(D3887="",C3887,D3887),"")))</f>
        <v>Schnittblumen, klein</v>
      </c>
      <c r="B3887" s="2410" t="s">
        <v>5051</v>
      </c>
      <c r="C3887" s="2410" t="s">
        <v>3369</v>
      </c>
      <c r="D3887" s="2424" t="s">
        <v>10153</v>
      </c>
    </row>
    <row r="3888" spans="1:4" ht="12.75" customHeight="1">
      <c r="A3888" s="2410" t="str">
        <f t="shared" si="71"/>
        <v>Schnittblumen, mittel</v>
      </c>
      <c r="B3888" s="2410" t="s">
        <v>7146</v>
      </c>
      <c r="C3888" s="2410" t="s">
        <v>5087</v>
      </c>
      <c r="D3888" s="2424" t="s">
        <v>10154</v>
      </c>
    </row>
    <row r="3889" spans="1:4" ht="12.75" customHeight="1">
      <c r="A3889" s="2410" t="str">
        <f t="shared" si="71"/>
        <v>Schnittblumen, gross</v>
      </c>
      <c r="B3889" s="2410" t="s">
        <v>7147</v>
      </c>
      <c r="C3889" s="2410" t="s">
        <v>5088</v>
      </c>
      <c r="D3889" s="2424" t="s">
        <v>10155</v>
      </c>
    </row>
    <row r="3890" spans="1:4" ht="12.75" customHeight="1">
      <c r="A3890" s="2410" t="str">
        <f t="shared" si="71"/>
        <v>Schnittsalat</v>
      </c>
      <c r="B3890" s="2410" t="s">
        <v>7148</v>
      </c>
      <c r="C3890" s="2410" t="s">
        <v>5089</v>
      </c>
      <c r="D3890" s="2424" t="s">
        <v>10156</v>
      </c>
    </row>
    <row r="3891" spans="1:4" ht="12.75" customHeight="1">
      <c r="A3891" s="2410" t="str">
        <f t="shared" si="71"/>
        <v>Schnittlauch</v>
      </c>
      <c r="B3891" s="2410" t="s">
        <v>7149</v>
      </c>
      <c r="C3891" s="2410" t="s">
        <v>4897</v>
      </c>
      <c r="D3891" s="2424" t="s">
        <v>10157</v>
      </c>
    </row>
    <row r="3892" spans="1:4" ht="12.75" customHeight="1">
      <c r="A3892" s="2410" t="str">
        <f t="shared" si="71"/>
        <v>Schwarzwurzel</v>
      </c>
      <c r="B3892" s="2410" t="s">
        <v>7150</v>
      </c>
      <c r="C3892" s="2410" t="s">
        <v>4898</v>
      </c>
      <c r="D3892" s="2424" t="s">
        <v>10158</v>
      </c>
    </row>
    <row r="3893" spans="1:4" ht="12.75" customHeight="1">
      <c r="A3893" s="2410" t="str">
        <f t="shared" si="71"/>
        <v>Sellerie Knollen-</v>
      </c>
      <c r="B3893" s="2410" t="s">
        <v>7151</v>
      </c>
      <c r="C3893" s="2410" t="s">
        <v>295</v>
      </c>
      <c r="D3893" s="2424" t="s">
        <v>10159</v>
      </c>
    </row>
    <row r="3894" spans="1:4" ht="12.75" customHeight="1">
      <c r="A3894" s="2410" t="str">
        <f t="shared" si="71"/>
        <v>Sellerie Stangen-</v>
      </c>
      <c r="B3894" s="2410" t="s">
        <v>7527</v>
      </c>
      <c r="C3894" s="2410" t="s">
        <v>5388</v>
      </c>
      <c r="D3894" s="2424" t="s">
        <v>10160</v>
      </c>
    </row>
    <row r="3895" spans="1:4" ht="12.75" customHeight="1">
      <c r="A3895" s="2410" t="str">
        <f t="shared" si="71"/>
        <v>Spargel Bleich-</v>
      </c>
      <c r="B3895" s="2410" t="s">
        <v>7528</v>
      </c>
      <c r="C3895" s="2410" t="s">
        <v>6735</v>
      </c>
      <c r="D3895" s="2424" t="s">
        <v>10161</v>
      </c>
    </row>
    <row r="3896" spans="1:4" ht="12.75" customHeight="1">
      <c r="A3896" s="2410" t="str">
        <f t="shared" si="71"/>
        <v>Spargel Grün-</v>
      </c>
      <c r="B3896" s="2410" t="s">
        <v>7529</v>
      </c>
      <c r="C3896" s="2410" t="s">
        <v>6736</v>
      </c>
      <c r="D3896" s="2424" t="s">
        <v>10162</v>
      </c>
    </row>
    <row r="3897" spans="1:4" ht="12.75" customHeight="1">
      <c r="A3897" s="2410" t="str">
        <f t="shared" si="71"/>
        <v>Spinat, nicht überw., 1 Schnitt vor Mitte April gesät</v>
      </c>
      <c r="B3897" s="2410" t="s">
        <v>3847</v>
      </c>
      <c r="C3897" s="2410" t="s">
        <v>5495</v>
      </c>
      <c r="D3897" s="2424" t="s">
        <v>10163</v>
      </c>
    </row>
    <row r="3898" spans="1:4" ht="12.75" customHeight="1">
      <c r="A3898" s="2410">
        <f t="shared" si="71"/>
        <v>0</v>
      </c>
      <c r="B3898" s="2410"/>
      <c r="C3898" s="2410"/>
      <c r="D3898" s="2424"/>
    </row>
    <row r="3899" spans="1:4" ht="12.75" customHeight="1">
      <c r="A3899" s="2410" t="str">
        <f t="shared" si="71"/>
        <v>Spinat, nicht überwinternd, 1 Schnitt</v>
      </c>
      <c r="B3899" s="2410" t="s">
        <v>6162</v>
      </c>
      <c r="C3899" s="2410" t="s">
        <v>3137</v>
      </c>
      <c r="D3899" s="2424" t="s">
        <v>10164</v>
      </c>
    </row>
    <row r="3900" spans="1:4" ht="12.75" customHeight="1">
      <c r="A3900" s="2410" t="str">
        <f t="shared" si="71"/>
        <v>Spinat, nicht überwinternd, 2 Schnitte</v>
      </c>
      <c r="B3900" s="2410" t="s">
        <v>166</v>
      </c>
      <c r="C3900" s="2410" t="s">
        <v>3138</v>
      </c>
      <c r="D3900" s="2424" t="s">
        <v>10165</v>
      </c>
    </row>
    <row r="3901" spans="1:4" ht="12.75" customHeight="1">
      <c r="A3901" s="2410" t="str">
        <f t="shared" si="71"/>
        <v>Winterspinat, 1 Schnitt</v>
      </c>
      <c r="B3901" s="2410" t="s">
        <v>6412</v>
      </c>
      <c r="C3901" s="2410" t="s">
        <v>5774</v>
      </c>
      <c r="D3901" s="2424" t="s">
        <v>10166</v>
      </c>
    </row>
    <row r="3902" spans="1:4" ht="12.75" customHeight="1">
      <c r="A3902" s="2410" t="str">
        <f t="shared" si="71"/>
        <v>Tomaten</v>
      </c>
      <c r="B3902" s="2410" t="s">
        <v>6413</v>
      </c>
      <c r="C3902" s="2410" t="s">
        <v>6737</v>
      </c>
      <c r="D3902" s="2424" t="s">
        <v>10167</v>
      </c>
    </row>
    <row r="3903" spans="1:4" ht="12.75" customHeight="1">
      <c r="A3903" s="2410" t="str">
        <f t="shared" si="71"/>
        <v>Viola (Stiefmütterchen, Pensée)</v>
      </c>
      <c r="B3903" s="2410" t="s">
        <v>520</v>
      </c>
      <c r="C3903" s="2410" t="s">
        <v>6738</v>
      </c>
      <c r="D3903" s="2424" t="s">
        <v>10168</v>
      </c>
    </row>
    <row r="3904" spans="1:4" ht="12.75" customHeight="1">
      <c r="A3904" s="2410" t="str">
        <f t="shared" si="71"/>
        <v>Wirz leicht</v>
      </c>
      <c r="B3904" s="2410" t="s">
        <v>3467</v>
      </c>
      <c r="C3904" s="2410" t="s">
        <v>504</v>
      </c>
      <c r="D3904" s="2424" t="s">
        <v>10169</v>
      </c>
    </row>
    <row r="3905" spans="1:4" ht="12.75" customHeight="1">
      <c r="A3905" s="2410" t="str">
        <f t="shared" si="71"/>
        <v>Wirz schwer</v>
      </c>
      <c r="B3905" s="2410" t="s">
        <v>1940</v>
      </c>
      <c r="C3905" s="2410" t="s">
        <v>2189</v>
      </c>
      <c r="D3905" s="2424" t="s">
        <v>10170</v>
      </c>
    </row>
    <row r="3906" spans="1:4" ht="12.75" customHeight="1">
      <c r="A3906" s="2410" t="str">
        <f t="shared" si="71"/>
        <v>Zucchetti, Patisson, Kürbis</v>
      </c>
      <c r="B3906" s="2410" t="s">
        <v>1941</v>
      </c>
      <c r="C3906" s="2410" t="s">
        <v>723</v>
      </c>
      <c r="D3906" s="2424" t="s">
        <v>10171</v>
      </c>
    </row>
    <row r="3907" spans="1:4" ht="12.75" customHeight="1">
      <c r="A3907" s="2410" t="str">
        <f t="shared" si="71"/>
        <v>Zuckerhut</v>
      </c>
      <c r="B3907" s="2410" t="s">
        <v>6726</v>
      </c>
      <c r="C3907" s="2410" t="s">
        <v>724</v>
      </c>
      <c r="D3907" s="2424" t="s">
        <v>10172</v>
      </c>
    </row>
    <row r="3908" spans="1:4" ht="12.75" customHeight="1">
      <c r="A3908" s="2410" t="str">
        <f t="shared" si="71"/>
        <v>Zuckerhut (Convenience)</v>
      </c>
      <c r="B3908" s="2410" t="s">
        <v>6289</v>
      </c>
      <c r="C3908" s="2410" t="s">
        <v>5833</v>
      </c>
      <c r="D3908" s="2424" t="s">
        <v>10173</v>
      </c>
    </row>
    <row r="3909" spans="1:4" ht="12.75" customHeight="1">
      <c r="A3909" s="2410" t="str">
        <f t="shared" si="71"/>
        <v>Zuckermais</v>
      </c>
      <c r="B3909" s="2410" t="s">
        <v>6727</v>
      </c>
      <c r="C3909" s="2410" t="s">
        <v>3829</v>
      </c>
      <c r="D3909" s="2424" t="s">
        <v>10174</v>
      </c>
    </row>
    <row r="3910" spans="1:4" ht="12.75" customHeight="1">
      <c r="A3910" s="2410" t="str">
        <f t="shared" si="71"/>
        <v>Zwiebeln</v>
      </c>
      <c r="B3910" s="2410" t="s">
        <v>6728</v>
      </c>
      <c r="C3910" s="2410" t="s">
        <v>3830</v>
      </c>
      <c r="D3910" s="2424" t="s">
        <v>10175</v>
      </c>
    </row>
    <row r="3911" spans="1:4" ht="12.75" customHeight="1">
      <c r="A3911" s="2410" t="str">
        <f t="shared" si="71"/>
        <v>Mittelwert Freilandgemüse</v>
      </c>
      <c r="B3911" s="2410" t="s">
        <v>6729</v>
      </c>
      <c r="C3911" s="2410" t="s">
        <v>6245</v>
      </c>
      <c r="D3911" s="2424" t="s">
        <v>10176</v>
      </c>
    </row>
    <row r="3912" spans="1:4" ht="12.75" customHeight="1">
      <c r="A3912" s="2410">
        <f t="shared" si="71"/>
        <v>0</v>
      </c>
      <c r="B3912" s="2410"/>
      <c r="C3912" s="2410"/>
      <c r="D3912" s="2414"/>
    </row>
    <row r="3913" spans="1:4" ht="12.75" customHeight="1">
      <c r="A3913" s="2410" t="str">
        <f t="shared" si="71"/>
        <v>Aubergine, Erdkultur</v>
      </c>
      <c r="B3913" s="2410" t="s">
        <v>6388</v>
      </c>
      <c r="C3913" s="2410" t="s">
        <v>6455</v>
      </c>
      <c r="D3913" s="2424" t="s">
        <v>11273</v>
      </c>
    </row>
    <row r="3914" spans="1:4" ht="12.75" customHeight="1">
      <c r="A3914" s="2410" t="str">
        <f t="shared" si="71"/>
        <v>Bohnen Stangen-</v>
      </c>
      <c r="B3914" s="2410" t="s">
        <v>6389</v>
      </c>
      <c r="C3914" s="2410" t="s">
        <v>6456</v>
      </c>
      <c r="D3914" s="2424" t="s">
        <v>10177</v>
      </c>
    </row>
    <row r="3915" spans="1:4" ht="12.75" customHeight="1">
      <c r="A3915" s="2410" t="str">
        <f t="shared" si="71"/>
        <v>Endivie Herbst-</v>
      </c>
      <c r="B3915" s="2410" t="s">
        <v>2143</v>
      </c>
      <c r="C3915" s="2410" t="s">
        <v>4290</v>
      </c>
      <c r="D3915" s="2424" t="s">
        <v>10178</v>
      </c>
    </row>
    <row r="3916" spans="1:4" ht="12.75" customHeight="1">
      <c r="A3916" s="2410" t="str">
        <f t="shared" si="71"/>
        <v>Gurken; 30 Stk./m2, Erdkultur</v>
      </c>
      <c r="B3916" s="2410" t="s">
        <v>2144</v>
      </c>
      <c r="C3916" s="2410" t="s">
        <v>6632</v>
      </c>
      <c r="D3916" s="2424" t="s">
        <v>11274</v>
      </c>
    </row>
    <row r="3917" spans="1:4" ht="12.75" customHeight="1">
      <c r="A3917" s="2410" t="str">
        <f t="shared" si="71"/>
        <v>Gurken; 50 Stk./m2, Erdkultur</v>
      </c>
      <c r="B3917" s="2410" t="s">
        <v>2145</v>
      </c>
      <c r="C3917" s="2410" t="s">
        <v>3831</v>
      </c>
      <c r="D3917" s="2424" t="s">
        <v>11275</v>
      </c>
    </row>
    <row r="3918" spans="1:4" ht="12.75" customHeight="1">
      <c r="A3918" s="2410" t="str">
        <f t="shared" si="71"/>
        <v>Kohlrabi</v>
      </c>
      <c r="B3918" s="2410" t="s">
        <v>5589</v>
      </c>
      <c r="C3918" s="2410" t="s">
        <v>5416</v>
      </c>
      <c r="D3918" s="2424" t="s">
        <v>10111</v>
      </c>
    </row>
    <row r="3919" spans="1:4" ht="12.75" customHeight="1">
      <c r="A3919" s="2410" t="str">
        <f t="shared" si="71"/>
        <v>Krautstiel</v>
      </c>
      <c r="B3919" s="2410" t="s">
        <v>6220</v>
      </c>
      <c r="C3919" s="2410" t="s">
        <v>3832</v>
      </c>
      <c r="D3919" s="2424" t="s">
        <v>10138</v>
      </c>
    </row>
    <row r="3920" spans="1:4" ht="12.75" customHeight="1">
      <c r="A3920" s="2410" t="str">
        <f t="shared" si="71"/>
        <v>Kresse</v>
      </c>
      <c r="B3920" s="2410" t="s">
        <v>5007</v>
      </c>
      <c r="C3920" s="2410" t="s">
        <v>3833</v>
      </c>
      <c r="D3920" s="2424" t="s">
        <v>10179</v>
      </c>
    </row>
    <row r="3921" spans="1:4" ht="12.75" customHeight="1">
      <c r="A3921" s="2410" t="str">
        <f t="shared" si="71"/>
        <v>Lauch</v>
      </c>
      <c r="B3921" s="2410" t="s">
        <v>6221</v>
      </c>
      <c r="C3921" s="2410" t="s">
        <v>881</v>
      </c>
      <c r="D3921" s="2424" t="s">
        <v>10139</v>
      </c>
    </row>
    <row r="3922" spans="1:4" ht="12.75" customHeight="1">
      <c r="A3922" s="2410" t="str">
        <f t="shared" si="71"/>
        <v>Nüsslisalat, Feldsalat</v>
      </c>
      <c r="B3922" s="2410" t="s">
        <v>3322</v>
      </c>
      <c r="C3922" s="2410" t="s">
        <v>5496</v>
      </c>
      <c r="D3922" s="2424" t="s">
        <v>10140</v>
      </c>
    </row>
    <row r="3923" spans="1:4" ht="12.75" customHeight="1">
      <c r="A3923" s="2410" t="str">
        <f t="shared" si="71"/>
        <v>Paprika, Bodenkultur</v>
      </c>
      <c r="B3923" s="2410" t="s">
        <v>5008</v>
      </c>
      <c r="C3923" s="2410" t="s">
        <v>3834</v>
      </c>
      <c r="D3923" s="2424" t="s">
        <v>11276</v>
      </c>
    </row>
    <row r="3924" spans="1:4" ht="12.75" customHeight="1">
      <c r="A3924" s="2410" t="str">
        <f t="shared" si="71"/>
        <v>Petersilie</v>
      </c>
      <c r="B3924" s="2410" t="s">
        <v>3094</v>
      </c>
      <c r="C3924" s="2410" t="s">
        <v>4369</v>
      </c>
      <c r="D3924" s="2424" t="s">
        <v>10142</v>
      </c>
    </row>
    <row r="3925" spans="1:4" ht="12.75" customHeight="1">
      <c r="A3925" s="2410" t="str">
        <f t="shared" si="71"/>
        <v>Radies 20 Bund/m2</v>
      </c>
      <c r="B3925" s="2410" t="s">
        <v>3690</v>
      </c>
      <c r="C3925" s="2410" t="s">
        <v>3835</v>
      </c>
      <c r="D3925" s="2424" t="s">
        <v>10180</v>
      </c>
    </row>
    <row r="3926" spans="1:4" ht="12.75" customHeight="1">
      <c r="A3926" s="2410" t="str">
        <f t="shared" si="71"/>
        <v>Rettich 18 Stk/m2</v>
      </c>
      <c r="B3926" s="2410" t="s">
        <v>5602</v>
      </c>
      <c r="C3926" s="2410" t="s">
        <v>183</v>
      </c>
      <c r="D3926" s="2424" t="s">
        <v>10181</v>
      </c>
    </row>
    <row r="3927" spans="1:4" ht="12.75" customHeight="1">
      <c r="A3927" s="2410" t="str">
        <f t="shared" si="71"/>
        <v>Portulak</v>
      </c>
      <c r="B3927" s="2410" t="s">
        <v>5603</v>
      </c>
      <c r="C3927" s="2410" t="s">
        <v>184</v>
      </c>
      <c r="D3927" s="2424" t="s">
        <v>10182</v>
      </c>
    </row>
    <row r="3928" spans="1:4" ht="12.75" customHeight="1">
      <c r="A3928" s="2410" t="str">
        <f t="shared" si="71"/>
        <v>Rucola, ein Schnitt</v>
      </c>
      <c r="B3928" s="2410" t="s">
        <v>5604</v>
      </c>
      <c r="C3928" s="2410" t="s">
        <v>5225</v>
      </c>
      <c r="D3928" s="2424" t="s">
        <v>10149</v>
      </c>
    </row>
    <row r="3929" spans="1:4" ht="12.75" customHeight="1">
      <c r="A3929" s="2410" t="str">
        <f t="shared" si="71"/>
        <v>Rucola, zwei Schnitte</v>
      </c>
      <c r="B3929" s="2410" t="s">
        <v>714</v>
      </c>
      <c r="C3929" s="2410" t="s">
        <v>5226</v>
      </c>
      <c r="D3929" s="2424" t="s">
        <v>10150</v>
      </c>
    </row>
    <row r="3930" spans="1:4" ht="12.75" customHeight="1">
      <c r="A3930" s="2410" t="str">
        <f t="shared" si="71"/>
        <v>Salate Kopf-, Eisberg, Lollo</v>
      </c>
      <c r="B3930" s="2410" t="s">
        <v>3950</v>
      </c>
      <c r="C3930" s="2410" t="s">
        <v>2809</v>
      </c>
      <c r="D3930" s="2424" t="s">
        <v>10183</v>
      </c>
    </row>
    <row r="3931" spans="1:4" ht="12.75" customHeight="1">
      <c r="A3931" s="2410" t="str">
        <f t="shared" si="71"/>
        <v>Schnittlauch (Kultur)</v>
      </c>
      <c r="B3931" s="2410" t="s">
        <v>3951</v>
      </c>
      <c r="C3931" s="2410" t="s">
        <v>2810</v>
      </c>
      <c r="D3931" s="2424" t="s">
        <v>10184</v>
      </c>
    </row>
    <row r="3932" spans="1:4" ht="12.75" customHeight="1">
      <c r="A3932" s="2410" t="str">
        <f t="shared" si="71"/>
        <v>Schnittsalat</v>
      </c>
      <c r="B3932" s="2410" t="s">
        <v>7148</v>
      </c>
      <c r="C3932" s="2410" t="s">
        <v>5089</v>
      </c>
      <c r="D3932" s="2424" t="s">
        <v>10156</v>
      </c>
    </row>
    <row r="3933" spans="1:4" ht="12.75" customHeight="1">
      <c r="A3933" s="2410" t="str">
        <f t="shared" si="71"/>
        <v>Sellerie Suppen-, 40 Stk/m2</v>
      </c>
      <c r="B3933" s="2410" t="s">
        <v>6834</v>
      </c>
      <c r="C3933" s="2410" t="s">
        <v>2811</v>
      </c>
      <c r="D3933" s="2424" t="s">
        <v>11277</v>
      </c>
    </row>
    <row r="3934" spans="1:4" ht="12.75" customHeight="1">
      <c r="A3934" s="2410" t="str">
        <f t="shared" si="71"/>
        <v>Spinat</v>
      </c>
      <c r="B3934" s="2410" t="s">
        <v>778</v>
      </c>
      <c r="C3934" s="2410" t="s">
        <v>2812</v>
      </c>
      <c r="D3934" s="2424" t="s">
        <v>10185</v>
      </c>
    </row>
    <row r="3935" spans="1:4" ht="12.75" customHeight="1">
      <c r="A3935" s="2410" t="str">
        <f t="shared" si="71"/>
        <v xml:space="preserve">Tomaten  1200 kg Ertrag </v>
      </c>
      <c r="B3935" s="2410" t="s">
        <v>779</v>
      </c>
      <c r="C3935" s="2410" t="s">
        <v>2813</v>
      </c>
      <c r="D3935" s="2424" t="s">
        <v>10186</v>
      </c>
    </row>
    <row r="3936" spans="1:4" ht="12.75" customHeight="1">
      <c r="A3936" s="2410" t="str">
        <f t="shared" si="71"/>
        <v xml:space="preserve">Tomaten  1800 kg Ertrag </v>
      </c>
      <c r="B3936" s="2410" t="s">
        <v>7326</v>
      </c>
      <c r="C3936" s="2410" t="s">
        <v>2814</v>
      </c>
      <c r="D3936" s="2424" t="s">
        <v>10187</v>
      </c>
    </row>
    <row r="3937" spans="1:4" ht="12.75" customHeight="1">
      <c r="A3937" s="2410" t="str">
        <f t="shared" si="71"/>
        <v xml:space="preserve">Tomaten  2400 kg Ertrag </v>
      </c>
      <c r="B3937" s="2410" t="s">
        <v>7327</v>
      </c>
      <c r="C3937" s="2410" t="s">
        <v>523</v>
      </c>
      <c r="D3937" s="2424" t="s">
        <v>10188</v>
      </c>
    </row>
    <row r="3938" spans="1:4" ht="12.75" customHeight="1">
      <c r="A3938" s="2410" t="str">
        <f t="shared" si="71"/>
        <v xml:space="preserve">Tomaten  3000 kg Ertrag </v>
      </c>
      <c r="B3938" s="2410" t="s">
        <v>7328</v>
      </c>
      <c r="C3938" s="2410" t="s">
        <v>524</v>
      </c>
      <c r="D3938" s="2424" t="s">
        <v>10189</v>
      </c>
    </row>
    <row r="3939" spans="1:4" ht="12.75" customHeight="1">
      <c r="A3939" s="2410" t="str">
        <f t="shared" si="71"/>
        <v>Zucchetti, Patisson</v>
      </c>
      <c r="B3939" s="2410" t="s">
        <v>7273</v>
      </c>
      <c r="C3939" s="2410" t="s">
        <v>525</v>
      </c>
      <c r="D3939" s="2424" t="s">
        <v>10190</v>
      </c>
    </row>
    <row r="3940" spans="1:4" ht="12.75" customHeight="1">
      <c r="A3940" s="2410" t="str">
        <f t="shared" si="71"/>
        <v>Mittelwert Gewächshausgemüse</v>
      </c>
      <c r="B3940" s="2410" t="s">
        <v>5372</v>
      </c>
      <c r="C3940" s="2410" t="s">
        <v>526</v>
      </c>
      <c r="D3940" s="2424" t="s">
        <v>11278</v>
      </c>
    </row>
    <row r="3941" spans="1:4" ht="12.75" customHeight="1">
      <c r="A3941" s="2410">
        <f t="shared" si="71"/>
        <v>0</v>
      </c>
      <c r="B3941" s="2410"/>
      <c r="C3941" s="2410"/>
      <c r="D3941" s="2414"/>
    </row>
    <row r="3942" spans="1:4" ht="12.75" customHeight="1">
      <c r="A3942" s="2410" t="str">
        <f t="shared" si="71"/>
        <v>Obst und Beeren</v>
      </c>
      <c r="B3942" s="2410" t="s">
        <v>3075</v>
      </c>
      <c r="C3942" s="2410" t="s">
        <v>1833</v>
      </c>
      <c r="D3942" s="2424" t="s">
        <v>10191</v>
      </c>
    </row>
    <row r="3943" spans="1:4" ht="12.75" customHeight="1">
      <c r="A3943" s="2410" t="str">
        <f t="shared" si="71"/>
        <v>Kernobst</v>
      </c>
      <c r="B3943" s="2410" t="s">
        <v>5373</v>
      </c>
      <c r="C3943" s="2410" t="s">
        <v>527</v>
      </c>
      <c r="D3943" s="2424" t="s">
        <v>10192</v>
      </c>
    </row>
    <row r="3944" spans="1:4" ht="12.75" customHeight="1">
      <c r="A3944" s="2410" t="str">
        <f t="shared" si="71"/>
        <v>Kernobst, hoher Ertrag</v>
      </c>
      <c r="B3944" s="2410" t="s">
        <v>2246</v>
      </c>
      <c r="C3944" s="2410" t="s">
        <v>528</v>
      </c>
      <c r="D3944" s="2424" t="s">
        <v>10193</v>
      </c>
    </row>
    <row r="3945" spans="1:4" ht="12.75" customHeight="1">
      <c r="A3945" s="2410" t="str">
        <f t="shared" si="71"/>
        <v>Kirschen</v>
      </c>
      <c r="B3945" s="2410" t="s">
        <v>899</v>
      </c>
      <c r="C3945" s="2410" t="s">
        <v>6882</v>
      </c>
      <c r="D3945" s="2424" t="s">
        <v>10194</v>
      </c>
    </row>
    <row r="3946" spans="1:4" ht="12.75" customHeight="1">
      <c r="A3946" s="2410" t="str">
        <f t="shared" si="71"/>
        <v>Kirschen, hoher Ertrag</v>
      </c>
      <c r="B3946" s="2410" t="s">
        <v>900</v>
      </c>
      <c r="C3946" s="2410" t="s">
        <v>2072</v>
      </c>
      <c r="D3946" s="2424" t="s">
        <v>10195</v>
      </c>
    </row>
    <row r="3947" spans="1:4" ht="12.75" customHeight="1">
      <c r="A3947" s="2410" t="str">
        <f t="shared" si="71"/>
        <v>Zwetschgen</v>
      </c>
      <c r="B3947" s="2410" t="s">
        <v>901</v>
      </c>
      <c r="C3947" s="2410" t="s">
        <v>2073</v>
      </c>
      <c r="D3947" s="2424" t="s">
        <v>10196</v>
      </c>
    </row>
    <row r="3948" spans="1:4" ht="12.75" customHeight="1">
      <c r="A3948" s="2410" t="str">
        <f t="shared" si="71"/>
        <v>Zwetschgen, hoher Ertrag</v>
      </c>
      <c r="B3948" s="2410" t="s">
        <v>2824</v>
      </c>
      <c r="C3948" s="2410" t="s">
        <v>7279</v>
      </c>
      <c r="D3948" s="2424" t="s">
        <v>10197</v>
      </c>
    </row>
    <row r="3949" spans="1:4" ht="12.75" customHeight="1">
      <c r="A3949" s="2410" t="str">
        <f t="shared" si="71"/>
        <v>Aprikosen</v>
      </c>
      <c r="B3949" s="2410" t="s">
        <v>2825</v>
      </c>
      <c r="C3949" s="2410" t="s">
        <v>3342</v>
      </c>
      <c r="D3949" s="2424" t="s">
        <v>10198</v>
      </c>
    </row>
    <row r="3950" spans="1:4" ht="12.75" customHeight="1">
      <c r="A3950" s="2410" t="str">
        <f t="shared" si="71"/>
        <v>Aprikosen, hoher Ertrag</v>
      </c>
      <c r="B3950" s="2410" t="s">
        <v>2826</v>
      </c>
      <c r="C3950" s="2410" t="s">
        <v>1364</v>
      </c>
      <c r="D3950" s="2424" t="s">
        <v>10199</v>
      </c>
    </row>
    <row r="3951" spans="1:4" ht="12.75" customHeight="1">
      <c r="A3951" s="2410" t="str">
        <f t="shared" ref="A3951:A4014" si="72">IF($A$2=1,B3951,IF($A$2=2,C3951,IF($A$2=3,IF(D3951="",C3951,D3951),"")))</f>
        <v>Pfirsich</v>
      </c>
      <c r="B3951" s="2410" t="s">
        <v>2827</v>
      </c>
      <c r="C3951" s="2410" t="s">
        <v>1365</v>
      </c>
      <c r="D3951" s="2424" t="s">
        <v>10200</v>
      </c>
    </row>
    <row r="3952" spans="1:4" ht="12.75" customHeight="1">
      <c r="A3952" s="2410" t="str">
        <f t="shared" si="72"/>
        <v>Pfirsich, hoher Ertrag</v>
      </c>
      <c r="B3952" s="2410" t="s">
        <v>696</v>
      </c>
      <c r="C3952" s="2410" t="s">
        <v>1366</v>
      </c>
      <c r="D3952" s="2424" t="s">
        <v>10201</v>
      </c>
    </row>
    <row r="3953" spans="1:4" ht="12.75" customHeight="1">
      <c r="A3953" s="2410" t="str">
        <f t="shared" si="72"/>
        <v>Kiwi</v>
      </c>
      <c r="B3953" s="2410" t="s">
        <v>697</v>
      </c>
      <c r="C3953" s="2410" t="s">
        <v>4671</v>
      </c>
      <c r="D3953" s="2424" t="s">
        <v>697</v>
      </c>
    </row>
    <row r="3954" spans="1:4" ht="12.75" customHeight="1">
      <c r="A3954" s="2410" t="str">
        <f t="shared" si="72"/>
        <v>Kiwi, hoher Ertrag</v>
      </c>
      <c r="B3954" s="2410" t="s">
        <v>698</v>
      </c>
      <c r="C3954" s="2410" t="s">
        <v>2391</v>
      </c>
      <c r="D3954" s="2424" t="s">
        <v>10202</v>
      </c>
    </row>
    <row r="3955" spans="1:4" ht="12.75" customHeight="1">
      <c r="A3955" s="2410" t="str">
        <f t="shared" si="72"/>
        <v xml:space="preserve">Kleine gemischte Anlagen (&lt; 20 a) </v>
      </c>
      <c r="B3955" s="2410" t="s">
        <v>699</v>
      </c>
      <c r="C3955" s="2410" t="s">
        <v>2392</v>
      </c>
      <c r="D3955" s="2424" t="s">
        <v>10203</v>
      </c>
    </row>
    <row r="3956" spans="1:4" ht="12.75" customHeight="1">
      <c r="A3956" s="2410" t="str">
        <f t="shared" si="72"/>
        <v>Walnüsse, &lt; 185 Bäume pro ha</v>
      </c>
      <c r="B3956" s="2781" t="s">
        <v>11839</v>
      </c>
      <c r="C3956" s="2410" t="s">
        <v>8182</v>
      </c>
      <c r="D3956" s="2414" t="s">
        <v>10204</v>
      </c>
    </row>
    <row r="3957" spans="1:4" ht="12.75" customHeight="1">
      <c r="A3957" s="2410" t="str">
        <f t="shared" si="72"/>
        <v>Walnüsse, ≥ 185 Bäume pro ha</v>
      </c>
      <c r="B3957" s="2781" t="s">
        <v>11841</v>
      </c>
      <c r="C3957" s="2781" t="s">
        <v>11843</v>
      </c>
      <c r="D3957" s="2780" t="s">
        <v>11842</v>
      </c>
    </row>
    <row r="3958" spans="1:4" ht="12.75" customHeight="1">
      <c r="A3958" s="2410" t="str">
        <f t="shared" si="72"/>
        <v>Haselnüsse</v>
      </c>
      <c r="B3958" s="2410" t="s">
        <v>7792</v>
      </c>
      <c r="C3958" s="2410" t="s">
        <v>7793</v>
      </c>
      <c r="D3958" s="2414" t="s">
        <v>10205</v>
      </c>
    </row>
    <row r="3959" spans="1:4" ht="12.75" customHeight="1">
      <c r="A3959" s="2410" t="str">
        <f t="shared" si="72"/>
        <v>Beeren</v>
      </c>
      <c r="B3959" s="2410" t="s">
        <v>3276</v>
      </c>
      <c r="C3959" s="2410" t="s">
        <v>5249</v>
      </c>
      <c r="D3959" s="2424" t="s">
        <v>8522</v>
      </c>
    </row>
    <row r="3960" spans="1:4" ht="12.75" customHeight="1">
      <c r="A3960" s="2410" t="str">
        <f t="shared" si="72"/>
        <v>Erdbeeren, einjährig</v>
      </c>
      <c r="B3960" s="2410" t="s">
        <v>6100</v>
      </c>
      <c r="C3960" s="2410" t="s">
        <v>2393</v>
      </c>
      <c r="D3960" s="2424" t="s">
        <v>8512</v>
      </c>
    </row>
    <row r="3961" spans="1:4" ht="12.75" customHeight="1">
      <c r="A3961" s="2410" t="str">
        <f t="shared" si="72"/>
        <v>Erdbeeren, einjährig, hoher Ertrag</v>
      </c>
      <c r="B3961" s="2410" t="s">
        <v>6101</v>
      </c>
      <c r="C3961" s="2410" t="s">
        <v>2394</v>
      </c>
      <c r="D3961" s="2424" t="s">
        <v>10206</v>
      </c>
    </row>
    <row r="3962" spans="1:4" ht="12.75" customHeight="1">
      <c r="A3962" s="2410" t="str">
        <f t="shared" si="72"/>
        <v>Erdbeeren mehrjährig</v>
      </c>
      <c r="B3962" s="2410" t="s">
        <v>6102</v>
      </c>
      <c r="C3962" s="2410" t="s">
        <v>4304</v>
      </c>
      <c r="D3962" s="2424" t="s">
        <v>8521</v>
      </c>
    </row>
    <row r="3963" spans="1:4" ht="12.75" customHeight="1">
      <c r="A3963" s="2410" t="str">
        <f t="shared" si="72"/>
        <v>Himbeeren</v>
      </c>
      <c r="B3963" s="2410" t="s">
        <v>5557</v>
      </c>
      <c r="C3963" s="2410" t="s">
        <v>6582</v>
      </c>
      <c r="D3963" s="2424" t="s">
        <v>10207</v>
      </c>
    </row>
    <row r="3964" spans="1:4" ht="12.75" customHeight="1">
      <c r="A3964" s="2410" t="str">
        <f t="shared" si="72"/>
        <v>Himbeeren, hoher Ertrag</v>
      </c>
      <c r="B3964" s="2410" t="s">
        <v>5558</v>
      </c>
      <c r="C3964" s="2410" t="s">
        <v>6128</v>
      </c>
      <c r="D3964" s="2424" t="s">
        <v>10208</v>
      </c>
    </row>
    <row r="3965" spans="1:4" ht="12.75" customHeight="1">
      <c r="A3965" s="2410" t="str">
        <f t="shared" si="72"/>
        <v>Brombeeren</v>
      </c>
      <c r="B3965" s="2410" t="s">
        <v>6139</v>
      </c>
      <c r="C3965" s="2410" t="s">
        <v>1703</v>
      </c>
      <c r="D3965" s="2424" t="s">
        <v>10209</v>
      </c>
    </row>
    <row r="3966" spans="1:4" ht="12.75" customHeight="1">
      <c r="A3966" s="2410" t="str">
        <f t="shared" si="72"/>
        <v>Brombeeren, hoher Ertrag</v>
      </c>
      <c r="B3966" s="2410" t="s">
        <v>4932</v>
      </c>
      <c r="C3966" s="2410" t="s">
        <v>1704</v>
      </c>
      <c r="D3966" s="2424" t="s">
        <v>10210</v>
      </c>
    </row>
    <row r="3967" spans="1:4" ht="12.75" customHeight="1">
      <c r="A3967" s="2410" t="str">
        <f t="shared" si="72"/>
        <v>Rote Johannisbeeren</v>
      </c>
      <c r="B3967" s="2410" t="s">
        <v>4933</v>
      </c>
      <c r="C3967" s="2410" t="s">
        <v>1705</v>
      </c>
      <c r="D3967" s="2424" t="s">
        <v>10211</v>
      </c>
    </row>
    <row r="3968" spans="1:4" ht="12.75" customHeight="1">
      <c r="A3968" s="2410" t="str">
        <f t="shared" si="72"/>
        <v>Rote Johannisbeeren, hoher Ertrag</v>
      </c>
      <c r="B3968" s="2410" t="s">
        <v>195</v>
      </c>
      <c r="C3968" s="2410" t="s">
        <v>1706</v>
      </c>
      <c r="D3968" s="2424" t="s">
        <v>10212</v>
      </c>
    </row>
    <row r="3969" spans="1:4" ht="12.75" customHeight="1">
      <c r="A3969" s="2410" t="str">
        <f t="shared" si="72"/>
        <v>Cassis</v>
      </c>
      <c r="B3969" s="2410" t="s">
        <v>196</v>
      </c>
      <c r="C3969" s="2410" t="s">
        <v>196</v>
      </c>
      <c r="D3969" s="2424" t="s">
        <v>10213</v>
      </c>
    </row>
    <row r="3970" spans="1:4" ht="12.75" customHeight="1">
      <c r="A3970" s="2410" t="str">
        <f t="shared" si="72"/>
        <v>Cassis, hoher Ertrag</v>
      </c>
      <c r="B3970" s="2410" t="s">
        <v>197</v>
      </c>
      <c r="C3970" s="2410" t="s">
        <v>7320</v>
      </c>
      <c r="D3970" s="2424" t="s">
        <v>10214</v>
      </c>
    </row>
    <row r="3971" spans="1:4" ht="12.75" customHeight="1">
      <c r="A3971" s="2410" t="str">
        <f t="shared" si="72"/>
        <v>Stachelbeeren</v>
      </c>
      <c r="B3971" s="2410" t="s">
        <v>5387</v>
      </c>
      <c r="C3971" s="2410" t="s">
        <v>7321</v>
      </c>
      <c r="D3971" s="2424" t="s">
        <v>10215</v>
      </c>
    </row>
    <row r="3972" spans="1:4" ht="12.75" customHeight="1">
      <c r="A3972" s="2410" t="str">
        <f t="shared" si="72"/>
        <v>Stachelbeeren, hoher Ertrag</v>
      </c>
      <c r="B3972" s="2410" t="s">
        <v>2796</v>
      </c>
      <c r="C3972" s="2410" t="s">
        <v>7585</v>
      </c>
      <c r="D3972" s="2424" t="s">
        <v>10216</v>
      </c>
    </row>
    <row r="3973" spans="1:4" ht="12.75" customHeight="1">
      <c r="A3973" s="2410" t="str">
        <f t="shared" si="72"/>
        <v xml:space="preserve">Strauchbeeren, alternative </v>
      </c>
      <c r="B3973" s="2410" t="s">
        <v>1028</v>
      </c>
      <c r="C3973" s="2410" t="s">
        <v>1027</v>
      </c>
      <c r="D3973" s="2414" t="s">
        <v>10217</v>
      </c>
    </row>
    <row r="3974" spans="1:4" ht="12.75" customHeight="1">
      <c r="A3974" s="2410" t="str">
        <f t="shared" si="72"/>
        <v>Heidelbeeren</v>
      </c>
      <c r="B3974" s="2410" t="s">
        <v>6387</v>
      </c>
      <c r="C3974" s="2410" t="s">
        <v>7586</v>
      </c>
      <c r="D3974" s="2424" t="s">
        <v>10218</v>
      </c>
    </row>
    <row r="3975" spans="1:4" ht="12.75" customHeight="1">
      <c r="A3975" s="2410" t="str">
        <f t="shared" si="72"/>
        <v>Heidelbeeren, hoher Ertrag</v>
      </c>
      <c r="B3975" s="2410" t="s">
        <v>859</v>
      </c>
      <c r="C3975" s="2410" t="s">
        <v>7587</v>
      </c>
      <c r="D3975" s="2424" t="s">
        <v>10219</v>
      </c>
    </row>
    <row r="3976" spans="1:4" ht="12.75" customHeight="1">
      <c r="A3976" s="2410">
        <f t="shared" si="72"/>
        <v>0</v>
      </c>
      <c r="B3976" s="2410"/>
      <c r="C3976" s="2410"/>
      <c r="D3976" s="2414"/>
    </row>
    <row r="3977" spans="1:4" ht="12.75" customHeight="1">
      <c r="A3977" s="2410" t="str">
        <f t="shared" si="72"/>
        <v>Kulturen im Winterhalbjahr</v>
      </c>
      <c r="B3977" s="2410" t="s">
        <v>861</v>
      </c>
      <c r="C3977" s="2410" t="s">
        <v>7588</v>
      </c>
      <c r="D3977" s="2414" t="s">
        <v>10220</v>
      </c>
    </row>
    <row r="3978" spans="1:4" ht="12.75" customHeight="1">
      <c r="A3978" s="2410" t="str">
        <f t="shared" si="72"/>
        <v>Feld- und Gemüsekulturen</v>
      </c>
      <c r="B3978" s="2410" t="s">
        <v>3426</v>
      </c>
      <c r="C3978" s="2410" t="s">
        <v>632</v>
      </c>
      <c r="D3978" s="2414" t="s">
        <v>11279</v>
      </c>
    </row>
    <row r="3979" spans="1:4" ht="12.75" customHeight="1">
      <c r="A3979" s="2410" t="str">
        <f t="shared" si="72"/>
        <v>Umbruch</v>
      </c>
      <c r="B3979" s="2410" t="s">
        <v>1943</v>
      </c>
      <c r="C3979" s="2410" t="s">
        <v>5278</v>
      </c>
      <c r="D3979" s="2414" t="s">
        <v>11280</v>
      </c>
    </row>
    <row r="3980" spans="1:4" ht="12.75" customHeight="1">
      <c r="A3980" s="2410" t="str">
        <f t="shared" si="72"/>
        <v>nach dem</v>
      </c>
      <c r="B3980" s="2410" t="s">
        <v>3427</v>
      </c>
      <c r="C3980" s="2410" t="s">
        <v>633</v>
      </c>
      <c r="D3980" s="2414" t="s">
        <v>10221</v>
      </c>
    </row>
    <row r="3981" spans="1:4" ht="12.75" customHeight="1">
      <c r="A3981" s="2410" t="str">
        <f t="shared" si="72"/>
        <v>aber vor dem</v>
      </c>
      <c r="B3981" s="2410" t="s">
        <v>543</v>
      </c>
      <c r="C3981" s="2410" t="s">
        <v>634</v>
      </c>
      <c r="D3981" s="2414" t="s">
        <v>10222</v>
      </c>
    </row>
    <row r="3982" spans="1:4" ht="12.75" customHeight="1">
      <c r="A3982" s="2410" t="str">
        <f t="shared" si="72"/>
        <v>Index</v>
      </c>
      <c r="B3982" s="2410" t="s">
        <v>862</v>
      </c>
      <c r="C3982" s="2410" t="s">
        <v>635</v>
      </c>
      <c r="D3982" s="2414" t="s">
        <v>635</v>
      </c>
    </row>
    <row r="3983" spans="1:4" ht="12.75" customHeight="1">
      <c r="A3983" s="2410" t="str">
        <f t="shared" si="72"/>
        <v>Vorkultur</v>
      </c>
      <c r="B3983" s="2410" t="s">
        <v>863</v>
      </c>
      <c r="C3983" s="2410" t="s">
        <v>1904</v>
      </c>
      <c r="D3983" s="2414" t="s">
        <v>10223</v>
      </c>
    </row>
    <row r="3984" spans="1:4" ht="12.75" customHeight="1">
      <c r="A3984" s="2410" t="str">
        <f t="shared" si="72"/>
        <v>Gemüse</v>
      </c>
      <c r="B3984" s="2410" t="s">
        <v>1944</v>
      </c>
      <c r="C3984" s="2410" t="s">
        <v>6097</v>
      </c>
      <c r="D3984" s="2414" t="s">
        <v>10224</v>
      </c>
    </row>
    <row r="3985" spans="1:4" ht="12.75" customHeight="1">
      <c r="A3985" s="2410" t="str">
        <f t="shared" si="72"/>
        <v>möglich</v>
      </c>
      <c r="B3985" s="2410" t="s">
        <v>6883</v>
      </c>
      <c r="C3985" s="2410" t="s">
        <v>6098</v>
      </c>
      <c r="D3985" s="2414" t="s">
        <v>10225</v>
      </c>
    </row>
    <row r="3986" spans="1:4" ht="12.75" customHeight="1">
      <c r="A3986" s="2410" t="str">
        <f t="shared" si="72"/>
        <v>Ist</v>
      </c>
      <c r="B3986" s="2410" t="s">
        <v>2202</v>
      </c>
      <c r="C3986" s="2410" t="s">
        <v>6099</v>
      </c>
      <c r="D3986" s="2414" t="s">
        <v>8675</v>
      </c>
    </row>
    <row r="3987" spans="1:4" ht="12.75" customHeight="1">
      <c r="A3987" s="2410" t="str">
        <f t="shared" si="72"/>
        <v>Gemüse-</v>
      </c>
      <c r="B3987" s="2410" t="s">
        <v>542</v>
      </c>
      <c r="C3987" s="2410" t="s">
        <v>4692</v>
      </c>
      <c r="D3987" s="2414" t="s">
        <v>10226</v>
      </c>
    </row>
    <row r="3988" spans="1:4" ht="12.75" customHeight="1">
      <c r="A3988" s="2410" t="str">
        <f t="shared" si="72"/>
        <v>kultur</v>
      </c>
      <c r="B3988" s="2410" t="s">
        <v>6884</v>
      </c>
      <c r="C3988" s="2410" t="s">
        <v>4693</v>
      </c>
      <c r="D3988" s="2414" t="s">
        <v>10227</v>
      </c>
    </row>
    <row r="3989" spans="1:4" ht="12.75" customHeight="1">
      <c r="A3989" s="2410" t="str">
        <f t="shared" si="72"/>
        <v>Brache mit gehäckselter Maisstrohbedeckung, unbearbeitet</v>
      </c>
      <c r="B3989" s="2410" t="s">
        <v>5196</v>
      </c>
      <c r="C3989" s="2410" t="s">
        <v>7207</v>
      </c>
      <c r="D3989" s="2414" t="s">
        <v>10228</v>
      </c>
    </row>
    <row r="3990" spans="1:4" ht="12.75" customHeight="1">
      <c r="A3990" s="2410" t="str">
        <f t="shared" si="72"/>
        <v>Brache mit gehäckselter Maisstrohbedeckung, bearbeitet</v>
      </c>
      <c r="B3990" s="2410" t="s">
        <v>5197</v>
      </c>
      <c r="C3990" s="2410" t="s">
        <v>6908</v>
      </c>
      <c r="D3990" s="2414" t="s">
        <v>10229</v>
      </c>
    </row>
    <row r="3991" spans="1:4" ht="12.75" customHeight="1">
      <c r="A3991" s="2410" t="str">
        <f t="shared" si="72"/>
        <v>Rotations- und Buntbrachen, Saat bis 31.8 oder ab 2. Winter</v>
      </c>
      <c r="B3991" s="2410" t="s">
        <v>3937</v>
      </c>
      <c r="C3991" s="2410" t="s">
        <v>4582</v>
      </c>
      <c r="D3991" s="2414" t="s">
        <v>10230</v>
      </c>
    </row>
    <row r="3992" spans="1:4" ht="12.75" customHeight="1">
      <c r="A3992" s="2410" t="str">
        <f t="shared" si="72"/>
        <v>Buntbrachen, Saat zwischen 1.9 und 30.9</v>
      </c>
      <c r="B3992" s="2410" t="s">
        <v>1175</v>
      </c>
      <c r="C3992" s="2410" t="s">
        <v>3167</v>
      </c>
      <c r="D3992" s="2414" t="s">
        <v>10231</v>
      </c>
    </row>
    <row r="3993" spans="1:4" ht="12.75" customHeight="1">
      <c r="A3993" s="2410" t="str">
        <f t="shared" si="72"/>
        <v>Rotationsbrachen, Saat zwischen 1.9 und 15.9</v>
      </c>
      <c r="B3993" s="2410" t="s">
        <v>1176</v>
      </c>
      <c r="C3993" s="2410" t="s">
        <v>6045</v>
      </c>
      <c r="D3993" s="2414" t="s">
        <v>10232</v>
      </c>
    </row>
    <row r="3994" spans="1:4" ht="12.75" customHeight="1">
      <c r="A3994" s="2410" t="str">
        <f t="shared" si="72"/>
        <v>Getreidestoppelbrache mit max. 1 Stoppelbearbeitung</v>
      </c>
      <c r="B3994" s="2410" t="s">
        <v>3895</v>
      </c>
      <c r="C3994" s="2410" t="s">
        <v>365</v>
      </c>
      <c r="D3994" s="2414" t="s">
        <v>11281</v>
      </c>
    </row>
    <row r="3995" spans="1:4" ht="12.75" customHeight="1">
      <c r="A3995" s="2410" t="str">
        <f t="shared" si="72"/>
        <v>Hanfstoppeln</v>
      </c>
      <c r="B3995" s="2410" t="s">
        <v>3896</v>
      </c>
      <c r="C3995" s="2410" t="s">
        <v>366</v>
      </c>
      <c r="D3995" s="2414" t="s">
        <v>11282</v>
      </c>
    </row>
    <row r="3996" spans="1:4" ht="12.75" customHeight="1">
      <c r="A3996" s="2410" t="str">
        <f t="shared" si="72"/>
        <v>Kunstwiese vor Sommerkultur</v>
      </c>
      <c r="B3996" s="2410" t="s">
        <v>7592</v>
      </c>
      <c r="C3996" s="2410" t="s">
        <v>6143</v>
      </c>
      <c r="D3996" s="2414" t="s">
        <v>10233</v>
      </c>
    </row>
    <row r="3997" spans="1:4" ht="12.75" customHeight="1">
      <c r="A3997" s="2410" t="str">
        <f t="shared" si="72"/>
        <v>Maisuntersaat</v>
      </c>
      <c r="B3997" s="2410" t="s">
        <v>6874</v>
      </c>
      <c r="C3997" s="2410" t="s">
        <v>6433</v>
      </c>
      <c r="D3997" s="2414" t="s">
        <v>10234</v>
      </c>
    </row>
    <row r="3998" spans="1:4" ht="12.75" customHeight="1">
      <c r="A3998" s="2410" t="str">
        <f t="shared" si="72"/>
        <v>Maiswiese</v>
      </c>
      <c r="B3998" s="2410" t="s">
        <v>6875</v>
      </c>
      <c r="C3998" s="2410" t="s">
        <v>5448</v>
      </c>
      <c r="D3998" s="2414" t="s">
        <v>10235</v>
      </c>
    </row>
    <row r="3999" spans="1:4" ht="12.75" customHeight="1">
      <c r="A3999" s="2410" t="str">
        <f t="shared" si="72"/>
        <v>Reine Leguminosen-Zwischenkulturen</v>
      </c>
      <c r="B3999" s="2410" t="s">
        <v>2692</v>
      </c>
      <c r="C3999" s="2410" t="s">
        <v>6025</v>
      </c>
      <c r="D3999" s="2414" t="s">
        <v>10236</v>
      </c>
    </row>
    <row r="4000" spans="1:4" ht="12.75" customHeight="1">
      <c r="A4000" s="2410" t="str">
        <f t="shared" si="72"/>
        <v>Selbstbegrünung</v>
      </c>
      <c r="B4000" s="2410" t="s">
        <v>2693</v>
      </c>
      <c r="C4000" s="2410" t="s">
        <v>5358</v>
      </c>
      <c r="D4000" s="2414" t="s">
        <v>10237</v>
      </c>
    </row>
    <row r="4001" spans="1:4" ht="12.75" customHeight="1">
      <c r="A4001" s="2410" t="str">
        <f t="shared" si="72"/>
        <v>Sonnenblumenstoppeln</v>
      </c>
      <c r="B4001" s="2410" t="s">
        <v>2694</v>
      </c>
      <c r="C4001" s="2410" t="s">
        <v>5359</v>
      </c>
      <c r="D4001" s="2414" t="s">
        <v>10238</v>
      </c>
    </row>
    <row r="4002" spans="1:4" ht="12.75" customHeight="1">
      <c r="A4002" s="2410" t="str">
        <f t="shared" si="72"/>
        <v>Sojastoppeln</v>
      </c>
      <c r="B4002" s="2410" t="s">
        <v>2695</v>
      </c>
      <c r="C4002" s="2410" t="s">
        <v>5251</v>
      </c>
      <c r="D4002" s="2414" t="s">
        <v>10239</v>
      </c>
    </row>
    <row r="4003" spans="1:4" ht="12.75" customHeight="1">
      <c r="A4003" s="2410" t="str">
        <f t="shared" si="72"/>
        <v>Tabakstoppeln</v>
      </c>
      <c r="B4003" s="2410" t="s">
        <v>3977</v>
      </c>
      <c r="C4003" s="2410" t="s">
        <v>3150</v>
      </c>
      <c r="D4003" s="2414" t="s">
        <v>11283</v>
      </c>
    </row>
    <row r="4004" spans="1:4" ht="12.75" customHeight="1">
      <c r="A4004" s="2410" t="str">
        <f t="shared" si="72"/>
        <v>Grünschnittroggen</v>
      </c>
      <c r="B4004" s="2410" t="s">
        <v>7035</v>
      </c>
      <c r="C4004" s="2410" t="s">
        <v>3151</v>
      </c>
      <c r="D4004" s="2414" t="s">
        <v>10240</v>
      </c>
    </row>
    <row r="4005" spans="1:4" ht="12.75" customHeight="1">
      <c r="A4005" s="2410" t="str">
        <f t="shared" si="72"/>
        <v>Grünschnittroggen, pflugloser Anbau</v>
      </c>
      <c r="B4005" s="2410" t="s">
        <v>1150</v>
      </c>
      <c r="C4005" s="2410" t="s">
        <v>3152</v>
      </c>
      <c r="D4005" s="2414" t="s">
        <v>10241</v>
      </c>
    </row>
    <row r="4006" spans="1:4" ht="12.75" customHeight="1">
      <c r="A4006" s="2410" t="str">
        <f t="shared" si="72"/>
        <v>Italienisches Raigras, Saat zwischen 1.10 und 31.10</v>
      </c>
      <c r="B4006" s="2410" t="s">
        <v>2062</v>
      </c>
      <c r="C4006" s="2410" t="s">
        <v>3483</v>
      </c>
      <c r="D4006" s="2414" t="s">
        <v>10242</v>
      </c>
    </row>
    <row r="4007" spans="1:4" ht="12.75" customHeight="1">
      <c r="A4007" s="2410" t="str">
        <f t="shared" si="72"/>
        <v>Zwischenfutter, Gründüngung, Saat bis spätestens 31.8</v>
      </c>
      <c r="B4007" s="2410" t="s">
        <v>2063</v>
      </c>
      <c r="C4007" s="2410" t="s">
        <v>125</v>
      </c>
      <c r="D4007" s="2414" t="s">
        <v>10243</v>
      </c>
    </row>
    <row r="4008" spans="1:4" ht="12.75" customHeight="1">
      <c r="A4008" s="2410" t="str">
        <f t="shared" si="72"/>
        <v>Zwischenfutter, Gründüngung, Saat zwischen 1.9 und 30.9</v>
      </c>
      <c r="B4008" s="2410" t="s">
        <v>3523</v>
      </c>
      <c r="C4008" s="2410" t="s">
        <v>1960</v>
      </c>
      <c r="D4008" s="2414" t="s">
        <v>10244</v>
      </c>
    </row>
    <row r="4009" spans="1:4" ht="12.75" customHeight="1">
      <c r="A4009" s="2410" t="str">
        <f t="shared" si="72"/>
        <v>Zwischenfutter, Gründüngung, Saat nach 30.9</v>
      </c>
      <c r="B4009" s="2410" t="s">
        <v>2064</v>
      </c>
      <c r="C4009" s="2410" t="s">
        <v>16</v>
      </c>
      <c r="D4009" s="2414" t="s">
        <v>10245</v>
      </c>
    </row>
    <row r="4010" spans="1:4" ht="12.75" customHeight="1">
      <c r="A4010" s="2410" t="str">
        <f t="shared" si="72"/>
        <v>Wintererbsen, -ackerbohnen</v>
      </c>
      <c r="B4010" s="2410" t="s">
        <v>2065</v>
      </c>
      <c r="C4010" s="2410" t="s">
        <v>1502</v>
      </c>
      <c r="D4010" s="2414" t="s">
        <v>10246</v>
      </c>
    </row>
    <row r="4011" spans="1:4" ht="12.75" customHeight="1">
      <c r="A4011" s="2410" t="str">
        <f t="shared" si="72"/>
        <v>Wintererbsen, -ackerbohnen, pflugloser Anbau</v>
      </c>
      <c r="B4011" s="2410" t="s">
        <v>4890</v>
      </c>
      <c r="C4011" s="2410" t="s">
        <v>3470</v>
      </c>
      <c r="D4011" s="2414" t="s">
        <v>10247</v>
      </c>
    </row>
    <row r="4012" spans="1:4" ht="12.75" customHeight="1">
      <c r="A4012" s="2410" t="str">
        <f t="shared" si="72"/>
        <v>Kunstwiesenansaat im folgenden Frühjahr nach Brache</v>
      </c>
      <c r="B4012" s="2410" t="s">
        <v>2082</v>
      </c>
      <c r="C4012" s="2410" t="s">
        <v>4859</v>
      </c>
      <c r="D4012" s="2414" t="s">
        <v>10248</v>
      </c>
    </row>
    <row r="4013" spans="1:4" ht="12.75" customHeight="1">
      <c r="A4013" s="2410" t="str">
        <f t="shared" si="72"/>
        <v>Felder ohne deckende Kultur</v>
      </c>
      <c r="B4013" s="2410" t="s">
        <v>6156</v>
      </c>
      <c r="C4013" s="2410" t="s">
        <v>7206</v>
      </c>
      <c r="D4013" s="2414" t="s">
        <v>10249</v>
      </c>
    </row>
    <row r="4014" spans="1:4" ht="12.75" customHeight="1">
      <c r="A4014" s="2410" t="str">
        <f t="shared" si="72"/>
        <v>Flächen, auf denen Freilandschweine weiden</v>
      </c>
      <c r="B4014" s="2410" t="s">
        <v>382</v>
      </c>
      <c r="C4014" s="2410" t="s">
        <v>695</v>
      </c>
      <c r="D4014" s="2414" t="s">
        <v>10250</v>
      </c>
    </row>
    <row r="4015" spans="1:4" ht="12.75" customHeight="1">
      <c r="A4015" s="2410">
        <f t="shared" ref="A4015:A4078" si="73">IF($A$2=1,B4015,IF($A$2=2,C4015,IF($A$2=3,IF(D4015="",C4015,D4015),"")))</f>
        <v>0</v>
      </c>
      <c r="B4015" s="2410"/>
      <c r="C4015" s="2410"/>
      <c r="D4015" s="2414"/>
    </row>
    <row r="4016" spans="1:4" ht="12.75" customHeight="1">
      <c r="A4016" s="2410" t="str">
        <f t="shared" si="73"/>
        <v>Cicorino</v>
      </c>
      <c r="B4016" s="2410" t="s">
        <v>383</v>
      </c>
      <c r="C4016" s="2410" t="s">
        <v>2257</v>
      </c>
      <c r="D4016" s="2414" t="s">
        <v>10117</v>
      </c>
    </row>
    <row r="4017" spans="1:4" ht="12.75" customHeight="1">
      <c r="A4017" s="2410" t="str">
        <f t="shared" si="73"/>
        <v>Erdbeeren, einjährig</v>
      </c>
      <c r="B4017" s="2410" t="s">
        <v>6100</v>
      </c>
      <c r="C4017" s="2410" t="s">
        <v>2393</v>
      </c>
      <c r="D4017" s="2414" t="s">
        <v>8512</v>
      </c>
    </row>
    <row r="4018" spans="1:4" ht="12.75" customHeight="1">
      <c r="A4018" s="2410" t="str">
        <f t="shared" si="73"/>
        <v>Krautstiel</v>
      </c>
      <c r="B4018" s="2410" t="s">
        <v>6220</v>
      </c>
      <c r="C4018" s="2410" t="s">
        <v>1926</v>
      </c>
      <c r="D4018" s="2414" t="s">
        <v>10138</v>
      </c>
    </row>
    <row r="4019" spans="1:4" ht="12.75" customHeight="1">
      <c r="A4019" s="2410" t="str">
        <f t="shared" si="73"/>
        <v>Lauch</v>
      </c>
      <c r="B4019" s="2410" t="s">
        <v>6221</v>
      </c>
      <c r="C4019" s="2410" t="s">
        <v>881</v>
      </c>
      <c r="D4019" s="2414" t="s">
        <v>10139</v>
      </c>
    </row>
    <row r="4020" spans="1:4" ht="12.75" customHeight="1">
      <c r="A4020" s="2410" t="str">
        <f t="shared" si="73"/>
        <v>Nüssler</v>
      </c>
      <c r="B4020" s="2410" t="s">
        <v>384</v>
      </c>
      <c r="C4020" s="2410" t="s">
        <v>7363</v>
      </c>
      <c r="D4020" s="2414" t="s">
        <v>10140</v>
      </c>
    </row>
    <row r="4021" spans="1:4" ht="12.75" customHeight="1">
      <c r="A4021" s="2410" t="str">
        <f t="shared" si="73"/>
        <v>Pastinaken</v>
      </c>
      <c r="B4021" s="2410" t="s">
        <v>1932</v>
      </c>
      <c r="C4021" s="2410" t="s">
        <v>7364</v>
      </c>
      <c r="D4021" s="2414" t="s">
        <v>10141</v>
      </c>
    </row>
    <row r="4022" spans="1:4" ht="12.75" customHeight="1">
      <c r="A4022" s="2410" t="str">
        <f t="shared" si="73"/>
        <v>Peterli</v>
      </c>
      <c r="B4022" s="2410" t="s">
        <v>1933</v>
      </c>
      <c r="C4022" s="2410" t="s">
        <v>4369</v>
      </c>
      <c r="D4022" s="2414" t="s">
        <v>10142</v>
      </c>
    </row>
    <row r="4023" spans="1:4" ht="12.75" customHeight="1">
      <c r="A4023" s="2410" t="str">
        <f t="shared" si="73"/>
        <v>Portulak</v>
      </c>
      <c r="B4023" s="2410" t="s">
        <v>5603</v>
      </c>
      <c r="C4023" s="2410" t="s">
        <v>184</v>
      </c>
      <c r="D4023" s="2414" t="s">
        <v>10182</v>
      </c>
    </row>
    <row r="4024" spans="1:4" ht="12.75" customHeight="1">
      <c r="A4024" s="2410" t="str">
        <f t="shared" si="73"/>
        <v>Rosenkohl</v>
      </c>
      <c r="B4024" s="2410" t="s">
        <v>1934</v>
      </c>
      <c r="C4024" s="2410" t="s">
        <v>7365</v>
      </c>
      <c r="D4024" s="2414" t="s">
        <v>10251</v>
      </c>
    </row>
    <row r="4025" spans="1:4" ht="12.75" customHeight="1">
      <c r="A4025" s="2410" t="str">
        <f t="shared" si="73"/>
        <v>Schnittblumen 2-jährig, Schnittstauden</v>
      </c>
      <c r="B4025" s="2410" t="s">
        <v>1496</v>
      </c>
      <c r="C4025" s="2410" t="s">
        <v>7424</v>
      </c>
      <c r="D4025" s="2414" t="s">
        <v>10252</v>
      </c>
    </row>
    <row r="4026" spans="1:4" ht="12.75" customHeight="1">
      <c r="A4026" s="2410" t="str">
        <f t="shared" si="73"/>
        <v>Schwarzwurzeln</v>
      </c>
      <c r="B4026" s="2410" t="s">
        <v>1497</v>
      </c>
      <c r="C4026" s="2410" t="s">
        <v>4898</v>
      </c>
      <c r="D4026" s="2414" t="s">
        <v>10158</v>
      </c>
    </row>
    <row r="4027" spans="1:4" ht="12.75" customHeight="1">
      <c r="A4027" s="2410" t="str">
        <f t="shared" si="73"/>
        <v>Topinambur</v>
      </c>
      <c r="B4027" s="2410" t="s">
        <v>1498</v>
      </c>
      <c r="C4027" s="2410" t="s">
        <v>205</v>
      </c>
      <c r="D4027" s="2414" t="s">
        <v>1498</v>
      </c>
    </row>
    <row r="4028" spans="1:4" ht="12.75" customHeight="1">
      <c r="A4028" s="2410" t="str">
        <f t="shared" si="73"/>
        <v>Winterkohlarten</v>
      </c>
      <c r="B4028" s="2410" t="s">
        <v>6153</v>
      </c>
      <c r="C4028" s="2410" t="s">
        <v>206</v>
      </c>
      <c r="D4028" s="2414" t="s">
        <v>10253</v>
      </c>
    </row>
    <row r="4029" spans="1:4" ht="12.75" customHeight="1">
      <c r="A4029" s="2410" t="str">
        <f t="shared" si="73"/>
        <v>Winterspinat</v>
      </c>
      <c r="B4029" s="2410" t="s">
        <v>6154</v>
      </c>
      <c r="C4029" s="2410" t="s">
        <v>207</v>
      </c>
      <c r="D4029" s="2414" t="s">
        <v>10254</v>
      </c>
    </row>
    <row r="4030" spans="1:4" ht="12.75" customHeight="1">
      <c r="A4030" s="2410" t="str">
        <f t="shared" si="73"/>
        <v>Winterzwiebeln</v>
      </c>
      <c r="B4030" s="2410" t="s">
        <v>6155</v>
      </c>
      <c r="C4030" s="2410" t="s">
        <v>208</v>
      </c>
      <c r="D4030" s="2414" t="s">
        <v>10255</v>
      </c>
    </row>
    <row r="4031" spans="1:4" ht="12.75" customHeight="1">
      <c r="A4031" s="2410" t="str">
        <f t="shared" si="73"/>
        <v>Karotten</v>
      </c>
      <c r="B4031" s="2410" t="s">
        <v>6033</v>
      </c>
      <c r="C4031" s="2410" t="s">
        <v>209</v>
      </c>
      <c r="D4031" s="2414" t="s">
        <v>10256</v>
      </c>
    </row>
    <row r="4032" spans="1:4" ht="12.75" customHeight="1">
      <c r="A4032" s="2410" t="str">
        <f t="shared" si="73"/>
        <v>Sellerie</v>
      </c>
      <c r="B4032" s="2410" t="s">
        <v>6034</v>
      </c>
      <c r="C4032" s="2410" t="s">
        <v>210</v>
      </c>
      <c r="D4032" s="2414" t="s">
        <v>10257</v>
      </c>
    </row>
    <row r="4033" spans="1:4" ht="12.75" customHeight="1">
      <c r="A4033" s="2410" t="str">
        <f t="shared" si="73"/>
        <v>Schnittlauch</v>
      </c>
      <c r="B4033" s="2410" t="s">
        <v>7149</v>
      </c>
      <c r="C4033" s="2410" t="s">
        <v>4897</v>
      </c>
      <c r="D4033" s="2414" t="s">
        <v>10157</v>
      </c>
    </row>
    <row r="4034" spans="1:4" ht="12.75" customHeight="1">
      <c r="A4034" s="2410" t="str">
        <f t="shared" si="73"/>
        <v>Melonen, Ölkürbisse, Zucchetti</v>
      </c>
      <c r="B4034" s="2410" t="s">
        <v>2010</v>
      </c>
      <c r="C4034" s="2410" t="s">
        <v>4574</v>
      </c>
      <c r="D4034" s="2414" t="s">
        <v>10258</v>
      </c>
    </row>
    <row r="4035" spans="1:4" ht="12.75" customHeight="1">
      <c r="A4035" s="2410" t="str">
        <f t="shared" si="73"/>
        <v>Abgeerntete Gemüse u. Schnittblumen mit intaktem Wurzelwerk</v>
      </c>
      <c r="B4035" s="2410" t="s">
        <v>2011</v>
      </c>
      <c r="C4035" s="2410" t="s">
        <v>5195</v>
      </c>
      <c r="D4035" s="2414" t="s">
        <v>10259</v>
      </c>
    </row>
    <row r="4036" spans="1:4" ht="12.75" customHeight="1">
      <c r="A4036" s="2410" t="str">
        <f t="shared" si="73"/>
        <v>Abgeschlägelter Spinat</v>
      </c>
      <c r="B4036" s="2410" t="s">
        <v>1540</v>
      </c>
      <c r="C4036" s="2410" t="s">
        <v>7093</v>
      </c>
      <c r="D4036" s="2414" t="s">
        <v>10260</v>
      </c>
    </row>
    <row r="4037" spans="1:4" ht="12.75" customHeight="1">
      <c r="A4037" s="2410" t="str">
        <f t="shared" si="73"/>
        <v>Übrige nicht abgeerntete Gemüsekulturen</v>
      </c>
      <c r="B4037" s="2410" t="s">
        <v>275</v>
      </c>
      <c r="C4037" s="2410" t="s">
        <v>5779</v>
      </c>
      <c r="D4037" s="2414" t="s">
        <v>10261</v>
      </c>
    </row>
    <row r="4038" spans="1:4" ht="12.75" customHeight="1">
      <c r="A4038" s="2410" t="str">
        <f t="shared" si="73"/>
        <v>Brache nach Gemüsekultur</v>
      </c>
      <c r="B4038" s="2410" t="s">
        <v>276</v>
      </c>
      <c r="C4038" s="2410" t="s">
        <v>5780</v>
      </c>
      <c r="D4038" s="2414" t="s">
        <v>10262</v>
      </c>
    </row>
    <row r="4039" spans="1:4" ht="12.75" customHeight="1">
      <c r="A4039" s="2410">
        <f t="shared" si="73"/>
        <v>0</v>
      </c>
      <c r="B4039" s="2410"/>
      <c r="C4039" s="2410"/>
      <c r="D4039" s="2414"/>
    </row>
    <row r="4040" spans="1:4" ht="12.75" customHeight="1">
      <c r="A4040" s="2410" t="str">
        <f t="shared" si="73"/>
        <v>Verweis</v>
      </c>
      <c r="B4040" s="2410" t="s">
        <v>278</v>
      </c>
      <c r="C4040" s="2410" t="s">
        <v>5781</v>
      </c>
      <c r="D4040" s="2424" t="s">
        <v>10263</v>
      </c>
    </row>
    <row r="4041" spans="1:4" ht="12.75" customHeight="1">
      <c r="A4041" s="2410" t="str">
        <f t="shared" si="73"/>
        <v>Key</v>
      </c>
      <c r="B4041" s="2410" t="s">
        <v>5082</v>
      </c>
      <c r="C4041" s="2410" t="s">
        <v>5782</v>
      </c>
      <c r="D4041" s="2424" t="s">
        <v>1400</v>
      </c>
    </row>
    <row r="4042" spans="1:4" ht="12.75" customHeight="1">
      <c r="A4042" s="2410" t="str">
        <f t="shared" si="73"/>
        <v>Stallhaltungsart</v>
      </c>
      <c r="B4042" s="2410" t="s">
        <v>279</v>
      </c>
      <c r="C4042" s="2410" t="s">
        <v>6071</v>
      </c>
      <c r="D4042" s="2424" t="s">
        <v>8926</v>
      </c>
    </row>
    <row r="4043" spans="1:4" ht="12.75" customHeight="1">
      <c r="A4043" s="2410" t="str">
        <f t="shared" si="73"/>
        <v>Stroh / Jahr</v>
      </c>
      <c r="B4043" s="2410" t="s">
        <v>3357</v>
      </c>
      <c r="C4043" s="2410" t="s">
        <v>4578</v>
      </c>
      <c r="D4043" s="2424" t="s">
        <v>10264</v>
      </c>
    </row>
    <row r="4044" spans="1:4" ht="12.75" customHeight="1">
      <c r="A4044" s="2410" t="str">
        <f t="shared" si="73"/>
        <v>Mist / Jahr</v>
      </c>
      <c r="B4044" s="2410" t="s">
        <v>2558</v>
      </c>
      <c r="C4044" s="2410" t="s">
        <v>2561</v>
      </c>
      <c r="D4044" s="2424" t="s">
        <v>10265</v>
      </c>
    </row>
    <row r="4045" spans="1:4" ht="12.75" customHeight="1">
      <c r="A4045" s="2410" t="str">
        <f t="shared" si="73"/>
        <v>Gülle / Jahr</v>
      </c>
      <c r="B4045" s="2410" t="s">
        <v>2559</v>
      </c>
      <c r="C4045" s="2410" t="s">
        <v>2560</v>
      </c>
      <c r="D4045" s="2424" t="s">
        <v>10266</v>
      </c>
    </row>
    <row r="4046" spans="1:4" ht="12.75" customHeight="1">
      <c r="A4046" s="2410" t="str">
        <f t="shared" si="73"/>
        <v>Stroh / Mt.</v>
      </c>
      <c r="B4046" s="2410" t="s">
        <v>4576</v>
      </c>
      <c r="C4046" s="2410" t="s">
        <v>4577</v>
      </c>
      <c r="D4046" s="2424" t="s">
        <v>10267</v>
      </c>
    </row>
    <row r="4047" spans="1:4" ht="12.75" customHeight="1">
      <c r="A4047" s="2410" t="str">
        <f t="shared" si="73"/>
        <v>Mist / Mt.</v>
      </c>
      <c r="B4047" s="2410" t="s">
        <v>2562</v>
      </c>
      <c r="C4047" s="2410" t="s">
        <v>3496</v>
      </c>
      <c r="D4047" s="2424" t="s">
        <v>10268</v>
      </c>
    </row>
    <row r="4048" spans="1:4" ht="12.75" customHeight="1">
      <c r="A4048" s="2410" t="str">
        <f t="shared" si="73"/>
        <v>Gülle / Mt.</v>
      </c>
      <c r="B4048" s="2410" t="s">
        <v>3495</v>
      </c>
      <c r="C4048" s="2410" t="s">
        <v>5293</v>
      </c>
      <c r="D4048" s="2424" t="s">
        <v>10269</v>
      </c>
    </row>
    <row r="4049" spans="1:4" ht="12.75" customHeight="1">
      <c r="A4049" s="2410" t="str">
        <f t="shared" si="73"/>
        <v>Gülle-Typ</v>
      </c>
      <c r="B4049" s="2410" t="s">
        <v>3355</v>
      </c>
      <c r="C4049" s="2410" t="s">
        <v>5294</v>
      </c>
      <c r="D4049" s="2424" t="s">
        <v>10270</v>
      </c>
    </row>
    <row r="4050" spans="1:4" ht="12.75" customHeight="1">
      <c r="A4050" s="2410" t="str">
        <f t="shared" si="73"/>
        <v>Mist-Typ</v>
      </c>
      <c r="B4050" s="2410" t="s">
        <v>3356</v>
      </c>
      <c r="C4050" s="2410" t="s">
        <v>5295</v>
      </c>
      <c r="D4050" s="2424" t="s">
        <v>10271</v>
      </c>
    </row>
    <row r="4051" spans="1:4" ht="12.75" customHeight="1">
      <c r="A4051" s="2410" t="str">
        <f t="shared" si="73"/>
        <v>Stallreinigung Winter</v>
      </c>
      <c r="B4051" s="2410" t="s">
        <v>4891</v>
      </c>
      <c r="C4051" s="2410" t="s">
        <v>4091</v>
      </c>
      <c r="D4051" s="2424" t="s">
        <v>10272</v>
      </c>
    </row>
    <row r="4052" spans="1:4" ht="12.75" customHeight="1">
      <c r="A4052" s="2410" t="str">
        <f t="shared" si="73"/>
        <v>Stallreinigung Sommer</v>
      </c>
      <c r="B4052" s="2410" t="s">
        <v>2741</v>
      </c>
      <c r="C4052" s="2410" t="s">
        <v>869</v>
      </c>
      <c r="D4052" s="2424" t="s">
        <v>10273</v>
      </c>
    </row>
    <row r="4053" spans="1:4" ht="12.75" customHeight="1">
      <c r="A4053" s="2410" t="str">
        <f t="shared" si="73"/>
        <v>Nges</v>
      </c>
      <c r="B4053" s="2410" t="s">
        <v>5419</v>
      </c>
      <c r="C4053" s="2410" t="s">
        <v>1538</v>
      </c>
      <c r="D4053" s="2424" t="s">
        <v>1538</v>
      </c>
    </row>
    <row r="4054" spans="1:4" ht="12.75" customHeight="1">
      <c r="A4054" s="2410" t="str">
        <f t="shared" si="73"/>
        <v>Nverf Acker</v>
      </c>
      <c r="B4054" s="2410" t="s">
        <v>4579</v>
      </c>
      <c r="C4054" s="2410" t="s">
        <v>870</v>
      </c>
      <c r="D4054" s="2424" t="s">
        <v>10274</v>
      </c>
    </row>
    <row r="4055" spans="1:4" ht="12.75" customHeight="1">
      <c r="A4055" s="2410" t="str">
        <f t="shared" si="73"/>
        <v>Nverf Futter</v>
      </c>
      <c r="B4055" s="2410" t="s">
        <v>4581</v>
      </c>
      <c r="C4055" s="2410" t="s">
        <v>871</v>
      </c>
      <c r="D4055" s="2424" t="s">
        <v>11284</v>
      </c>
    </row>
    <row r="4056" spans="1:4" ht="12.75" customHeight="1">
      <c r="A4056" s="2410" t="str">
        <f t="shared" si="73"/>
        <v>P2O5</v>
      </c>
      <c r="B4056" s="2410" t="s">
        <v>1513</v>
      </c>
      <c r="C4056" s="2410" t="s">
        <v>1513</v>
      </c>
      <c r="D4056" s="2424" t="s">
        <v>1513</v>
      </c>
    </row>
    <row r="4057" spans="1:4" ht="12.75" customHeight="1">
      <c r="A4057" s="2410" t="str">
        <f t="shared" si="73"/>
        <v>K20</v>
      </c>
      <c r="B4057" s="2410" t="s">
        <v>4580</v>
      </c>
      <c r="C4057" s="2410" t="s">
        <v>4580</v>
      </c>
      <c r="D4057" s="2424" t="s">
        <v>4580</v>
      </c>
    </row>
    <row r="4058" spans="1:4" ht="12.75" customHeight="1">
      <c r="A4058" s="2410" t="str">
        <f t="shared" si="73"/>
        <v>Mg</v>
      </c>
      <c r="B4058" s="2410" t="s">
        <v>7031</v>
      </c>
      <c r="C4058" s="2410" t="s">
        <v>7031</v>
      </c>
      <c r="D4058" s="2424" t="s">
        <v>7031</v>
      </c>
    </row>
    <row r="4059" spans="1:4" ht="12.75" customHeight="1">
      <c r="A4059" s="2410" t="str">
        <f t="shared" si="73"/>
        <v>(keine Angabe)</v>
      </c>
      <c r="B4059" s="2410" t="s">
        <v>280</v>
      </c>
      <c r="C4059" s="2410" t="s">
        <v>4900</v>
      </c>
      <c r="D4059" s="2414" t="s">
        <v>10275</v>
      </c>
    </row>
    <row r="4060" spans="1:4" ht="12.75" customHeight="1">
      <c r="A4060" s="2410" t="str">
        <f t="shared" si="73"/>
        <v>Nur Vollgülle</v>
      </c>
      <c r="B4060" s="2410" t="s">
        <v>6633</v>
      </c>
      <c r="C4060" s="2410" t="s">
        <v>2005</v>
      </c>
      <c r="D4060" s="2414" t="s">
        <v>6840</v>
      </c>
    </row>
    <row r="4061" spans="1:4" ht="12.75" customHeight="1">
      <c r="A4061" s="2410" t="str">
        <f t="shared" si="73"/>
        <v>Kotarme Gülle und Stapelmist</v>
      </c>
      <c r="B4061" s="2410" t="s">
        <v>752</v>
      </c>
      <c r="C4061" s="2410" t="s">
        <v>2006</v>
      </c>
      <c r="D4061" s="2414" t="s">
        <v>10276</v>
      </c>
    </row>
    <row r="4062" spans="1:4" ht="12.75" customHeight="1">
      <c r="A4062" s="2410" t="str">
        <f t="shared" si="73"/>
        <v>Laufstallmist und viel Gülle (10-40% eingestreut)</v>
      </c>
      <c r="B4062" s="2410" t="s">
        <v>884</v>
      </c>
      <c r="C4062" s="2410" t="s">
        <v>885</v>
      </c>
      <c r="D4062" s="2414" t="s">
        <v>10277</v>
      </c>
    </row>
    <row r="4063" spans="1:4" ht="12.75" customHeight="1">
      <c r="A4063" s="2410" t="str">
        <f t="shared" si="73"/>
        <v>Laufstallmist und Gülle (40-60% eingestreut)</v>
      </c>
      <c r="B4063" s="2410" t="s">
        <v>925</v>
      </c>
      <c r="C4063" s="2410" t="s">
        <v>2029</v>
      </c>
      <c r="D4063" s="2414" t="s">
        <v>10278</v>
      </c>
    </row>
    <row r="4064" spans="1:4" ht="12.75" customHeight="1">
      <c r="A4064" s="2410" t="str">
        <f t="shared" si="73"/>
        <v>Laufstallmist und wenig Gülle (60-90% eingestreut)</v>
      </c>
      <c r="B4064" s="2410" t="s">
        <v>5625</v>
      </c>
      <c r="C4064" s="2410" t="s">
        <v>729</v>
      </c>
      <c r="D4064" s="2414" t="s">
        <v>10279</v>
      </c>
    </row>
    <row r="4065" spans="1:4" ht="12.75" customHeight="1">
      <c r="A4065" s="2410" t="str">
        <f t="shared" si="73"/>
        <v>Nur Laufstallmist</v>
      </c>
      <c r="B4065" s="2410" t="s">
        <v>2067</v>
      </c>
      <c r="C4065" s="2410" t="s">
        <v>4915</v>
      </c>
      <c r="D4065" s="2414" t="s">
        <v>10280</v>
      </c>
    </row>
    <row r="4066" spans="1:4" ht="12.75" customHeight="1">
      <c r="A4066" s="2410" t="str">
        <f t="shared" si="73"/>
        <v>(keine Angabe)</v>
      </c>
      <c r="B4066" s="2410" t="s">
        <v>280</v>
      </c>
      <c r="C4066" s="2410" t="s">
        <v>4900</v>
      </c>
      <c r="D4066" s="2414" t="s">
        <v>10275</v>
      </c>
    </row>
    <row r="4067" spans="1:4" ht="12.75" customHeight="1">
      <c r="A4067" s="2410" t="str">
        <f t="shared" si="73"/>
        <v>Nur Gülle</v>
      </c>
      <c r="B4067" s="2410" t="s">
        <v>281</v>
      </c>
      <c r="C4067" s="2410" t="s">
        <v>2005</v>
      </c>
      <c r="D4067" s="2414" t="s">
        <v>10281</v>
      </c>
    </row>
    <row r="4068" spans="1:4" ht="12.75" customHeight="1">
      <c r="A4068" s="2410" t="str">
        <f t="shared" si="73"/>
        <v>Kotarme Gülle und Stapelmist</v>
      </c>
      <c r="B4068" s="2410" t="s">
        <v>752</v>
      </c>
      <c r="C4068" s="2410" t="s">
        <v>2006</v>
      </c>
      <c r="D4068" s="2414" t="s">
        <v>10276</v>
      </c>
    </row>
    <row r="4069" spans="1:4" ht="12.75" customHeight="1">
      <c r="A4069" s="2410" t="str">
        <f t="shared" si="73"/>
        <v>Laufstallmist und viel Gülle (10-40% eingestreut)</v>
      </c>
      <c r="B4069" s="2410" t="s">
        <v>884</v>
      </c>
      <c r="C4069" s="2410" t="s">
        <v>885</v>
      </c>
      <c r="D4069" s="2414" t="s">
        <v>10277</v>
      </c>
    </row>
    <row r="4070" spans="1:4" ht="12.75" customHeight="1">
      <c r="A4070" s="2410" t="str">
        <f t="shared" si="73"/>
        <v>Laufstallmist und Gülle (40-60% eingestreut)</v>
      </c>
      <c r="B4070" s="2410" t="s">
        <v>925</v>
      </c>
      <c r="C4070" s="2410" t="s">
        <v>2029</v>
      </c>
      <c r="D4070" s="2414" t="s">
        <v>10278</v>
      </c>
    </row>
    <row r="4071" spans="1:4" ht="12.75" customHeight="1">
      <c r="A4071" s="2410" t="str">
        <f t="shared" si="73"/>
        <v>Laufstallmist und wenig Gülle (60-90% eingestreut)</v>
      </c>
      <c r="B4071" s="2410" t="s">
        <v>5625</v>
      </c>
      <c r="C4071" s="2410" t="s">
        <v>729</v>
      </c>
      <c r="D4071" s="2414" t="s">
        <v>10279</v>
      </c>
    </row>
    <row r="4072" spans="1:4" ht="12.75" customHeight="1">
      <c r="A4072" s="2410" t="str">
        <f t="shared" si="73"/>
        <v>Nur Laufstallmist</v>
      </c>
      <c r="B4072" s="2410" t="s">
        <v>2067</v>
      </c>
      <c r="C4072" s="2410" t="s">
        <v>4915</v>
      </c>
      <c r="D4072" s="2414" t="s">
        <v>10280</v>
      </c>
    </row>
    <row r="4073" spans="1:4" ht="12.75" customHeight="1">
      <c r="A4073" s="2410" t="str">
        <f t="shared" si="73"/>
        <v>(keine Angabe)</v>
      </c>
      <c r="B4073" s="2410" t="s">
        <v>280</v>
      </c>
      <c r="C4073" s="2410" t="s">
        <v>4900</v>
      </c>
      <c r="D4073" s="2414" t="s">
        <v>10275</v>
      </c>
    </row>
    <row r="4074" spans="1:4" ht="12.75" customHeight="1">
      <c r="A4074" s="2410" t="str">
        <f t="shared" si="73"/>
        <v>Nur Gülle</v>
      </c>
      <c r="B4074" s="2410" t="s">
        <v>281</v>
      </c>
      <c r="C4074" s="2410" t="s">
        <v>2005</v>
      </c>
      <c r="D4074" s="2414" t="s">
        <v>10281</v>
      </c>
    </row>
    <row r="4075" spans="1:4" ht="12.75" customHeight="1">
      <c r="A4075" s="2410" t="str">
        <f t="shared" si="73"/>
        <v>Kotarme Gülle und Stapelmist</v>
      </c>
      <c r="B4075" s="2410" t="s">
        <v>752</v>
      </c>
      <c r="C4075" s="2410" t="s">
        <v>2006</v>
      </c>
      <c r="D4075" s="2414" t="s">
        <v>10276</v>
      </c>
    </row>
    <row r="4076" spans="1:4" ht="12.75" customHeight="1">
      <c r="A4076" s="2410" t="str">
        <f t="shared" si="73"/>
        <v>Laufstallmist und viel Gülle (10-40% eingestreut)</v>
      </c>
      <c r="B4076" s="2410" t="s">
        <v>884</v>
      </c>
      <c r="C4076" s="2410" t="s">
        <v>885</v>
      </c>
      <c r="D4076" s="2414" t="s">
        <v>10277</v>
      </c>
    </row>
    <row r="4077" spans="1:4" ht="12.75" customHeight="1">
      <c r="A4077" s="2410" t="str">
        <f t="shared" si="73"/>
        <v>Laufstallmist und Gülle (40-60% eingestreut)</v>
      </c>
      <c r="B4077" s="2410" t="s">
        <v>925</v>
      </c>
      <c r="C4077" s="2410" t="s">
        <v>2029</v>
      </c>
      <c r="D4077" s="2414" t="s">
        <v>10278</v>
      </c>
    </row>
    <row r="4078" spans="1:4" ht="12.75" customHeight="1">
      <c r="A4078" s="2410" t="str">
        <f t="shared" si="73"/>
        <v>Laufstallmist und wenig Gülle (60-90% eingestreut)</v>
      </c>
      <c r="B4078" s="2410" t="s">
        <v>5625</v>
      </c>
      <c r="C4078" s="2410" t="s">
        <v>729</v>
      </c>
      <c r="D4078" s="2414" t="s">
        <v>10279</v>
      </c>
    </row>
    <row r="4079" spans="1:4" ht="12.75" customHeight="1">
      <c r="A4079" s="2410" t="str">
        <f t="shared" ref="A4079:A4142" si="74">IF($A$2=1,B4079,IF($A$2=2,C4079,IF($A$2=3,IF(D4079="",C4079,D4079),"")))</f>
        <v>Nur Laufstallmist</v>
      </c>
      <c r="B4079" s="2410" t="s">
        <v>2067</v>
      </c>
      <c r="C4079" s="2410" t="s">
        <v>4915</v>
      </c>
      <c r="D4079" s="2414" t="s">
        <v>10280</v>
      </c>
    </row>
    <row r="4080" spans="1:4" ht="12.75" customHeight="1">
      <c r="A4080" s="2410" t="str">
        <f t="shared" si="74"/>
        <v>(keine Angabe)</v>
      </c>
      <c r="B4080" s="2410" t="s">
        <v>280</v>
      </c>
      <c r="C4080" s="2410" t="s">
        <v>4900</v>
      </c>
      <c r="D4080" s="2414" t="s">
        <v>10275</v>
      </c>
    </row>
    <row r="4081" spans="1:4" ht="12.75" customHeight="1">
      <c r="A4081" s="2410" t="str">
        <f t="shared" si="74"/>
        <v>Nur Gülle</v>
      </c>
      <c r="B4081" s="2410" t="s">
        <v>281</v>
      </c>
      <c r="C4081" s="2410" t="s">
        <v>2005</v>
      </c>
      <c r="D4081" s="2414" t="s">
        <v>10281</v>
      </c>
    </row>
    <row r="4082" spans="1:4" ht="12.75" customHeight="1">
      <c r="A4082" s="2410" t="str">
        <f t="shared" si="74"/>
        <v>Kotarme Gülle und Stapelmist</v>
      </c>
      <c r="B4082" s="2410" t="s">
        <v>752</v>
      </c>
      <c r="C4082" s="2410" t="s">
        <v>2006</v>
      </c>
      <c r="D4082" s="2414" t="s">
        <v>10276</v>
      </c>
    </row>
    <row r="4083" spans="1:4" ht="12.75" customHeight="1">
      <c r="A4083" s="2410" t="str">
        <f t="shared" si="74"/>
        <v>Laufstallmist und viel Gülle (10-40% eingestreut)</v>
      </c>
      <c r="B4083" s="2410" t="s">
        <v>884</v>
      </c>
      <c r="C4083" s="2410" t="s">
        <v>885</v>
      </c>
      <c r="D4083" s="2414" t="s">
        <v>10277</v>
      </c>
    </row>
    <row r="4084" spans="1:4" ht="12.75" customHeight="1">
      <c r="A4084" s="2410" t="str">
        <f t="shared" si="74"/>
        <v>Laufstallmist und Gülle (40-60% eingestreut)</v>
      </c>
      <c r="B4084" s="2410" t="s">
        <v>925</v>
      </c>
      <c r="C4084" s="2410" t="s">
        <v>2029</v>
      </c>
      <c r="D4084" s="2414" t="s">
        <v>10278</v>
      </c>
    </row>
    <row r="4085" spans="1:4" ht="12.75" customHeight="1">
      <c r="A4085" s="2410" t="str">
        <f t="shared" si="74"/>
        <v>Laufstallmist und wenig Gülle (60-90% eingestreut)</v>
      </c>
      <c r="B4085" s="2410" t="s">
        <v>5625</v>
      </c>
      <c r="C4085" s="2410" t="s">
        <v>729</v>
      </c>
      <c r="D4085" s="2414" t="s">
        <v>10279</v>
      </c>
    </row>
    <row r="4086" spans="1:4" ht="12.75" customHeight="1">
      <c r="A4086" s="2410" t="str">
        <f t="shared" si="74"/>
        <v>Nur Laufstallmist</v>
      </c>
      <c r="B4086" s="2410" t="s">
        <v>2067</v>
      </c>
      <c r="C4086" s="2410" t="s">
        <v>4915</v>
      </c>
      <c r="D4086" s="2414" t="s">
        <v>10280</v>
      </c>
    </row>
    <row r="4087" spans="1:4" ht="12.75" customHeight="1">
      <c r="A4087" s="2410" t="str">
        <f t="shared" si="74"/>
        <v>(keine Angabe)</v>
      </c>
      <c r="B4087" s="2410" t="s">
        <v>280</v>
      </c>
      <c r="C4087" s="2410" t="s">
        <v>4900</v>
      </c>
      <c r="D4087" s="2414" t="s">
        <v>10275</v>
      </c>
    </row>
    <row r="4088" spans="1:4" ht="12.75" customHeight="1">
      <c r="A4088" s="2410" t="str">
        <f t="shared" si="74"/>
        <v>Nur Gülle</v>
      </c>
      <c r="B4088" s="2410" t="s">
        <v>281</v>
      </c>
      <c r="C4088" s="2410" t="s">
        <v>2005</v>
      </c>
      <c r="D4088" s="2414" t="s">
        <v>10281</v>
      </c>
    </row>
    <row r="4089" spans="1:4" ht="12.75" customHeight="1">
      <c r="A4089" s="2410" t="str">
        <f t="shared" si="74"/>
        <v>Kotarme Gülle und Stapelmist</v>
      </c>
      <c r="B4089" s="2410" t="s">
        <v>752</v>
      </c>
      <c r="C4089" s="2410" t="s">
        <v>2006</v>
      </c>
      <c r="D4089" s="2414" t="s">
        <v>10276</v>
      </c>
    </row>
    <row r="4090" spans="1:4" ht="12.75" customHeight="1">
      <c r="A4090" s="2410" t="str">
        <f t="shared" si="74"/>
        <v>Laufstallmist und viel Gülle (10-40% eingestreut)</v>
      </c>
      <c r="B4090" s="2410" t="s">
        <v>884</v>
      </c>
      <c r="C4090" s="2410" t="s">
        <v>885</v>
      </c>
      <c r="D4090" s="2414" t="s">
        <v>10277</v>
      </c>
    </row>
    <row r="4091" spans="1:4" ht="12.75" customHeight="1">
      <c r="A4091" s="2410" t="str">
        <f t="shared" si="74"/>
        <v>Laufstallmist und Gülle (40-60% eingestreut)</v>
      </c>
      <c r="B4091" s="2410" t="s">
        <v>925</v>
      </c>
      <c r="C4091" s="2410" t="s">
        <v>2029</v>
      </c>
      <c r="D4091" s="2414" t="s">
        <v>10278</v>
      </c>
    </row>
    <row r="4092" spans="1:4" ht="12.75" customHeight="1">
      <c r="A4092" s="2410" t="str">
        <f t="shared" si="74"/>
        <v>Laufstallmist und wenig Gülle (60-90% eingestreut)</v>
      </c>
      <c r="B4092" s="2410" t="s">
        <v>5625</v>
      </c>
      <c r="C4092" s="2410" t="s">
        <v>729</v>
      </c>
      <c r="D4092" s="2414" t="s">
        <v>10279</v>
      </c>
    </row>
    <row r="4093" spans="1:4" ht="12.75" customHeight="1">
      <c r="A4093" s="2410" t="str">
        <f t="shared" si="74"/>
        <v>Nur Laufstallmist</v>
      </c>
      <c r="B4093" s="2410" t="s">
        <v>2067</v>
      </c>
      <c r="C4093" s="2410" t="s">
        <v>4915</v>
      </c>
      <c r="D4093" s="2414" t="s">
        <v>10280</v>
      </c>
    </row>
    <row r="4094" spans="1:4" ht="12.75" customHeight="1">
      <c r="A4094" s="2410" t="str">
        <f t="shared" si="74"/>
        <v>(keine Angabe)</v>
      </c>
      <c r="B4094" s="2410" t="s">
        <v>280</v>
      </c>
      <c r="C4094" s="2410" t="s">
        <v>4900</v>
      </c>
      <c r="D4094" s="2414" t="s">
        <v>10275</v>
      </c>
    </row>
    <row r="4095" spans="1:4" ht="12.75" customHeight="1">
      <c r="A4095" s="2410" t="str">
        <f t="shared" si="74"/>
        <v>Nur Gülle</v>
      </c>
      <c r="B4095" s="2410" t="s">
        <v>281</v>
      </c>
      <c r="C4095" s="2410" t="s">
        <v>2005</v>
      </c>
      <c r="D4095" s="2414" t="s">
        <v>10281</v>
      </c>
    </row>
    <row r="4096" spans="1:4" ht="12.75" customHeight="1">
      <c r="A4096" s="2410" t="str">
        <f t="shared" si="74"/>
        <v>Kotarme Gülle und Stapelmist</v>
      </c>
      <c r="B4096" s="2410" t="s">
        <v>752</v>
      </c>
      <c r="C4096" s="2410" t="s">
        <v>2006</v>
      </c>
      <c r="D4096" s="2414" t="s">
        <v>10276</v>
      </c>
    </row>
    <row r="4097" spans="1:4" ht="12.75" customHeight="1">
      <c r="A4097" s="2410" t="str">
        <f t="shared" si="74"/>
        <v>Laufstallmist und viel Gülle (10-40% eingestreut)</v>
      </c>
      <c r="B4097" s="2410" t="s">
        <v>884</v>
      </c>
      <c r="C4097" s="2410" t="s">
        <v>885</v>
      </c>
      <c r="D4097" s="2414" t="s">
        <v>10277</v>
      </c>
    </row>
    <row r="4098" spans="1:4" ht="12.75" customHeight="1">
      <c r="A4098" s="2410" t="str">
        <f t="shared" si="74"/>
        <v>Laufstallmist und Gülle (40-60% eingestreut)</v>
      </c>
      <c r="B4098" s="2410" t="s">
        <v>925</v>
      </c>
      <c r="C4098" s="2410" t="s">
        <v>2029</v>
      </c>
      <c r="D4098" s="2414" t="s">
        <v>10278</v>
      </c>
    </row>
    <row r="4099" spans="1:4" ht="12.75" customHeight="1">
      <c r="A4099" s="2410" t="str">
        <f t="shared" si="74"/>
        <v>Laufstallmist und wenig Gülle (60-90% eingestreut)</v>
      </c>
      <c r="B4099" s="2410" t="s">
        <v>5625</v>
      </c>
      <c r="C4099" s="2410" t="s">
        <v>729</v>
      </c>
      <c r="D4099" s="2414" t="s">
        <v>10279</v>
      </c>
    </row>
    <row r="4100" spans="1:4" ht="12.75" customHeight="1">
      <c r="A4100" s="2410" t="str">
        <f t="shared" si="74"/>
        <v>Nur Laufstallmist</v>
      </c>
      <c r="B4100" s="2410" t="s">
        <v>2067</v>
      </c>
      <c r="C4100" s="2410" t="s">
        <v>4915</v>
      </c>
      <c r="D4100" s="2414" t="s">
        <v>10280</v>
      </c>
    </row>
    <row r="4101" spans="1:4" ht="12.75" customHeight="1">
      <c r="A4101" s="2410" t="str">
        <f t="shared" si="74"/>
        <v>(keine Angabe)</v>
      </c>
      <c r="B4101" s="2410" t="s">
        <v>280</v>
      </c>
      <c r="C4101" s="2410" t="s">
        <v>4900</v>
      </c>
      <c r="D4101" s="2414" t="s">
        <v>10275</v>
      </c>
    </row>
    <row r="4102" spans="1:4" ht="12.75" customHeight="1">
      <c r="A4102" s="2410" t="str">
        <f t="shared" si="74"/>
        <v>Freiland</v>
      </c>
      <c r="B4102" s="2410" t="s">
        <v>2068</v>
      </c>
      <c r="C4102" s="2410" t="s">
        <v>4916</v>
      </c>
      <c r="D4102" s="2414" t="s">
        <v>10282</v>
      </c>
    </row>
    <row r="4103" spans="1:4" ht="12.75" customHeight="1">
      <c r="A4103" s="2410" t="str">
        <f t="shared" si="74"/>
        <v>Nur Gülle</v>
      </c>
      <c r="B4103" s="2410" t="s">
        <v>281</v>
      </c>
      <c r="C4103" s="2410" t="s">
        <v>2005</v>
      </c>
      <c r="D4103" s="2414" t="s">
        <v>10281</v>
      </c>
    </row>
    <row r="4104" spans="1:4" ht="12.75" customHeight="1">
      <c r="A4104" s="2410" t="str">
        <f t="shared" si="74"/>
        <v>Kotarme Gülle und Stapelmist</v>
      </c>
      <c r="B4104" s="2410" t="s">
        <v>752</v>
      </c>
      <c r="C4104" s="2410" t="s">
        <v>2006</v>
      </c>
      <c r="D4104" s="2414" t="s">
        <v>10276</v>
      </c>
    </row>
    <row r="4105" spans="1:4" ht="12.75" customHeight="1">
      <c r="A4105" s="2410" t="str">
        <f t="shared" si="74"/>
        <v>Laufstallmist und viel Gülle (10-40% eingestreut)</v>
      </c>
      <c r="B4105" s="2410" t="s">
        <v>884</v>
      </c>
      <c r="C4105" s="2410" t="s">
        <v>885</v>
      </c>
      <c r="D4105" s="2414" t="s">
        <v>10277</v>
      </c>
    </row>
    <row r="4106" spans="1:4" ht="12.75" customHeight="1">
      <c r="A4106" s="2410" t="str">
        <f t="shared" si="74"/>
        <v>Laufstallmist und Gülle (40-60% eingestreut)</v>
      </c>
      <c r="B4106" s="2410" t="s">
        <v>925</v>
      </c>
      <c r="C4106" s="2410" t="s">
        <v>2029</v>
      </c>
      <c r="D4106" s="2414" t="s">
        <v>10278</v>
      </c>
    </row>
    <row r="4107" spans="1:4" ht="12.75" customHeight="1">
      <c r="A4107" s="2410" t="str">
        <f t="shared" si="74"/>
        <v>Laufstallmist und wenig Gülle (60-90% eingestreut)</v>
      </c>
      <c r="B4107" s="2410" t="s">
        <v>5625</v>
      </c>
      <c r="C4107" s="2410" t="s">
        <v>729</v>
      </c>
      <c r="D4107" s="2414" t="s">
        <v>10279</v>
      </c>
    </row>
    <row r="4108" spans="1:4" ht="12.75" customHeight="1">
      <c r="A4108" s="2410" t="str">
        <f t="shared" si="74"/>
        <v>Nur Laufstallmist</v>
      </c>
      <c r="B4108" s="2410" t="s">
        <v>2067</v>
      </c>
      <c r="C4108" s="2410" t="s">
        <v>4915</v>
      </c>
      <c r="D4108" s="2414" t="s">
        <v>10280</v>
      </c>
    </row>
    <row r="4109" spans="1:4" ht="12.75" customHeight="1">
      <c r="A4109" s="2410" t="str">
        <f t="shared" si="74"/>
        <v>(keine Angabe)</v>
      </c>
      <c r="B4109" s="2410" t="s">
        <v>280</v>
      </c>
      <c r="C4109" s="2410" t="s">
        <v>4900</v>
      </c>
      <c r="D4109" s="2414" t="s">
        <v>10275</v>
      </c>
    </row>
    <row r="4110" spans="1:4" ht="12.75" customHeight="1">
      <c r="A4110" s="2410" t="str">
        <f t="shared" si="74"/>
        <v>Freiland</v>
      </c>
      <c r="B4110" s="2410" t="s">
        <v>2068</v>
      </c>
      <c r="C4110" s="2410" t="s">
        <v>4916</v>
      </c>
      <c r="D4110" s="2414" t="s">
        <v>10282</v>
      </c>
    </row>
    <row r="4111" spans="1:4" ht="12.75" customHeight="1">
      <c r="A4111" s="2410" t="str">
        <f t="shared" si="74"/>
        <v>Kotarme Gülle und Stapelmist</v>
      </c>
      <c r="B4111" s="2410" t="s">
        <v>752</v>
      </c>
      <c r="C4111" s="2410" t="s">
        <v>2006</v>
      </c>
      <c r="D4111" s="2414" t="s">
        <v>10276</v>
      </c>
    </row>
    <row r="4112" spans="1:4" ht="12.75" customHeight="1">
      <c r="A4112" s="2410" t="str">
        <f t="shared" si="74"/>
        <v>Laufstallmist und viel Gülle (10-40% eingestreut)</v>
      </c>
      <c r="B4112" s="2410" t="s">
        <v>884</v>
      </c>
      <c r="C4112" s="2410" t="s">
        <v>885</v>
      </c>
      <c r="D4112" s="2414" t="s">
        <v>10277</v>
      </c>
    </row>
    <row r="4113" spans="1:4" ht="12.75" customHeight="1">
      <c r="A4113" s="2410" t="str">
        <f t="shared" si="74"/>
        <v>Laufstallmist und Gülle (40-60% eingestreut)</v>
      </c>
      <c r="B4113" s="2410" t="s">
        <v>925</v>
      </c>
      <c r="C4113" s="2410" t="s">
        <v>2029</v>
      </c>
      <c r="D4113" s="2414" t="s">
        <v>10278</v>
      </c>
    </row>
    <row r="4114" spans="1:4" ht="12.75" customHeight="1">
      <c r="A4114" s="2410" t="str">
        <f t="shared" si="74"/>
        <v>Laufstallmist und wenig Gülle (60-90% eingestreut)</v>
      </c>
      <c r="B4114" s="2410" t="s">
        <v>5625</v>
      </c>
      <c r="C4114" s="2410" t="s">
        <v>729</v>
      </c>
      <c r="D4114" s="2414" t="s">
        <v>10279</v>
      </c>
    </row>
    <row r="4115" spans="1:4" ht="12.75" customHeight="1">
      <c r="A4115" s="2410" t="str">
        <f t="shared" si="74"/>
        <v>Nur Laufstallmist</v>
      </c>
      <c r="B4115" s="2410" t="s">
        <v>2067</v>
      </c>
      <c r="C4115" s="2410" t="s">
        <v>4915</v>
      </c>
      <c r="D4115" s="2414" t="s">
        <v>10280</v>
      </c>
    </row>
    <row r="4116" spans="1:4" ht="12.75" customHeight="1">
      <c r="A4116" s="2410" t="str">
        <f t="shared" si="74"/>
        <v>(keine Angabe)</v>
      </c>
      <c r="B4116" s="2410" t="s">
        <v>280</v>
      </c>
      <c r="C4116" s="2410" t="s">
        <v>4900</v>
      </c>
      <c r="D4116" s="2414" t="s">
        <v>10275</v>
      </c>
    </row>
    <row r="4117" spans="1:4" ht="12.75" customHeight="1">
      <c r="A4117" s="2410" t="str">
        <f t="shared" si="74"/>
        <v>Nur Laufstallmist</v>
      </c>
      <c r="B4117" s="2410" t="s">
        <v>2067</v>
      </c>
      <c r="C4117" s="2410" t="s">
        <v>4915</v>
      </c>
      <c r="D4117" s="2414" t="s">
        <v>10280</v>
      </c>
    </row>
    <row r="4118" spans="1:4" ht="12.75" customHeight="1">
      <c r="A4118" s="2410" t="str">
        <f t="shared" si="74"/>
        <v>(keine Angabe)</v>
      </c>
      <c r="B4118" s="2410" t="s">
        <v>280</v>
      </c>
      <c r="C4118" s="2410" t="s">
        <v>4900</v>
      </c>
      <c r="D4118" s="2414" t="s">
        <v>10275</v>
      </c>
    </row>
    <row r="4119" spans="1:4" ht="12.75" customHeight="1">
      <c r="A4119" s="2410" t="str">
        <f t="shared" si="74"/>
        <v>Nur Laufstallmist</v>
      </c>
      <c r="B4119" s="2410" t="s">
        <v>2067</v>
      </c>
      <c r="C4119" s="2410" t="s">
        <v>4915</v>
      </c>
      <c r="D4119" s="2414" t="s">
        <v>10280</v>
      </c>
    </row>
    <row r="4120" spans="1:4" ht="12.75" customHeight="1">
      <c r="A4120" s="2410" t="str">
        <f t="shared" si="74"/>
        <v>(keine Angabe)</v>
      </c>
      <c r="B4120" s="2410" t="s">
        <v>280</v>
      </c>
      <c r="C4120" s="2410" t="s">
        <v>4900</v>
      </c>
      <c r="D4120" s="2414" t="s">
        <v>10275</v>
      </c>
    </row>
    <row r="4121" spans="1:4" ht="12.75" customHeight="1">
      <c r="A4121" s="2410" t="str">
        <f t="shared" si="74"/>
        <v>Freiland</v>
      </c>
      <c r="B4121" s="2410" t="s">
        <v>2068</v>
      </c>
      <c r="C4121" s="2410" t="s">
        <v>4916</v>
      </c>
      <c r="D4121" s="2414" t="s">
        <v>10282</v>
      </c>
    </row>
    <row r="4122" spans="1:4" ht="12.75" customHeight="1">
      <c r="A4122" s="2410" t="str">
        <f t="shared" si="74"/>
        <v>Nur Gülle</v>
      </c>
      <c r="B4122" s="2410" t="s">
        <v>281</v>
      </c>
      <c r="C4122" s="2410" t="s">
        <v>2005</v>
      </c>
      <c r="D4122" s="2414" t="s">
        <v>10281</v>
      </c>
    </row>
    <row r="4123" spans="1:4" ht="12.75" customHeight="1">
      <c r="A4123" s="2410" t="str">
        <f t="shared" si="74"/>
        <v>Laufstallmist und viel Gülle (10-40% eingestreut)</v>
      </c>
      <c r="B4123" s="2410" t="s">
        <v>884</v>
      </c>
      <c r="C4123" s="2410" t="s">
        <v>885</v>
      </c>
      <c r="D4123" s="2414" t="s">
        <v>10277</v>
      </c>
    </row>
    <row r="4124" spans="1:4" ht="12.75" customHeight="1">
      <c r="A4124" s="2410" t="str">
        <f t="shared" si="74"/>
        <v>Laufstallmist und Gülle (40-60% eingestreut)</v>
      </c>
      <c r="B4124" s="2410" t="s">
        <v>925</v>
      </c>
      <c r="C4124" s="2410" t="s">
        <v>2029</v>
      </c>
      <c r="D4124" s="2414" t="s">
        <v>10278</v>
      </c>
    </row>
    <row r="4125" spans="1:4" ht="12.75" customHeight="1">
      <c r="A4125" s="2410" t="str">
        <f t="shared" si="74"/>
        <v>Laufstallmist und wenig Gülle (60-90% eingestreut)</v>
      </c>
      <c r="B4125" s="2410" t="s">
        <v>5625</v>
      </c>
      <c r="C4125" s="2410" t="s">
        <v>729</v>
      </c>
      <c r="D4125" s="2414" t="s">
        <v>10279</v>
      </c>
    </row>
    <row r="4126" spans="1:4" ht="12.75" customHeight="1">
      <c r="A4126" s="2410" t="str">
        <f t="shared" si="74"/>
        <v>Nur Laufstallmist</v>
      </c>
      <c r="B4126" s="2410" t="s">
        <v>2067</v>
      </c>
      <c r="C4126" s="2410" t="s">
        <v>4915</v>
      </c>
      <c r="D4126" s="2414" t="s">
        <v>10280</v>
      </c>
    </row>
    <row r="4127" spans="1:4" ht="12.75" customHeight="1">
      <c r="A4127" s="2410" t="str">
        <f t="shared" si="74"/>
        <v>(keine Angabe)</v>
      </c>
      <c r="B4127" s="2410" t="s">
        <v>280</v>
      </c>
      <c r="C4127" s="2410" t="s">
        <v>4900</v>
      </c>
      <c r="D4127" s="2414" t="s">
        <v>10275</v>
      </c>
    </row>
    <row r="4128" spans="1:4" ht="12.75" customHeight="1">
      <c r="A4128" s="2410" t="str">
        <f t="shared" si="74"/>
        <v>Freiland</v>
      </c>
      <c r="B4128" s="2410" t="s">
        <v>2068</v>
      </c>
      <c r="C4128" s="2410" t="s">
        <v>4916</v>
      </c>
      <c r="D4128" s="2414" t="s">
        <v>10282</v>
      </c>
    </row>
    <row r="4129" spans="1:4" ht="12.75" customHeight="1">
      <c r="A4129" s="2410" t="str">
        <f t="shared" si="74"/>
        <v>Nur Gülle</v>
      </c>
      <c r="B4129" s="2410" t="s">
        <v>281</v>
      </c>
      <c r="C4129" s="2410" t="s">
        <v>2005</v>
      </c>
      <c r="D4129" s="2414" t="s">
        <v>10281</v>
      </c>
    </row>
    <row r="4130" spans="1:4" ht="12.75" customHeight="1">
      <c r="A4130" s="2410" t="str">
        <f t="shared" si="74"/>
        <v>Laufstallmist und viel Gülle (10-40% eingestreut)</v>
      </c>
      <c r="B4130" s="2410" t="s">
        <v>884</v>
      </c>
      <c r="C4130" s="2410" t="s">
        <v>885</v>
      </c>
      <c r="D4130" s="2414" t="s">
        <v>10277</v>
      </c>
    </row>
    <row r="4131" spans="1:4" ht="12.75" customHeight="1">
      <c r="A4131" s="2410" t="str">
        <f t="shared" si="74"/>
        <v>Laufstallmist und Gülle (40-60% eingestreut)</v>
      </c>
      <c r="B4131" s="2410" t="s">
        <v>925</v>
      </c>
      <c r="C4131" s="2410" t="s">
        <v>2029</v>
      </c>
      <c r="D4131" s="2414" t="s">
        <v>10278</v>
      </c>
    </row>
    <row r="4132" spans="1:4" ht="12.75" customHeight="1">
      <c r="A4132" s="2410" t="str">
        <f t="shared" si="74"/>
        <v>Laufstallmist und wenig Gülle (60-90% eingestreut)</v>
      </c>
      <c r="B4132" s="2410" t="s">
        <v>5625</v>
      </c>
      <c r="C4132" s="2410" t="s">
        <v>729</v>
      </c>
      <c r="D4132" s="2414" t="s">
        <v>10279</v>
      </c>
    </row>
    <row r="4133" spans="1:4" ht="12.75" customHeight="1">
      <c r="A4133" s="2410" t="str">
        <f t="shared" si="74"/>
        <v>Nur Laufstallmist</v>
      </c>
      <c r="B4133" s="2410" t="s">
        <v>2067</v>
      </c>
      <c r="C4133" s="2410" t="s">
        <v>4915</v>
      </c>
      <c r="D4133" s="2414" t="s">
        <v>10280</v>
      </c>
    </row>
    <row r="4134" spans="1:4" ht="12.75" customHeight="1">
      <c r="A4134" s="2410" t="str">
        <f t="shared" si="74"/>
        <v>(keine Angabe)</v>
      </c>
      <c r="B4134" s="2410" t="s">
        <v>280</v>
      </c>
      <c r="C4134" s="2410" t="s">
        <v>4900</v>
      </c>
      <c r="D4134" s="2414" t="s">
        <v>10275</v>
      </c>
    </row>
    <row r="4135" spans="1:4" ht="12.75" customHeight="1">
      <c r="A4135" s="2410" t="str">
        <f t="shared" si="74"/>
        <v>Freiland</v>
      </c>
      <c r="B4135" s="2410" t="s">
        <v>2068</v>
      </c>
      <c r="C4135" s="2410" t="s">
        <v>4916</v>
      </c>
      <c r="D4135" s="2414" t="s">
        <v>10282</v>
      </c>
    </row>
    <row r="4136" spans="1:4" ht="12.75" customHeight="1">
      <c r="A4136" s="2410" t="str">
        <f t="shared" si="74"/>
        <v>Nur Gülle</v>
      </c>
      <c r="B4136" s="2410" t="s">
        <v>281</v>
      </c>
      <c r="C4136" s="2410" t="s">
        <v>2005</v>
      </c>
      <c r="D4136" s="2414" t="s">
        <v>10281</v>
      </c>
    </row>
    <row r="4137" spans="1:4" ht="12.75" customHeight="1">
      <c r="A4137" s="2410" t="str">
        <f t="shared" si="74"/>
        <v>Laufstallmist und viel Gülle (10-40% eingestreut)</v>
      </c>
      <c r="B4137" s="2410" t="s">
        <v>884</v>
      </c>
      <c r="C4137" s="2410" t="s">
        <v>885</v>
      </c>
      <c r="D4137" s="2414" t="s">
        <v>10277</v>
      </c>
    </row>
    <row r="4138" spans="1:4" ht="12.75" customHeight="1">
      <c r="A4138" s="2410" t="str">
        <f t="shared" si="74"/>
        <v>Laufstallmist und Gülle (40-60% eingestreut)</v>
      </c>
      <c r="B4138" s="2410" t="s">
        <v>925</v>
      </c>
      <c r="C4138" s="2410" t="s">
        <v>2029</v>
      </c>
      <c r="D4138" s="2414" t="s">
        <v>10278</v>
      </c>
    </row>
    <row r="4139" spans="1:4" ht="12.75" customHeight="1">
      <c r="A4139" s="2410" t="str">
        <f t="shared" si="74"/>
        <v>Laufstallmist und wenig Gülle (60-90% eingestreut)</v>
      </c>
      <c r="B4139" s="2410" t="s">
        <v>5625</v>
      </c>
      <c r="C4139" s="2410" t="s">
        <v>729</v>
      </c>
      <c r="D4139" s="2414" t="s">
        <v>10279</v>
      </c>
    </row>
    <row r="4140" spans="1:4" ht="12.75" customHeight="1">
      <c r="A4140" s="2410" t="str">
        <f t="shared" si="74"/>
        <v>Nur Laufstallmist</v>
      </c>
      <c r="B4140" s="2410" t="s">
        <v>2067</v>
      </c>
      <c r="C4140" s="2410" t="s">
        <v>4915</v>
      </c>
      <c r="D4140" s="2414" t="s">
        <v>10280</v>
      </c>
    </row>
    <row r="4141" spans="1:4" ht="12.75" customHeight="1">
      <c r="A4141" s="2410" t="str">
        <f t="shared" si="74"/>
        <v>(keine Angabe)</v>
      </c>
      <c r="B4141" s="2410" t="s">
        <v>280</v>
      </c>
      <c r="C4141" s="2410" t="s">
        <v>4900</v>
      </c>
      <c r="D4141" s="2414" t="s">
        <v>10275</v>
      </c>
    </row>
    <row r="4142" spans="1:4" ht="12.75" customHeight="1">
      <c r="A4142" s="2410" t="str">
        <f t="shared" si="74"/>
        <v>Freiland</v>
      </c>
      <c r="B4142" s="2410" t="s">
        <v>2068</v>
      </c>
      <c r="C4142" s="2410" t="s">
        <v>4916</v>
      </c>
      <c r="D4142" s="2414" t="s">
        <v>10282</v>
      </c>
    </row>
    <row r="4143" spans="1:4" ht="12.75" customHeight="1">
      <c r="A4143" s="2410" t="str">
        <f t="shared" ref="A4143:A4191" si="75">IF($A$2=1,B4143,IF($A$2=2,C4143,IF($A$2=3,IF(D4143="",C4143,D4143),"")))</f>
        <v>Nur Gülle</v>
      </c>
      <c r="B4143" s="2410" t="s">
        <v>281</v>
      </c>
      <c r="C4143" s="2410" t="s">
        <v>2005</v>
      </c>
      <c r="D4143" s="2414" t="s">
        <v>10281</v>
      </c>
    </row>
    <row r="4144" spans="1:4" ht="12.75" customHeight="1">
      <c r="A4144" s="2410" t="str">
        <f t="shared" si="75"/>
        <v>Laufstallmist und viel Gülle (10-40% eingestreut)</v>
      </c>
      <c r="B4144" s="2410" t="s">
        <v>884</v>
      </c>
      <c r="C4144" s="2410" t="s">
        <v>885</v>
      </c>
      <c r="D4144" s="2414" t="s">
        <v>10277</v>
      </c>
    </row>
    <row r="4145" spans="1:4" ht="12.75" customHeight="1">
      <c r="A4145" s="2410" t="str">
        <f t="shared" si="75"/>
        <v>Laufstallmist und Gülle (40-60% eingestreut)</v>
      </c>
      <c r="B4145" s="2410" t="s">
        <v>925</v>
      </c>
      <c r="C4145" s="2410" t="s">
        <v>2029</v>
      </c>
      <c r="D4145" s="2414" t="s">
        <v>10278</v>
      </c>
    </row>
    <row r="4146" spans="1:4" ht="12.75" customHeight="1">
      <c r="A4146" s="2410" t="str">
        <f t="shared" si="75"/>
        <v>Laufstallmist und wenig Gülle (60-90% eingestreut)</v>
      </c>
      <c r="B4146" s="2410" t="s">
        <v>5625</v>
      </c>
      <c r="C4146" s="2410" t="s">
        <v>729</v>
      </c>
      <c r="D4146" s="2414" t="s">
        <v>10279</v>
      </c>
    </row>
    <row r="4147" spans="1:4" ht="12.75" customHeight="1">
      <c r="A4147" s="2410" t="str">
        <f t="shared" si="75"/>
        <v>Nur Laufstallmist</v>
      </c>
      <c r="B4147" s="2410" t="s">
        <v>2067</v>
      </c>
      <c r="C4147" s="2410" t="s">
        <v>4915</v>
      </c>
      <c r="D4147" s="2414" t="s">
        <v>10280</v>
      </c>
    </row>
    <row r="4148" spans="1:4" ht="12.75" customHeight="1">
      <c r="A4148" s="2410" t="str">
        <f t="shared" si="75"/>
        <v>(keine Angabe)</v>
      </c>
      <c r="B4148" s="2410" t="s">
        <v>280</v>
      </c>
      <c r="C4148" s="2410" t="s">
        <v>4900</v>
      </c>
      <c r="D4148" s="2414" t="s">
        <v>10275</v>
      </c>
    </row>
    <row r="4149" spans="1:4" ht="12.75" customHeight="1">
      <c r="A4149" s="2410" t="str">
        <f t="shared" si="75"/>
        <v>Nur Gülle</v>
      </c>
      <c r="B4149" s="2410" t="s">
        <v>281</v>
      </c>
      <c r="C4149" s="2410" t="s">
        <v>2005</v>
      </c>
      <c r="D4149" s="2414" t="s">
        <v>10281</v>
      </c>
    </row>
    <row r="4150" spans="1:4" ht="12.75" customHeight="1">
      <c r="A4150" s="2410" t="str">
        <f t="shared" si="75"/>
        <v>Laufstallmist und viel Gülle (10-40% eingestreut)</v>
      </c>
      <c r="B4150" s="2410" t="s">
        <v>884</v>
      </c>
      <c r="C4150" s="2410" t="s">
        <v>885</v>
      </c>
      <c r="D4150" s="2414" t="s">
        <v>10277</v>
      </c>
    </row>
    <row r="4151" spans="1:4" ht="12.75" customHeight="1">
      <c r="A4151" s="2410" t="str">
        <f t="shared" si="75"/>
        <v>Laufstallmist und Gülle (40-60% eingestreut)</v>
      </c>
      <c r="B4151" s="2410" t="s">
        <v>925</v>
      </c>
      <c r="C4151" s="2410" t="s">
        <v>2029</v>
      </c>
      <c r="D4151" s="2414" t="s">
        <v>10278</v>
      </c>
    </row>
    <row r="4152" spans="1:4" ht="12.75" customHeight="1">
      <c r="A4152" s="2410" t="str">
        <f t="shared" si="75"/>
        <v>Laufstallmist und wenig Gülle (60-90% eingestreut)</v>
      </c>
      <c r="B4152" s="2410" t="s">
        <v>5625</v>
      </c>
      <c r="C4152" s="2410" t="s">
        <v>729</v>
      </c>
      <c r="D4152" s="2414" t="s">
        <v>10279</v>
      </c>
    </row>
    <row r="4153" spans="1:4" ht="12.75" customHeight="1">
      <c r="A4153" s="2410" t="str">
        <f t="shared" si="75"/>
        <v>Nur Laufstallmist</v>
      </c>
      <c r="B4153" s="2410" t="s">
        <v>2067</v>
      </c>
      <c r="C4153" s="2410" t="s">
        <v>4915</v>
      </c>
      <c r="D4153" s="2414" t="s">
        <v>10280</v>
      </c>
    </row>
    <row r="4154" spans="1:4" ht="12.75" customHeight="1">
      <c r="A4154" s="2410" t="str">
        <f t="shared" si="75"/>
        <v>(keine Angabe)</v>
      </c>
      <c r="B4154" s="2410" t="s">
        <v>280</v>
      </c>
      <c r="C4154" s="2410" t="s">
        <v>4900</v>
      </c>
      <c r="D4154" s="2414" t="s">
        <v>10275</v>
      </c>
    </row>
    <row r="4155" spans="1:4" ht="12.75" customHeight="1">
      <c r="A4155" s="2410" t="str">
        <f t="shared" si="75"/>
        <v>Freiland</v>
      </c>
      <c r="B4155" s="2410" t="s">
        <v>2068</v>
      </c>
      <c r="C4155" s="2410" t="s">
        <v>4916</v>
      </c>
      <c r="D4155" s="2414" t="s">
        <v>10282</v>
      </c>
    </row>
    <row r="4156" spans="1:4" ht="12.75" customHeight="1">
      <c r="A4156" s="2410" t="str">
        <f t="shared" si="75"/>
        <v>Nur Gülle</v>
      </c>
      <c r="B4156" s="2410" t="s">
        <v>281</v>
      </c>
      <c r="C4156" s="2410" t="s">
        <v>2005</v>
      </c>
      <c r="D4156" s="2414" t="s">
        <v>10281</v>
      </c>
    </row>
    <row r="4157" spans="1:4" ht="12.75" customHeight="1">
      <c r="A4157" s="2410" t="str">
        <f t="shared" si="75"/>
        <v>Kotarme Gülle und Stapelmist</v>
      </c>
      <c r="B4157" s="2410" t="s">
        <v>752</v>
      </c>
      <c r="C4157" s="2410" t="s">
        <v>2006</v>
      </c>
      <c r="D4157" s="2414" t="s">
        <v>10276</v>
      </c>
    </row>
    <row r="4158" spans="1:4" ht="12.75" customHeight="1">
      <c r="A4158" s="2410" t="str">
        <f t="shared" si="75"/>
        <v>Laufstallmist und viel Gülle (10-40% eingestreut)</v>
      </c>
      <c r="B4158" s="2410" t="s">
        <v>884</v>
      </c>
      <c r="C4158" s="2410" t="s">
        <v>885</v>
      </c>
      <c r="D4158" s="2414" t="s">
        <v>10277</v>
      </c>
    </row>
    <row r="4159" spans="1:4" ht="12.75" customHeight="1">
      <c r="A4159" s="2410" t="str">
        <f t="shared" si="75"/>
        <v>Laufstallmist und Gülle (40-60% eingestreut)</v>
      </c>
      <c r="B4159" s="2410" t="s">
        <v>925</v>
      </c>
      <c r="C4159" s="2410" t="s">
        <v>2029</v>
      </c>
      <c r="D4159" s="2414" t="s">
        <v>10278</v>
      </c>
    </row>
    <row r="4160" spans="1:4" ht="12.75" customHeight="1">
      <c r="A4160" s="2410" t="str">
        <f t="shared" si="75"/>
        <v>Laufstallmist und wenig Gülle (60-90% eingestreut)</v>
      </c>
      <c r="B4160" s="2410" t="s">
        <v>5625</v>
      </c>
      <c r="C4160" s="2410" t="s">
        <v>729</v>
      </c>
      <c r="D4160" s="2414" t="s">
        <v>10279</v>
      </c>
    </row>
    <row r="4161" spans="1:4" ht="12.75" customHeight="1">
      <c r="A4161" s="2410" t="str">
        <f t="shared" si="75"/>
        <v>Nur Laufstallmist</v>
      </c>
      <c r="B4161" s="2410" t="s">
        <v>2067</v>
      </c>
      <c r="C4161" s="2410" t="s">
        <v>4915</v>
      </c>
      <c r="D4161" s="2414" t="s">
        <v>10280</v>
      </c>
    </row>
    <row r="4162" spans="1:4" ht="12.75" customHeight="1">
      <c r="A4162" s="2410" t="str">
        <f t="shared" si="75"/>
        <v>(keine Angabe)</v>
      </c>
      <c r="B4162" s="2410" t="s">
        <v>280</v>
      </c>
      <c r="C4162" s="2410" t="s">
        <v>4900</v>
      </c>
      <c r="D4162" s="2414" t="s">
        <v>10275</v>
      </c>
    </row>
    <row r="4163" spans="1:4" ht="12.75" customHeight="1">
      <c r="A4163" s="2410" t="str">
        <f t="shared" si="75"/>
        <v>Freiland</v>
      </c>
      <c r="B4163" s="2410" t="s">
        <v>2068</v>
      </c>
      <c r="C4163" s="2410" t="s">
        <v>4916</v>
      </c>
      <c r="D4163" s="2414" t="s">
        <v>10282</v>
      </c>
    </row>
    <row r="4164" spans="1:4" ht="12.75" customHeight="1">
      <c r="A4164" s="2410" t="str">
        <f t="shared" si="75"/>
        <v>Nur Gülle</v>
      </c>
      <c r="B4164" s="2410" t="s">
        <v>281</v>
      </c>
      <c r="C4164" s="2410" t="s">
        <v>2005</v>
      </c>
      <c r="D4164" s="2414" t="s">
        <v>10281</v>
      </c>
    </row>
    <row r="4165" spans="1:4" ht="12.75" customHeight="1">
      <c r="A4165" s="2410" t="str">
        <f t="shared" si="75"/>
        <v>Kotarme Gülle und Stapelmist</v>
      </c>
      <c r="B4165" s="2410" t="s">
        <v>752</v>
      </c>
      <c r="C4165" s="2410" t="s">
        <v>2006</v>
      </c>
      <c r="D4165" s="2414" t="s">
        <v>10276</v>
      </c>
    </row>
    <row r="4166" spans="1:4" ht="12.75" customHeight="1">
      <c r="A4166" s="2410" t="str">
        <f t="shared" si="75"/>
        <v>Laufstallmist und viel Gülle (10-40% eingestreut)</v>
      </c>
      <c r="B4166" s="2410" t="s">
        <v>884</v>
      </c>
      <c r="C4166" s="2410" t="s">
        <v>885</v>
      </c>
      <c r="D4166" s="2414" t="s">
        <v>10277</v>
      </c>
    </row>
    <row r="4167" spans="1:4" ht="12.75" customHeight="1">
      <c r="A4167" s="2410" t="str">
        <f t="shared" si="75"/>
        <v>Laufstallmist und Gülle (40-60% eingestreut)</v>
      </c>
      <c r="B4167" s="2410" t="s">
        <v>925</v>
      </c>
      <c r="C4167" s="2410" t="s">
        <v>2029</v>
      </c>
      <c r="D4167" s="2414" t="s">
        <v>10278</v>
      </c>
    </row>
    <row r="4168" spans="1:4" ht="12.75" customHeight="1">
      <c r="A4168" s="2410" t="str">
        <f t="shared" si="75"/>
        <v>Laufstallmist und wenig Gülle (60-90% eingestreut)</v>
      </c>
      <c r="B4168" s="2410" t="s">
        <v>5625</v>
      </c>
      <c r="C4168" s="2410" t="s">
        <v>729</v>
      </c>
      <c r="D4168" s="2414" t="s">
        <v>10279</v>
      </c>
    </row>
    <row r="4169" spans="1:4" ht="12.75" customHeight="1">
      <c r="A4169" s="2410" t="str">
        <f t="shared" si="75"/>
        <v>Nur Laufstallmist</v>
      </c>
      <c r="B4169" s="2410" t="s">
        <v>2067</v>
      </c>
      <c r="C4169" s="2410" t="s">
        <v>4915</v>
      </c>
      <c r="D4169" s="2414" t="s">
        <v>10280</v>
      </c>
    </row>
    <row r="4170" spans="1:4" ht="12.75" customHeight="1">
      <c r="A4170" s="2410" t="str">
        <f t="shared" si="75"/>
        <v>(keine Angabe)</v>
      </c>
      <c r="B4170" s="2410" t="s">
        <v>280</v>
      </c>
      <c r="C4170" s="2410" t="s">
        <v>4900</v>
      </c>
      <c r="D4170" s="2414" t="s">
        <v>10275</v>
      </c>
    </row>
    <row r="4171" spans="1:4" ht="12.75" customHeight="1">
      <c r="A4171" s="2410" t="str">
        <f t="shared" si="75"/>
        <v>Freiland</v>
      </c>
      <c r="B4171" s="2410" t="s">
        <v>2068</v>
      </c>
      <c r="C4171" s="2410" t="s">
        <v>4916</v>
      </c>
      <c r="D4171" s="2414" t="s">
        <v>10282</v>
      </c>
    </row>
    <row r="4172" spans="1:4" ht="12.75" customHeight="1">
      <c r="A4172" s="2410" t="str">
        <f t="shared" si="75"/>
        <v>Pferdemist frisch</v>
      </c>
      <c r="B4172" s="2410" t="s">
        <v>1357</v>
      </c>
      <c r="C4172" s="2410" t="s">
        <v>5297</v>
      </c>
      <c r="D4172" s="2414" t="s">
        <v>6769</v>
      </c>
    </row>
    <row r="4173" spans="1:4" ht="12.75" customHeight="1">
      <c r="A4173" s="2410" t="str">
        <f t="shared" si="75"/>
        <v>Pferdemist</v>
      </c>
      <c r="B4173" s="2410" t="s">
        <v>1358</v>
      </c>
      <c r="C4173" s="2410" t="s">
        <v>5296</v>
      </c>
      <c r="D4173" s="2414" t="s">
        <v>6770</v>
      </c>
    </row>
    <row r="4174" spans="1:4" ht="12.75" customHeight="1">
      <c r="A4174" s="2410" t="str">
        <f t="shared" si="75"/>
        <v>(keine Angabe)</v>
      </c>
      <c r="B4174" s="2410" t="s">
        <v>280</v>
      </c>
      <c r="C4174" s="2410" t="s">
        <v>4900</v>
      </c>
      <c r="D4174" s="2414" t="s">
        <v>10275</v>
      </c>
    </row>
    <row r="4175" spans="1:4" ht="12.75" customHeight="1">
      <c r="A4175" s="2410" t="str">
        <f t="shared" si="75"/>
        <v>Freiland</v>
      </c>
      <c r="B4175" s="2410" t="s">
        <v>2068</v>
      </c>
      <c r="C4175" s="2410" t="s">
        <v>4916</v>
      </c>
      <c r="D4175" s="2414" t="s">
        <v>10282</v>
      </c>
    </row>
    <row r="4176" spans="1:4" ht="12.75" customHeight="1">
      <c r="A4176" s="2410" t="str">
        <f t="shared" si="75"/>
        <v>Pferdemist frisch</v>
      </c>
      <c r="B4176" s="2410" t="s">
        <v>1357</v>
      </c>
      <c r="C4176" s="2410" t="s">
        <v>5297</v>
      </c>
      <c r="D4176" s="2414" t="s">
        <v>6769</v>
      </c>
    </row>
    <row r="4177" spans="1:4" ht="12.75" customHeight="1">
      <c r="A4177" s="2410" t="str">
        <f t="shared" si="75"/>
        <v>Pferdemist</v>
      </c>
      <c r="B4177" s="2410" t="s">
        <v>1358</v>
      </c>
      <c r="C4177" s="2410" t="s">
        <v>5296</v>
      </c>
      <c r="D4177" s="2414" t="s">
        <v>6770</v>
      </c>
    </row>
    <row r="4178" spans="1:4" ht="12.75" customHeight="1">
      <c r="A4178" s="2410" t="str">
        <f t="shared" si="75"/>
        <v>(keine Angabe)</v>
      </c>
      <c r="B4178" s="2410" t="s">
        <v>280</v>
      </c>
      <c r="C4178" s="2410" t="s">
        <v>4900</v>
      </c>
      <c r="D4178" s="2414" t="s">
        <v>10275</v>
      </c>
    </row>
    <row r="4179" spans="1:4" ht="12.75" customHeight="1">
      <c r="A4179" s="2410" t="str">
        <f t="shared" si="75"/>
        <v>Freiland</v>
      </c>
      <c r="B4179" s="2410" t="s">
        <v>2068</v>
      </c>
      <c r="C4179" s="2410" t="s">
        <v>4916</v>
      </c>
      <c r="D4179" s="2414" t="s">
        <v>10282</v>
      </c>
    </row>
    <row r="4180" spans="1:4" ht="12.75" customHeight="1">
      <c r="A4180" s="2410" t="str">
        <f t="shared" si="75"/>
        <v>Pferdemist frisch</v>
      </c>
      <c r="B4180" s="2410" t="s">
        <v>1357</v>
      </c>
      <c r="C4180" s="2410" t="s">
        <v>5297</v>
      </c>
      <c r="D4180" s="2414" t="s">
        <v>6769</v>
      </c>
    </row>
    <row r="4181" spans="1:4" ht="12.75" customHeight="1">
      <c r="A4181" s="2410" t="str">
        <f t="shared" si="75"/>
        <v>Pferdemist</v>
      </c>
      <c r="B4181" s="2410" t="s">
        <v>1358</v>
      </c>
      <c r="C4181" s="2410" t="s">
        <v>5296</v>
      </c>
      <c r="D4181" s="2414" t="s">
        <v>6770</v>
      </c>
    </row>
    <row r="4182" spans="1:4" ht="12.75" customHeight="1">
      <c r="A4182" s="2410" t="str">
        <f t="shared" si="75"/>
        <v>(keine Angabe)</v>
      </c>
      <c r="B4182" s="2410" t="s">
        <v>280</v>
      </c>
      <c r="C4182" s="2410" t="s">
        <v>4900</v>
      </c>
      <c r="D4182" s="2414" t="s">
        <v>10275</v>
      </c>
    </row>
    <row r="4183" spans="1:4" ht="12.75" customHeight="1">
      <c r="A4183" s="2410" t="str">
        <f t="shared" si="75"/>
        <v>Freiland</v>
      </c>
      <c r="B4183" s="2410" t="s">
        <v>2068</v>
      </c>
      <c r="C4183" s="2410" t="s">
        <v>4916</v>
      </c>
      <c r="D4183" s="2414" t="s">
        <v>10282</v>
      </c>
    </row>
    <row r="4184" spans="1:4" ht="12.75" customHeight="1">
      <c r="A4184" s="2410" t="str">
        <f t="shared" si="75"/>
        <v>Pferdemist frisch</v>
      </c>
      <c r="B4184" s="2410" t="s">
        <v>1357</v>
      </c>
      <c r="C4184" s="2410" t="s">
        <v>5297</v>
      </c>
      <c r="D4184" s="2414" t="s">
        <v>6769</v>
      </c>
    </row>
    <row r="4185" spans="1:4" ht="12.75" customHeight="1">
      <c r="A4185" s="2410" t="str">
        <f t="shared" si="75"/>
        <v>Pferdemist</v>
      </c>
      <c r="B4185" s="2410" t="s">
        <v>1358</v>
      </c>
      <c r="C4185" s="2410" t="s">
        <v>5296</v>
      </c>
      <c r="D4185" s="2414" t="s">
        <v>6770</v>
      </c>
    </row>
    <row r="4186" spans="1:4" ht="12.75" customHeight="1">
      <c r="A4186" s="2410" t="str">
        <f t="shared" si="75"/>
        <v>(keine Angabe)</v>
      </c>
      <c r="B4186" s="2410" t="s">
        <v>280</v>
      </c>
      <c r="C4186" s="2410" t="s">
        <v>4900</v>
      </c>
      <c r="D4186" s="2414" t="s">
        <v>10275</v>
      </c>
    </row>
    <row r="4187" spans="1:4" ht="12.75" customHeight="1">
      <c r="A4187" s="2410" t="str">
        <f t="shared" si="75"/>
        <v>Freiland</v>
      </c>
      <c r="B4187" s="2410" t="s">
        <v>2068</v>
      </c>
      <c r="C4187" s="2410" t="s">
        <v>4916</v>
      </c>
      <c r="D4187" s="2414" t="s">
        <v>10282</v>
      </c>
    </row>
    <row r="4188" spans="1:4" ht="12.75" customHeight="1">
      <c r="A4188" s="2410" t="str">
        <f t="shared" si="75"/>
        <v>Pferdemist frisch</v>
      </c>
      <c r="B4188" s="2410" t="s">
        <v>1357</v>
      </c>
      <c r="C4188" s="2410" t="s">
        <v>5297</v>
      </c>
      <c r="D4188" s="2414" t="s">
        <v>6769</v>
      </c>
    </row>
    <row r="4189" spans="1:4" ht="12.75" customHeight="1">
      <c r="A4189" s="2410" t="str">
        <f t="shared" si="75"/>
        <v>Pferdemist</v>
      </c>
      <c r="B4189" s="2410" t="s">
        <v>1358</v>
      </c>
      <c r="C4189" s="2410" t="s">
        <v>5296</v>
      </c>
      <c r="D4189" s="2414" t="s">
        <v>6770</v>
      </c>
    </row>
    <row r="4190" spans="1:4" ht="12.75" customHeight="1">
      <c r="A4190" s="2410" t="str">
        <f t="shared" si="75"/>
        <v>(keine Angabe)</v>
      </c>
      <c r="B4190" s="2410" t="s">
        <v>280</v>
      </c>
      <c r="C4190" s="2410" t="s">
        <v>4900</v>
      </c>
      <c r="D4190" s="2414" t="s">
        <v>10275</v>
      </c>
    </row>
    <row r="4191" spans="1:4" ht="12.75" customHeight="1">
      <c r="A4191" s="2410" t="str">
        <f t="shared" si="75"/>
        <v>Freiland</v>
      </c>
      <c r="B4191" s="2410" t="s">
        <v>2068</v>
      </c>
      <c r="C4191" s="2410" t="s">
        <v>4916</v>
      </c>
      <c r="D4191" s="2414" t="s">
        <v>10282</v>
      </c>
    </row>
    <row r="4192" spans="1:4" ht="12.75" customHeight="1">
      <c r="A4192" s="2410" t="str">
        <f t="shared" ref="A4192:A4255" si="76">IF($A$2=1,B4192,IF($A$2=2,C4192,IF($A$2=3,IF(D4192="",C4192,D4192),"")))</f>
        <v>(keine Angabe)</v>
      </c>
      <c r="B4192" s="2410" t="s">
        <v>280</v>
      </c>
      <c r="C4192" s="2410" t="s">
        <v>4900</v>
      </c>
      <c r="D4192" s="2414" t="s">
        <v>10275</v>
      </c>
    </row>
    <row r="4193" spans="1:4" ht="12.75" customHeight="1">
      <c r="A4193" s="2410" t="str">
        <f t="shared" si="76"/>
        <v>Freiland</v>
      </c>
      <c r="B4193" s="2410" t="s">
        <v>2068</v>
      </c>
      <c r="C4193" s="2410" t="s">
        <v>4916</v>
      </c>
      <c r="D4193" s="2414" t="s">
        <v>10282</v>
      </c>
    </row>
    <row r="4194" spans="1:4" ht="12.75" customHeight="1">
      <c r="A4194" s="2410" t="str">
        <f t="shared" si="76"/>
        <v>(keine Angabe)</v>
      </c>
      <c r="B4194" s="2410" t="s">
        <v>280</v>
      </c>
      <c r="C4194" s="2410" t="s">
        <v>4900</v>
      </c>
      <c r="D4194" s="2414" t="s">
        <v>10275</v>
      </c>
    </row>
    <row r="4195" spans="1:4" ht="12.75" customHeight="1">
      <c r="A4195" s="2410" t="str">
        <f t="shared" si="76"/>
        <v>Freiland</v>
      </c>
      <c r="B4195" s="2410" t="s">
        <v>2068</v>
      </c>
      <c r="C4195" s="2410" t="s">
        <v>4916</v>
      </c>
      <c r="D4195" s="2414" t="s">
        <v>10282</v>
      </c>
    </row>
    <row r="4196" spans="1:4" ht="12.75" customHeight="1">
      <c r="A4196" s="2410" t="str">
        <f t="shared" si="76"/>
        <v>(keine Angabe)</v>
      </c>
      <c r="B4196" s="2410" t="s">
        <v>280</v>
      </c>
      <c r="C4196" s="2410" t="s">
        <v>4900</v>
      </c>
      <c r="D4196" s="2414" t="s">
        <v>10275</v>
      </c>
    </row>
    <row r="4197" spans="1:4" ht="12.75" customHeight="1">
      <c r="A4197" s="2410" t="str">
        <f t="shared" si="76"/>
        <v>Freiland</v>
      </c>
      <c r="B4197" s="2410" t="s">
        <v>2068</v>
      </c>
      <c r="C4197" s="2410" t="s">
        <v>4916</v>
      </c>
      <c r="D4197" s="2414" t="s">
        <v>10282</v>
      </c>
    </row>
    <row r="4198" spans="1:4" ht="12.75" customHeight="1">
      <c r="A4198" s="2410" t="str">
        <f t="shared" si="76"/>
        <v>(keine Angabe)</v>
      </c>
      <c r="B4198" s="2410" t="s">
        <v>280</v>
      </c>
      <c r="C4198" s="2410" t="s">
        <v>4900</v>
      </c>
      <c r="D4198" s="2414" t="s">
        <v>10275</v>
      </c>
    </row>
    <row r="4199" spans="1:4" ht="12.75" customHeight="1">
      <c r="A4199" s="2410" t="str">
        <f t="shared" si="76"/>
        <v>Freiland</v>
      </c>
      <c r="B4199" s="2410" t="s">
        <v>2068</v>
      </c>
      <c r="C4199" s="2410" t="s">
        <v>4916</v>
      </c>
      <c r="D4199" s="2414" t="s">
        <v>10282</v>
      </c>
    </row>
    <row r="4200" spans="1:4" ht="12.75" customHeight="1">
      <c r="A4200" s="2410" t="str">
        <f t="shared" si="76"/>
        <v>(keine Angabe)</v>
      </c>
      <c r="B4200" s="2410" t="s">
        <v>280</v>
      </c>
      <c r="C4200" s="2410" t="s">
        <v>4900</v>
      </c>
      <c r="D4200" s="2414" t="s">
        <v>10275</v>
      </c>
    </row>
    <row r="4201" spans="1:4" ht="12.75" customHeight="1">
      <c r="A4201" s="2410" t="str">
        <f t="shared" si="76"/>
        <v>Freiland</v>
      </c>
      <c r="B4201" s="2410" t="s">
        <v>2068</v>
      </c>
      <c r="C4201" s="2410" t="s">
        <v>4916</v>
      </c>
      <c r="D4201" s="2414" t="s">
        <v>10282</v>
      </c>
    </row>
    <row r="4202" spans="1:4" ht="12.75" customHeight="1">
      <c r="A4202" s="2410" t="str">
        <f t="shared" si="76"/>
        <v>(keine Angabe)</v>
      </c>
      <c r="B4202" s="2410" t="s">
        <v>280</v>
      </c>
      <c r="C4202" s="2410" t="s">
        <v>4900</v>
      </c>
      <c r="D4202" s="2414" t="s">
        <v>10275</v>
      </c>
    </row>
    <row r="4203" spans="1:4" ht="12.75" customHeight="1">
      <c r="A4203" s="2410" t="str">
        <f t="shared" si="76"/>
        <v>Freiland</v>
      </c>
      <c r="B4203" s="2410" t="s">
        <v>2068</v>
      </c>
      <c r="C4203" s="2410" t="s">
        <v>4916</v>
      </c>
      <c r="D4203" s="2414" t="s">
        <v>10282</v>
      </c>
    </row>
    <row r="4204" spans="1:4" ht="12.75" customHeight="1">
      <c r="A4204" s="2410" t="str">
        <f t="shared" si="76"/>
        <v>(keine Angabe)</v>
      </c>
      <c r="B4204" s="2410" t="s">
        <v>280</v>
      </c>
      <c r="C4204" s="2410" t="s">
        <v>4900</v>
      </c>
      <c r="D4204" s="2414" t="s">
        <v>10275</v>
      </c>
    </row>
    <row r="4205" spans="1:4" ht="12.75" customHeight="1">
      <c r="A4205" s="2410" t="str">
        <f t="shared" si="76"/>
        <v>Freiland</v>
      </c>
      <c r="B4205" s="2410" t="s">
        <v>2068</v>
      </c>
      <c r="C4205" s="2410" t="s">
        <v>4916</v>
      </c>
      <c r="D4205" s="2414" t="s">
        <v>10282</v>
      </c>
    </row>
    <row r="4206" spans="1:4" ht="12.75" customHeight="1">
      <c r="A4206" s="2410" t="str">
        <f t="shared" si="76"/>
        <v>(keine Angabe)</v>
      </c>
      <c r="B4206" s="2410" t="s">
        <v>280</v>
      </c>
      <c r="C4206" s="2410" t="s">
        <v>4900</v>
      </c>
      <c r="D4206" s="2414" t="s">
        <v>10275</v>
      </c>
    </row>
    <row r="4207" spans="1:4" ht="12.75" customHeight="1">
      <c r="A4207" s="2410" t="str">
        <f t="shared" si="76"/>
        <v>Freiland</v>
      </c>
      <c r="B4207" s="2410" t="s">
        <v>2068</v>
      </c>
      <c r="C4207" s="2410" t="s">
        <v>4916</v>
      </c>
      <c r="D4207" s="2414" t="s">
        <v>10282</v>
      </c>
    </row>
    <row r="4208" spans="1:4" ht="12.75" customHeight="1">
      <c r="A4208" s="2410" t="str">
        <f t="shared" si="76"/>
        <v>Nur Laufstallmist</v>
      </c>
      <c r="B4208" s="2410" t="s">
        <v>2067</v>
      </c>
      <c r="C4208" s="2410" t="s">
        <v>4915</v>
      </c>
      <c r="D4208" s="2414" t="s">
        <v>10280</v>
      </c>
    </row>
    <row r="4209" spans="1:4" ht="12.75" customHeight="1">
      <c r="A4209" s="2410" t="str">
        <f t="shared" si="76"/>
        <v>(keine Angabe)</v>
      </c>
      <c r="B4209" s="2410" t="s">
        <v>280</v>
      </c>
      <c r="C4209" s="2410" t="s">
        <v>4900</v>
      </c>
      <c r="D4209" s="2414" t="s">
        <v>10275</v>
      </c>
    </row>
    <row r="4210" spans="1:4" ht="12.75" customHeight="1">
      <c r="A4210" s="2410" t="str">
        <f t="shared" si="76"/>
        <v>Freiland</v>
      </c>
      <c r="B4210" s="2410" t="s">
        <v>2068</v>
      </c>
      <c r="C4210" s="2410" t="s">
        <v>4916</v>
      </c>
      <c r="D4210" s="2414" t="s">
        <v>10282</v>
      </c>
    </row>
    <row r="4211" spans="1:4" ht="12.75" customHeight="1">
      <c r="A4211" s="2410" t="str">
        <f t="shared" si="76"/>
        <v>Nur Gülle</v>
      </c>
      <c r="B4211" s="2410" t="s">
        <v>281</v>
      </c>
      <c r="C4211" s="2410" t="s">
        <v>2005</v>
      </c>
      <c r="D4211" s="2414" t="s">
        <v>10281</v>
      </c>
    </row>
    <row r="4212" spans="1:4" ht="12.75" customHeight="1">
      <c r="A4212" s="2410" t="str">
        <f t="shared" si="76"/>
        <v>Laufstallmist und viel Gülle (10-40% eingestreut)</v>
      </c>
      <c r="B4212" s="2410" t="s">
        <v>884</v>
      </c>
      <c r="C4212" s="2410" t="s">
        <v>885</v>
      </c>
      <c r="D4212" s="2414" t="s">
        <v>10277</v>
      </c>
    </row>
    <row r="4213" spans="1:4" ht="12.75" customHeight="1">
      <c r="A4213" s="2410" t="str">
        <f t="shared" si="76"/>
        <v>Laufstallmist und Gülle (40-60% eingestreut)</v>
      </c>
      <c r="B4213" s="2410" t="s">
        <v>925</v>
      </c>
      <c r="C4213" s="2410" t="s">
        <v>2029</v>
      </c>
      <c r="D4213" s="2414" t="s">
        <v>10278</v>
      </c>
    </row>
    <row r="4214" spans="1:4" ht="12.75" customHeight="1">
      <c r="A4214" s="2410" t="str">
        <f t="shared" si="76"/>
        <v>Laufstallmist und wenig Gülle (60-90% eingestreut)</v>
      </c>
      <c r="B4214" s="2410" t="s">
        <v>5625</v>
      </c>
      <c r="C4214" s="2410" t="s">
        <v>729</v>
      </c>
      <c r="D4214" s="2414" t="s">
        <v>10279</v>
      </c>
    </row>
    <row r="4215" spans="1:4" ht="12.75" customHeight="1">
      <c r="A4215" s="2410" t="str">
        <f t="shared" si="76"/>
        <v>Nur Laufstallmist</v>
      </c>
      <c r="B4215" s="2410" t="s">
        <v>2067</v>
      </c>
      <c r="C4215" s="2410" t="s">
        <v>4915</v>
      </c>
      <c r="D4215" s="2414" t="s">
        <v>10280</v>
      </c>
    </row>
    <row r="4216" spans="1:4" ht="12.75" customHeight="1">
      <c r="A4216" s="2410" t="str">
        <f t="shared" si="76"/>
        <v>(keine Angabe)</v>
      </c>
      <c r="B4216" s="2410" t="s">
        <v>280</v>
      </c>
      <c r="C4216" s="2410" t="s">
        <v>4900</v>
      </c>
      <c r="D4216" s="2414" t="s">
        <v>10275</v>
      </c>
    </row>
    <row r="4217" spans="1:4" ht="12.75" customHeight="1">
      <c r="A4217" s="2410" t="str">
        <f t="shared" si="76"/>
        <v>Freiland</v>
      </c>
      <c r="B4217" s="2410" t="s">
        <v>2068</v>
      </c>
      <c r="C4217" s="2410" t="s">
        <v>4916</v>
      </c>
      <c r="D4217" s="2414" t="s">
        <v>10282</v>
      </c>
    </row>
    <row r="4218" spans="1:4" ht="12.75" customHeight="1">
      <c r="A4218" s="2410" t="str">
        <f t="shared" si="76"/>
        <v>Nur Gülle</v>
      </c>
      <c r="B4218" s="2410" t="s">
        <v>281</v>
      </c>
      <c r="C4218" s="2410" t="s">
        <v>2005</v>
      </c>
      <c r="D4218" s="2414" t="s">
        <v>10281</v>
      </c>
    </row>
    <row r="4219" spans="1:4" ht="12.75" customHeight="1">
      <c r="A4219" s="2410" t="str">
        <f t="shared" si="76"/>
        <v>Laufstallmist und viel Gülle (10-40% eingestreut)</v>
      </c>
      <c r="B4219" s="2410" t="s">
        <v>884</v>
      </c>
      <c r="C4219" s="2410" t="s">
        <v>885</v>
      </c>
      <c r="D4219" s="2414" t="s">
        <v>10277</v>
      </c>
    </row>
    <row r="4220" spans="1:4" ht="12.75" customHeight="1">
      <c r="A4220" s="2410" t="str">
        <f t="shared" si="76"/>
        <v>Laufstallmist und Gülle (40-60% eingestreut)</v>
      </c>
      <c r="B4220" s="2410" t="s">
        <v>925</v>
      </c>
      <c r="C4220" s="2410" t="s">
        <v>2029</v>
      </c>
      <c r="D4220" s="2414" t="s">
        <v>10278</v>
      </c>
    </row>
    <row r="4221" spans="1:4" ht="12.75" customHeight="1">
      <c r="A4221" s="2410" t="str">
        <f t="shared" si="76"/>
        <v>Laufstallmist und wenig Gülle (60-90% eingestreut)</v>
      </c>
      <c r="B4221" s="2410" t="s">
        <v>5625</v>
      </c>
      <c r="C4221" s="2410" t="s">
        <v>729</v>
      </c>
      <c r="D4221" s="2414" t="s">
        <v>10279</v>
      </c>
    </row>
    <row r="4222" spans="1:4" ht="12.75" customHeight="1">
      <c r="A4222" s="2410" t="str">
        <f t="shared" si="76"/>
        <v>Nur Laufstallmist</v>
      </c>
      <c r="B4222" s="2410" t="s">
        <v>2067</v>
      </c>
      <c r="C4222" s="2410" t="s">
        <v>4915</v>
      </c>
      <c r="D4222" s="2414" t="s">
        <v>10280</v>
      </c>
    </row>
    <row r="4223" spans="1:4" ht="12.75" customHeight="1">
      <c r="A4223" s="2410" t="str">
        <f t="shared" si="76"/>
        <v>(keine Angabe)</v>
      </c>
      <c r="B4223" s="2410" t="s">
        <v>280</v>
      </c>
      <c r="C4223" s="2410" t="s">
        <v>4900</v>
      </c>
      <c r="D4223" s="2414" t="s">
        <v>10275</v>
      </c>
    </row>
    <row r="4224" spans="1:4" ht="12.75" customHeight="1">
      <c r="A4224" s="2410" t="str">
        <f t="shared" si="76"/>
        <v>Freiland</v>
      </c>
      <c r="B4224" s="2410" t="s">
        <v>2068</v>
      </c>
      <c r="C4224" s="2410" t="s">
        <v>4916</v>
      </c>
      <c r="D4224" s="2414" t="s">
        <v>10282</v>
      </c>
    </row>
    <row r="4225" spans="1:4" ht="12.75" customHeight="1">
      <c r="A4225" s="2410" t="str">
        <f t="shared" si="76"/>
        <v>Nur Gülle</v>
      </c>
      <c r="B4225" s="2410" t="s">
        <v>281</v>
      </c>
      <c r="C4225" s="2410" t="s">
        <v>2005</v>
      </c>
      <c r="D4225" s="2414" t="s">
        <v>10281</v>
      </c>
    </row>
    <row r="4226" spans="1:4" ht="12.75" customHeight="1">
      <c r="A4226" s="2410" t="str">
        <f t="shared" si="76"/>
        <v>Laufstallmist und viel Gülle (10-40% eingestreut)</v>
      </c>
      <c r="B4226" s="2410" t="s">
        <v>884</v>
      </c>
      <c r="C4226" s="2410" t="s">
        <v>885</v>
      </c>
      <c r="D4226" s="2414" t="s">
        <v>10277</v>
      </c>
    </row>
    <row r="4227" spans="1:4" ht="12.75" customHeight="1">
      <c r="A4227" s="2410" t="str">
        <f t="shared" si="76"/>
        <v>Laufstallmist und Gülle (40-60% eingestreut)</v>
      </c>
      <c r="B4227" s="2410" t="s">
        <v>925</v>
      </c>
      <c r="C4227" s="2410" t="s">
        <v>2029</v>
      </c>
      <c r="D4227" s="2414" t="s">
        <v>10278</v>
      </c>
    </row>
    <row r="4228" spans="1:4" ht="12.75" customHeight="1">
      <c r="A4228" s="2410" t="str">
        <f t="shared" si="76"/>
        <v>Laufstallmist und wenig Gülle (60-90% eingestreut)</v>
      </c>
      <c r="B4228" s="2410" t="s">
        <v>5625</v>
      </c>
      <c r="C4228" s="2410" t="s">
        <v>729</v>
      </c>
      <c r="D4228" s="2414" t="s">
        <v>10279</v>
      </c>
    </row>
    <row r="4229" spans="1:4" ht="12.75" customHeight="1">
      <c r="A4229" s="2410" t="str">
        <f t="shared" si="76"/>
        <v>Nur Laufstallmist</v>
      </c>
      <c r="B4229" s="2410" t="s">
        <v>2067</v>
      </c>
      <c r="C4229" s="2410" t="s">
        <v>4915</v>
      </c>
      <c r="D4229" s="2414" t="s">
        <v>10280</v>
      </c>
    </row>
    <row r="4230" spans="1:4" ht="12.75" customHeight="1">
      <c r="A4230" s="2410" t="str">
        <f t="shared" si="76"/>
        <v>(keine Angabe)</v>
      </c>
      <c r="B4230" s="2410" t="s">
        <v>280</v>
      </c>
      <c r="C4230" s="2410" t="s">
        <v>4900</v>
      </c>
      <c r="D4230" s="2414" t="s">
        <v>10275</v>
      </c>
    </row>
    <row r="4231" spans="1:4" ht="12.75" customHeight="1">
      <c r="A4231" s="2410" t="str">
        <f t="shared" si="76"/>
        <v>Freiland</v>
      </c>
      <c r="B4231" s="2410" t="s">
        <v>2068</v>
      </c>
      <c r="C4231" s="2410" t="s">
        <v>4916</v>
      </c>
      <c r="D4231" s="2414" t="s">
        <v>10282</v>
      </c>
    </row>
    <row r="4232" spans="1:4" ht="12.75" customHeight="1">
      <c r="A4232" s="2410" t="str">
        <f t="shared" si="76"/>
        <v>Nur Gülle</v>
      </c>
      <c r="B4232" s="2410" t="s">
        <v>281</v>
      </c>
      <c r="C4232" s="2410" t="s">
        <v>2005</v>
      </c>
      <c r="D4232" s="2414" t="s">
        <v>10281</v>
      </c>
    </row>
    <row r="4233" spans="1:4" ht="12.75" customHeight="1">
      <c r="A4233" s="2410" t="str">
        <f t="shared" si="76"/>
        <v>Laufstallmist und viel Gülle (10-40% eingestreut)</v>
      </c>
      <c r="B4233" s="2410" t="s">
        <v>884</v>
      </c>
      <c r="C4233" s="2410" t="s">
        <v>885</v>
      </c>
      <c r="D4233" s="2414" t="s">
        <v>10277</v>
      </c>
    </row>
    <row r="4234" spans="1:4" ht="12.75" customHeight="1">
      <c r="A4234" s="2410" t="str">
        <f t="shared" si="76"/>
        <v>Laufstallmist und Gülle (40-60% eingestreut)</v>
      </c>
      <c r="B4234" s="2410" t="s">
        <v>925</v>
      </c>
      <c r="C4234" s="2410" t="s">
        <v>2029</v>
      </c>
      <c r="D4234" s="2414" t="s">
        <v>10278</v>
      </c>
    </row>
    <row r="4235" spans="1:4" ht="12.75" customHeight="1">
      <c r="A4235" s="2410" t="str">
        <f t="shared" si="76"/>
        <v>Laufstallmist und wenig Gülle (60-90% eingestreut)</v>
      </c>
      <c r="B4235" s="2410" t="s">
        <v>5625</v>
      </c>
      <c r="C4235" s="2410" t="s">
        <v>729</v>
      </c>
      <c r="D4235" s="2414" t="s">
        <v>10279</v>
      </c>
    </row>
    <row r="4236" spans="1:4" ht="12.75" customHeight="1">
      <c r="A4236" s="2410" t="str">
        <f t="shared" si="76"/>
        <v>Nur Laufstallmist</v>
      </c>
      <c r="B4236" s="2410" t="s">
        <v>2067</v>
      </c>
      <c r="C4236" s="2410" t="s">
        <v>4915</v>
      </c>
      <c r="D4236" s="2414" t="s">
        <v>10280</v>
      </c>
    </row>
    <row r="4237" spans="1:4" ht="12.75" customHeight="1">
      <c r="A4237" s="2410" t="str">
        <f t="shared" si="76"/>
        <v>(keine Angabe)</v>
      </c>
      <c r="B4237" s="2410" t="s">
        <v>280</v>
      </c>
      <c r="C4237" s="2410" t="s">
        <v>4900</v>
      </c>
      <c r="D4237" s="2414" t="s">
        <v>10275</v>
      </c>
    </row>
    <row r="4238" spans="1:4" ht="12.75" customHeight="1">
      <c r="A4238" s="2410" t="str">
        <f t="shared" si="76"/>
        <v>Freiland</v>
      </c>
      <c r="B4238" s="2410" t="s">
        <v>2068</v>
      </c>
      <c r="C4238" s="2410" t="s">
        <v>4916</v>
      </c>
      <c r="D4238" s="2414" t="s">
        <v>10282</v>
      </c>
    </row>
    <row r="4239" spans="1:4" ht="12.75" customHeight="1">
      <c r="A4239" s="2410" t="str">
        <f t="shared" si="76"/>
        <v>Nur Gülle</v>
      </c>
      <c r="B4239" s="2410" t="s">
        <v>281</v>
      </c>
      <c r="C4239" s="2410" t="s">
        <v>2005</v>
      </c>
      <c r="D4239" s="2414" t="s">
        <v>10281</v>
      </c>
    </row>
    <row r="4240" spans="1:4" ht="12.75" customHeight="1">
      <c r="A4240" s="2410" t="str">
        <f t="shared" si="76"/>
        <v>Laufstallmist und viel Gülle (10-40% eingestreut)</v>
      </c>
      <c r="B4240" s="2410" t="s">
        <v>884</v>
      </c>
      <c r="C4240" s="2410" t="s">
        <v>885</v>
      </c>
      <c r="D4240" s="2414" t="s">
        <v>10277</v>
      </c>
    </row>
    <row r="4241" spans="1:4" ht="12.75" customHeight="1">
      <c r="A4241" s="2410" t="str">
        <f t="shared" si="76"/>
        <v>Laufstallmist und Gülle (40-60% eingestreut)</v>
      </c>
      <c r="B4241" s="2410" t="s">
        <v>925</v>
      </c>
      <c r="C4241" s="2410" t="s">
        <v>2029</v>
      </c>
      <c r="D4241" s="2414" t="s">
        <v>10278</v>
      </c>
    </row>
    <row r="4242" spans="1:4" ht="12.75" customHeight="1">
      <c r="A4242" s="2410" t="str">
        <f t="shared" si="76"/>
        <v>Laufstallmist und wenig Gülle (60-90% eingestreut)</v>
      </c>
      <c r="B4242" s="2410" t="s">
        <v>5625</v>
      </c>
      <c r="C4242" s="2410" t="s">
        <v>729</v>
      </c>
      <c r="D4242" s="2414" t="s">
        <v>10279</v>
      </c>
    </row>
    <row r="4243" spans="1:4" ht="12.75" customHeight="1">
      <c r="A4243" s="2410" t="str">
        <f t="shared" si="76"/>
        <v>Nur Laufstallmist</v>
      </c>
      <c r="B4243" s="2410" t="s">
        <v>2067</v>
      </c>
      <c r="C4243" s="2410" t="s">
        <v>4915</v>
      </c>
      <c r="D4243" s="2414" t="s">
        <v>10280</v>
      </c>
    </row>
    <row r="4244" spans="1:4" ht="12.75" customHeight="1">
      <c r="A4244" s="2410" t="str">
        <f t="shared" si="76"/>
        <v>(keine Angabe)</v>
      </c>
      <c r="B4244" s="2410" t="s">
        <v>280</v>
      </c>
      <c r="C4244" s="2410" t="s">
        <v>4900</v>
      </c>
      <c r="D4244" s="2414" t="s">
        <v>10275</v>
      </c>
    </row>
    <row r="4245" spans="1:4" ht="12.75" customHeight="1">
      <c r="A4245" s="2410" t="str">
        <f t="shared" si="76"/>
        <v>Freiland</v>
      </c>
      <c r="B4245" s="2410" t="s">
        <v>2068</v>
      </c>
      <c r="C4245" s="2410" t="s">
        <v>4916</v>
      </c>
      <c r="D4245" s="2414" t="s">
        <v>10282</v>
      </c>
    </row>
    <row r="4246" spans="1:4" ht="12.75" customHeight="1">
      <c r="A4246" s="2410" t="str">
        <f t="shared" si="76"/>
        <v>Nur Gülle</v>
      </c>
      <c r="B4246" s="2410" t="s">
        <v>281</v>
      </c>
      <c r="C4246" s="2410" t="s">
        <v>2005</v>
      </c>
      <c r="D4246" s="2414" t="s">
        <v>10281</v>
      </c>
    </row>
    <row r="4247" spans="1:4" ht="12.75" customHeight="1">
      <c r="A4247" s="2410" t="str">
        <f t="shared" si="76"/>
        <v>Laufstallmist und viel Gülle (10-40% eingestreut)</v>
      </c>
      <c r="B4247" s="2410" t="s">
        <v>884</v>
      </c>
      <c r="C4247" s="2410" t="s">
        <v>885</v>
      </c>
      <c r="D4247" s="2414" t="s">
        <v>10277</v>
      </c>
    </row>
    <row r="4248" spans="1:4" ht="12.75" customHeight="1">
      <c r="A4248" s="2410" t="str">
        <f t="shared" si="76"/>
        <v>Laufstallmist und Gülle (40-60% eingestreut)</v>
      </c>
      <c r="B4248" s="2410" t="s">
        <v>925</v>
      </c>
      <c r="C4248" s="2410" t="s">
        <v>2029</v>
      </c>
      <c r="D4248" s="2414" t="s">
        <v>10278</v>
      </c>
    </row>
    <row r="4249" spans="1:4" ht="12.75" customHeight="1">
      <c r="A4249" s="2410" t="str">
        <f t="shared" si="76"/>
        <v>Laufstallmist und wenig Gülle (60-90% eingestreut)</v>
      </c>
      <c r="B4249" s="2410" t="s">
        <v>5625</v>
      </c>
      <c r="C4249" s="2410" t="s">
        <v>729</v>
      </c>
      <c r="D4249" s="2414" t="s">
        <v>10279</v>
      </c>
    </row>
    <row r="4250" spans="1:4" ht="12.75" customHeight="1">
      <c r="A4250" s="2410" t="str">
        <f t="shared" si="76"/>
        <v>Nur Laufstallmist</v>
      </c>
      <c r="B4250" s="2410" t="s">
        <v>2067</v>
      </c>
      <c r="C4250" s="2410" t="s">
        <v>4915</v>
      </c>
      <c r="D4250" s="2414" t="s">
        <v>10280</v>
      </c>
    </row>
    <row r="4251" spans="1:4" ht="12.75" customHeight="1">
      <c r="A4251" s="2410" t="str">
        <f t="shared" si="76"/>
        <v>(keine Angabe)</v>
      </c>
      <c r="B4251" s="2410" t="s">
        <v>280</v>
      </c>
      <c r="C4251" s="2410" t="s">
        <v>4900</v>
      </c>
      <c r="D4251" s="2414" t="s">
        <v>10275</v>
      </c>
    </row>
    <row r="4252" spans="1:4" ht="12.75" customHeight="1">
      <c r="A4252" s="2410" t="str">
        <f t="shared" si="76"/>
        <v>Freiland</v>
      </c>
      <c r="B4252" s="2410" t="s">
        <v>2068</v>
      </c>
      <c r="C4252" s="2410" t="s">
        <v>4916</v>
      </c>
      <c r="D4252" s="2414" t="s">
        <v>10282</v>
      </c>
    </row>
    <row r="4253" spans="1:4" ht="12.75" customHeight="1">
      <c r="A4253" s="2410" t="str">
        <f t="shared" si="76"/>
        <v>Nur Gülle</v>
      </c>
      <c r="B4253" s="2410" t="s">
        <v>281</v>
      </c>
      <c r="C4253" s="2410" t="s">
        <v>2005</v>
      </c>
      <c r="D4253" s="2414" t="s">
        <v>10281</v>
      </c>
    </row>
    <row r="4254" spans="1:4" ht="12.75" customHeight="1">
      <c r="A4254" s="2410" t="str">
        <f t="shared" si="76"/>
        <v>Laufstallmist und viel Gülle (10-40% eingestreut)</v>
      </c>
      <c r="B4254" s="2410" t="s">
        <v>884</v>
      </c>
      <c r="C4254" s="2410" t="s">
        <v>885</v>
      </c>
      <c r="D4254" s="2414" t="s">
        <v>10277</v>
      </c>
    </row>
    <row r="4255" spans="1:4" ht="12.75" customHeight="1">
      <c r="A4255" s="2410" t="str">
        <f t="shared" si="76"/>
        <v>Laufstallmist und Gülle (40-60% eingestreut)</v>
      </c>
      <c r="B4255" s="2410" t="s">
        <v>925</v>
      </c>
      <c r="C4255" s="2410" t="s">
        <v>2029</v>
      </c>
      <c r="D4255" s="2414" t="s">
        <v>10278</v>
      </c>
    </row>
    <row r="4256" spans="1:4" ht="12.75" customHeight="1">
      <c r="A4256" s="2410" t="str">
        <f t="shared" ref="A4256:A4322" si="77">IF($A$2=1,B4256,IF($A$2=2,C4256,IF($A$2=3,IF(D4256="",C4256,D4256),"")))</f>
        <v>Laufstallmist und wenig Gülle (60-90% eingestreut)</v>
      </c>
      <c r="B4256" s="2410" t="s">
        <v>5625</v>
      </c>
      <c r="C4256" s="2410" t="s">
        <v>729</v>
      </c>
      <c r="D4256" s="2414" t="s">
        <v>10279</v>
      </c>
    </row>
    <row r="4257" spans="1:4" ht="12.75" customHeight="1">
      <c r="A4257" s="2410" t="str">
        <f t="shared" si="77"/>
        <v>Nur Laufstallmist</v>
      </c>
      <c r="B4257" s="2410" t="s">
        <v>2067</v>
      </c>
      <c r="C4257" s="2410" t="s">
        <v>4915</v>
      </c>
      <c r="D4257" s="2414" t="s">
        <v>10280</v>
      </c>
    </row>
    <row r="4258" spans="1:4" ht="12.75" customHeight="1">
      <c r="A4258" s="2410" t="str">
        <f t="shared" si="77"/>
        <v>(keine Angabe)</v>
      </c>
      <c r="B4258" s="2410" t="s">
        <v>280</v>
      </c>
      <c r="C4258" s="2410" t="s">
        <v>4900</v>
      </c>
      <c r="D4258" s="2414" t="s">
        <v>10275</v>
      </c>
    </row>
    <row r="4259" spans="1:4" ht="12.75" customHeight="1">
      <c r="A4259" s="2410" t="str">
        <f t="shared" si="77"/>
        <v>Freiland</v>
      </c>
      <c r="B4259" s="2410" t="s">
        <v>2068</v>
      </c>
      <c r="C4259" s="2410" t="s">
        <v>4916</v>
      </c>
      <c r="D4259" s="2414" t="s">
        <v>10282</v>
      </c>
    </row>
    <row r="4260" spans="1:4" ht="12.75" customHeight="1">
      <c r="A4260" s="2410" t="str">
        <f t="shared" si="77"/>
        <v>Nur Gülle</v>
      </c>
      <c r="B4260" s="2410" t="s">
        <v>281</v>
      </c>
      <c r="C4260" s="2410" t="s">
        <v>2005</v>
      </c>
      <c r="D4260" s="2414" t="s">
        <v>10281</v>
      </c>
    </row>
    <row r="4261" spans="1:4" ht="12.75" customHeight="1">
      <c r="A4261" s="2410" t="str">
        <f t="shared" si="77"/>
        <v>Laufstallmist und viel Gülle (10-40% eingestreut)</v>
      </c>
      <c r="B4261" s="2410" t="s">
        <v>884</v>
      </c>
      <c r="C4261" s="2410" t="s">
        <v>885</v>
      </c>
      <c r="D4261" s="2414" t="s">
        <v>10277</v>
      </c>
    </row>
    <row r="4262" spans="1:4" ht="12.75" customHeight="1">
      <c r="A4262" s="2410" t="str">
        <f t="shared" si="77"/>
        <v>Laufstallmist und Gülle (40-60% eingestreut)</v>
      </c>
      <c r="B4262" s="2410" t="s">
        <v>925</v>
      </c>
      <c r="C4262" s="2410" t="s">
        <v>2029</v>
      </c>
      <c r="D4262" s="2414" t="s">
        <v>10278</v>
      </c>
    </row>
    <row r="4263" spans="1:4" ht="12.75" customHeight="1">
      <c r="A4263" s="2410" t="str">
        <f t="shared" si="77"/>
        <v>Laufstallmist und wenig Gülle (60-90% eingestreut)</v>
      </c>
      <c r="B4263" s="2410" t="s">
        <v>5625</v>
      </c>
      <c r="C4263" s="2410" t="s">
        <v>729</v>
      </c>
      <c r="D4263" s="2414" t="s">
        <v>10279</v>
      </c>
    </row>
    <row r="4264" spans="1:4" ht="12.75" customHeight="1">
      <c r="A4264" s="2410" t="str">
        <f t="shared" si="77"/>
        <v>Nur Laufstallmist</v>
      </c>
      <c r="B4264" s="2410" t="s">
        <v>2067</v>
      </c>
      <c r="C4264" s="2410" t="s">
        <v>4915</v>
      </c>
      <c r="D4264" s="2414" t="s">
        <v>10280</v>
      </c>
    </row>
    <row r="4265" spans="1:4" ht="12.75" customHeight="1">
      <c r="A4265" s="2410" t="str">
        <f t="shared" si="77"/>
        <v>(keine Angabe)</v>
      </c>
      <c r="B4265" s="2410" t="s">
        <v>280</v>
      </c>
      <c r="C4265" s="2410" t="s">
        <v>4900</v>
      </c>
      <c r="D4265" s="2414" t="s">
        <v>10275</v>
      </c>
    </row>
    <row r="4266" spans="1:4" ht="12.75" customHeight="1">
      <c r="A4266" s="2410" t="str">
        <f t="shared" si="77"/>
        <v>Freiland</v>
      </c>
      <c r="B4266" s="2410" t="s">
        <v>2068</v>
      </c>
      <c r="C4266" s="2410" t="s">
        <v>4916</v>
      </c>
      <c r="D4266" s="2414" t="s">
        <v>10282</v>
      </c>
    </row>
    <row r="4267" spans="1:4" ht="12.75" customHeight="1">
      <c r="A4267" s="2410" t="str">
        <f t="shared" si="77"/>
        <v>Hennenmist (Bodenhaltung, Kotgrube)</v>
      </c>
      <c r="B4267" s="2410" t="s">
        <v>7402</v>
      </c>
      <c r="C4267" s="2410" t="s">
        <v>2491</v>
      </c>
      <c r="D4267" s="2414" t="s">
        <v>11285</v>
      </c>
    </row>
    <row r="4268" spans="1:4" ht="12.75" customHeight="1">
      <c r="A4268" s="2410" t="str">
        <f t="shared" si="77"/>
        <v>Hennenkot (Kotband)</v>
      </c>
      <c r="B4268" s="2410" t="s">
        <v>7403</v>
      </c>
      <c r="C4268" s="2410" t="s">
        <v>1197</v>
      </c>
      <c r="D4268" s="2424" t="s">
        <v>10283</v>
      </c>
    </row>
    <row r="4269" spans="1:4" ht="12.75" customHeight="1">
      <c r="A4269" s="2410" t="str">
        <f t="shared" si="77"/>
        <v>Hennenmist (Bodenhaltung, Kotgrube) in Gülle</v>
      </c>
      <c r="B4269" s="2410" t="s">
        <v>6894</v>
      </c>
      <c r="C4269" s="2410" t="s">
        <v>2491</v>
      </c>
      <c r="D4269" s="2424" t="s">
        <v>11286</v>
      </c>
    </row>
    <row r="4270" spans="1:4" ht="12.75" customHeight="1">
      <c r="A4270" s="2410" t="str">
        <f t="shared" si="77"/>
        <v>Hennenkot (Kotband) in Gülle</v>
      </c>
      <c r="B4270" s="2410" t="s">
        <v>6895</v>
      </c>
      <c r="C4270" s="2410" t="s">
        <v>1197</v>
      </c>
      <c r="D4270" s="2424" t="s">
        <v>11287</v>
      </c>
    </row>
    <row r="4271" spans="1:4" ht="12.75" customHeight="1">
      <c r="A4271" s="2410" t="str">
        <f t="shared" si="77"/>
        <v>(keine Angabe)</v>
      </c>
      <c r="B4271" s="2410" t="s">
        <v>280</v>
      </c>
      <c r="C4271" s="2410" t="s">
        <v>4900</v>
      </c>
      <c r="D4271" s="2424" t="s">
        <v>10275</v>
      </c>
    </row>
    <row r="4272" spans="1:4" ht="12.75" customHeight="1">
      <c r="A4272" s="2410" t="str">
        <f t="shared" si="77"/>
        <v>Freiland</v>
      </c>
      <c r="B4272" s="2410" t="s">
        <v>2068</v>
      </c>
      <c r="C4272" s="2410" t="s">
        <v>4916</v>
      </c>
      <c r="D4272" s="2424" t="s">
        <v>10282</v>
      </c>
    </row>
    <row r="4273" spans="1:4" ht="12.75" customHeight="1">
      <c r="A4273" s="2410" t="str">
        <f t="shared" si="77"/>
        <v>Junghennenmist (Bodenhaltung, Kotgrube)</v>
      </c>
      <c r="B4273" s="2410" t="s">
        <v>1595</v>
      </c>
      <c r="C4273" s="2410" t="s">
        <v>2491</v>
      </c>
      <c r="D4273" s="2424" t="s">
        <v>11288</v>
      </c>
    </row>
    <row r="4274" spans="1:4" ht="12.75" customHeight="1">
      <c r="A4274" s="2410" t="str">
        <f t="shared" si="77"/>
        <v>Junghennenmist (Kotband)</v>
      </c>
      <c r="B4274" s="2410" t="s">
        <v>1596</v>
      </c>
      <c r="C4274" s="2410" t="s">
        <v>1197</v>
      </c>
      <c r="D4274" s="2424" t="s">
        <v>10284</v>
      </c>
    </row>
    <row r="4275" spans="1:4" ht="12.75" customHeight="1">
      <c r="A4275" s="2410" t="str">
        <f t="shared" si="77"/>
        <v>Junghennenmist (Bodenhaltung) in Gülle</v>
      </c>
      <c r="B4275" s="2410" t="s">
        <v>1597</v>
      </c>
      <c r="C4275" s="2410" t="s">
        <v>2491</v>
      </c>
      <c r="D4275" s="2424" t="s">
        <v>11289</v>
      </c>
    </row>
    <row r="4276" spans="1:4" ht="12.75" customHeight="1">
      <c r="A4276" s="2410" t="str">
        <f t="shared" si="77"/>
        <v>Junghennenmist (Kotband) in Gülle</v>
      </c>
      <c r="B4276" s="2410" t="s">
        <v>1598</v>
      </c>
      <c r="C4276" s="2410" t="s">
        <v>1197</v>
      </c>
      <c r="D4276" s="2424" t="s">
        <v>11290</v>
      </c>
    </row>
    <row r="4277" spans="1:4" ht="12.75" customHeight="1">
      <c r="A4277" s="2410" t="str">
        <f t="shared" si="77"/>
        <v>(keine Angabe)</v>
      </c>
      <c r="B4277" s="2410" t="s">
        <v>280</v>
      </c>
      <c r="C4277" s="2410" t="s">
        <v>4900</v>
      </c>
      <c r="D4277" s="2424" t="s">
        <v>10275</v>
      </c>
    </row>
    <row r="4278" spans="1:4" ht="12.75" customHeight="1">
      <c r="A4278" s="2410" t="str">
        <f t="shared" si="77"/>
        <v>Freiland</v>
      </c>
      <c r="B4278" s="2410" t="s">
        <v>2068</v>
      </c>
      <c r="C4278" s="2410" t="s">
        <v>4916</v>
      </c>
      <c r="D4278" s="2424" t="s">
        <v>10282</v>
      </c>
    </row>
    <row r="4279" spans="1:4" ht="12.75" customHeight="1">
      <c r="A4279" s="2410" t="str">
        <f t="shared" si="77"/>
        <v>Pouletmist</v>
      </c>
      <c r="B4279" s="2410" t="s">
        <v>1490</v>
      </c>
      <c r="C4279" s="2410" t="s">
        <v>1198</v>
      </c>
      <c r="D4279" s="2424" t="s">
        <v>10285</v>
      </c>
    </row>
    <row r="4280" spans="1:4" ht="12.75" customHeight="1">
      <c r="A4280" s="2410" t="str">
        <f t="shared" si="77"/>
        <v>Pouletmist in Gülle</v>
      </c>
      <c r="B4280" s="2410" t="s">
        <v>2074</v>
      </c>
      <c r="C4280" s="2410" t="s">
        <v>1198</v>
      </c>
      <c r="D4280" s="2424" t="s">
        <v>10286</v>
      </c>
    </row>
    <row r="4281" spans="1:4" ht="12.75" customHeight="1">
      <c r="A4281" s="2410" t="str">
        <f t="shared" si="77"/>
        <v>(keine Angabe)</v>
      </c>
      <c r="B4281" s="2410" t="s">
        <v>280</v>
      </c>
      <c r="C4281" s="2410" t="s">
        <v>4900</v>
      </c>
      <c r="D4281" s="2424" t="s">
        <v>10275</v>
      </c>
    </row>
    <row r="4282" spans="1:4" ht="12.75" customHeight="1">
      <c r="A4282" s="2410" t="str">
        <f t="shared" si="77"/>
        <v>Freiland</v>
      </c>
      <c r="B4282" s="2410" t="s">
        <v>2068</v>
      </c>
      <c r="C4282" s="2410" t="s">
        <v>4916</v>
      </c>
      <c r="D4282" s="2424" t="s">
        <v>10282</v>
      </c>
    </row>
    <row r="4283" spans="1:4" ht="12.75" customHeight="1">
      <c r="A4283" s="2410" t="str">
        <f t="shared" si="77"/>
        <v>Trutenmist</v>
      </c>
      <c r="B4283" s="2410" t="s">
        <v>1491</v>
      </c>
      <c r="C4283" s="2410" t="s">
        <v>4989</v>
      </c>
      <c r="D4283" s="2424" t="s">
        <v>10287</v>
      </c>
    </row>
    <row r="4284" spans="1:4" ht="12.75" customHeight="1">
      <c r="A4284" s="2410" t="str">
        <f t="shared" si="77"/>
        <v>Trutenmist in Gülle</v>
      </c>
      <c r="B4284" s="2410" t="s">
        <v>4554</v>
      </c>
      <c r="C4284" s="2410" t="s">
        <v>4989</v>
      </c>
      <c r="D4284" s="2424" t="s">
        <v>10288</v>
      </c>
    </row>
    <row r="4285" spans="1:4" ht="12.75" customHeight="1">
      <c r="A4285" s="2410" t="str">
        <f t="shared" si="77"/>
        <v>(keine Angabe)</v>
      </c>
      <c r="B4285" s="2410" t="s">
        <v>280</v>
      </c>
      <c r="C4285" s="2410" t="s">
        <v>4900</v>
      </c>
      <c r="D4285" s="2424" t="s">
        <v>10275</v>
      </c>
    </row>
    <row r="4286" spans="1:4" ht="12.75" customHeight="1">
      <c r="A4286" s="2410" t="str">
        <f t="shared" si="77"/>
        <v>Freiland</v>
      </c>
      <c r="B4286" s="2410" t="s">
        <v>2068</v>
      </c>
      <c r="C4286" s="2410" t="s">
        <v>4916</v>
      </c>
      <c r="D4286" s="2424" t="s">
        <v>10282</v>
      </c>
    </row>
    <row r="4287" spans="1:4" ht="12.75" customHeight="1">
      <c r="A4287" s="2410" t="str">
        <f t="shared" si="77"/>
        <v>Geflügelmist (Bodenhaltung, Kotgrube)</v>
      </c>
      <c r="B4287" s="2410" t="s">
        <v>1816</v>
      </c>
      <c r="C4287" s="2410" t="s">
        <v>2491</v>
      </c>
      <c r="D4287" s="2424" t="s">
        <v>10289</v>
      </c>
    </row>
    <row r="4288" spans="1:4" ht="12.75" customHeight="1">
      <c r="A4288" s="2410" t="str">
        <f t="shared" si="77"/>
        <v>Geflügelkot (Kotband)</v>
      </c>
      <c r="B4288" s="2410" t="s">
        <v>1817</v>
      </c>
      <c r="C4288" s="2410" t="s">
        <v>1197</v>
      </c>
      <c r="D4288" s="2424" t="s">
        <v>10290</v>
      </c>
    </row>
    <row r="4289" spans="1:4" ht="12.75" customHeight="1">
      <c r="A4289" s="2410" t="str">
        <f t="shared" si="77"/>
        <v>Geflügelmist (Bodenhaltung, Kotgrube) in Gülle</v>
      </c>
      <c r="B4289" s="2410" t="s">
        <v>4370</v>
      </c>
      <c r="C4289" s="2410" t="s">
        <v>2491</v>
      </c>
      <c r="D4289" s="2424" t="s">
        <v>11291</v>
      </c>
    </row>
    <row r="4290" spans="1:4" ht="12.75" customHeight="1">
      <c r="A4290" s="2410" t="str">
        <f t="shared" si="77"/>
        <v>Geflügelkot (Kotband) in Gülle</v>
      </c>
      <c r="B4290" s="2410" t="s">
        <v>4371</v>
      </c>
      <c r="C4290" s="2410" t="s">
        <v>1197</v>
      </c>
      <c r="D4290" s="2424" t="s">
        <v>10291</v>
      </c>
    </row>
    <row r="4291" spans="1:4" ht="12.75" customHeight="1">
      <c r="A4291" s="2410">
        <f t="shared" si="77"/>
        <v>0</v>
      </c>
      <c r="B4291" s="2410"/>
      <c r="C4291" s="2410"/>
      <c r="D4291" s="2414"/>
    </row>
    <row r="4292" spans="1:4" ht="12.75" customHeight="1">
      <c r="A4292" s="2410" t="str">
        <f t="shared" si="77"/>
        <v>Wasser</v>
      </c>
      <c r="B4292" s="2410" t="s">
        <v>3772</v>
      </c>
      <c r="C4292" s="2410" t="s">
        <v>1286</v>
      </c>
      <c r="D4292" s="2424" t="s">
        <v>9088</v>
      </c>
    </row>
    <row r="4293" spans="1:4" ht="12.75" customHeight="1">
      <c r="A4293" s="2410" t="str">
        <f t="shared" si="77"/>
        <v>Gehalte (kg pro m³ unverdünnter Gülle bzw. kg pro t Mist)</v>
      </c>
      <c r="B4293" s="2410" t="s">
        <v>3678</v>
      </c>
      <c r="C4293" s="2410" t="s">
        <v>5140</v>
      </c>
      <c r="D4293" s="2424" t="s">
        <v>10292</v>
      </c>
    </row>
    <row r="4294" spans="1:4" ht="12.75" customHeight="1">
      <c r="A4294" s="2410" t="str">
        <f t="shared" si="77"/>
        <v>N-Verfügbarkeit</v>
      </c>
      <c r="B4294" s="2410" t="s">
        <v>2860</v>
      </c>
      <c r="C4294" s="2410" t="s">
        <v>1287</v>
      </c>
      <c r="D4294" s="2424" t="s">
        <v>10293</v>
      </c>
    </row>
    <row r="4295" spans="1:4" ht="12.75" customHeight="1">
      <c r="A4295" s="2410" t="str">
        <f t="shared" si="77"/>
        <v>Tierart / Hofdüngertyp</v>
      </c>
      <c r="B4295" s="2410" t="s">
        <v>4881</v>
      </c>
      <c r="C4295" s="2410" t="s">
        <v>19</v>
      </c>
      <c r="D4295" s="2424" t="s">
        <v>10294</v>
      </c>
    </row>
    <row r="4296" spans="1:4" ht="12.75" customHeight="1">
      <c r="A4296" s="2410">
        <f t="shared" si="77"/>
        <v>0</v>
      </c>
      <c r="B4296" s="2410"/>
      <c r="C4296" s="2410" t="s">
        <v>3573</v>
      </c>
      <c r="D4296" s="2424" t="s">
        <v>10295</v>
      </c>
    </row>
    <row r="4297" spans="1:4" ht="12.75" customHeight="1">
      <c r="A4297" s="2410" t="str">
        <f t="shared" si="77"/>
        <v>Dung-</v>
      </c>
      <c r="B4297" s="2410" t="s">
        <v>7301</v>
      </c>
      <c r="C4297" s="2410" t="s">
        <v>7380</v>
      </c>
      <c r="D4297" s="2424" t="s">
        <v>8558</v>
      </c>
    </row>
    <row r="4298" spans="1:4" ht="12.75" customHeight="1">
      <c r="A4298" s="2410" t="str">
        <f t="shared" si="77"/>
        <v>typ</v>
      </c>
      <c r="B4298" s="2410" t="s">
        <v>7300</v>
      </c>
      <c r="C4298" s="2410" t="s">
        <v>1288</v>
      </c>
      <c r="D4298" s="2424" t="s">
        <v>11292</v>
      </c>
    </row>
    <row r="4299" spans="1:4" ht="12.75" customHeight="1">
      <c r="A4299" s="2410" t="str">
        <f t="shared" si="77"/>
        <v>Index</v>
      </c>
      <c r="B4299" s="2410" t="s">
        <v>862</v>
      </c>
      <c r="C4299" s="2410" t="s">
        <v>862</v>
      </c>
      <c r="D4299" s="2424" t="s">
        <v>635</v>
      </c>
    </row>
    <row r="4300" spans="1:4" ht="12.75" customHeight="1">
      <c r="A4300" s="2410" t="str">
        <f t="shared" si="77"/>
        <v>m³/Mt.</v>
      </c>
      <c r="B4300" s="2410" t="s">
        <v>5141</v>
      </c>
      <c r="C4300" s="2410" t="s">
        <v>5142</v>
      </c>
      <c r="D4300" s="2424" t="s">
        <v>10296</v>
      </c>
    </row>
    <row r="4301" spans="1:4" ht="12.75" customHeight="1">
      <c r="A4301" s="2410" t="str">
        <f t="shared" si="77"/>
        <v>Nges</v>
      </c>
      <c r="B4301" s="2410" t="s">
        <v>5419</v>
      </c>
      <c r="C4301" s="2410" t="s">
        <v>1538</v>
      </c>
      <c r="D4301" s="2424" t="s">
        <v>1538</v>
      </c>
    </row>
    <row r="4302" spans="1:4" ht="12.75" customHeight="1">
      <c r="A4302" s="2410" t="str">
        <f t="shared" si="77"/>
        <v>Nverf</v>
      </c>
      <c r="B4302" s="2410" t="s">
        <v>5721</v>
      </c>
      <c r="C4302" s="2410" t="s">
        <v>5722</v>
      </c>
      <c r="D4302" s="2424" t="s">
        <v>5722</v>
      </c>
    </row>
    <row r="4303" spans="1:4" ht="12.75" customHeight="1">
      <c r="A4303" s="2410" t="str">
        <f t="shared" si="77"/>
        <v>Nverf in % von Nges</v>
      </c>
      <c r="B4303" s="2410" t="s">
        <v>4317</v>
      </c>
      <c r="C4303" s="2410" t="s">
        <v>18</v>
      </c>
      <c r="D4303" s="2424" t="s">
        <v>10297</v>
      </c>
    </row>
    <row r="4304" spans="1:4" ht="12.75" customHeight="1">
      <c r="A4304" s="2410" t="str">
        <f t="shared" si="77"/>
        <v>Sommer</v>
      </c>
      <c r="B4304" s="2410" t="s">
        <v>7193</v>
      </c>
      <c r="C4304" s="2410" t="s">
        <v>672</v>
      </c>
      <c r="D4304" s="2424" t="s">
        <v>2779</v>
      </c>
    </row>
    <row r="4305" spans="1:4" ht="12.75" customHeight="1">
      <c r="A4305" s="2410" t="str">
        <f t="shared" si="77"/>
        <v>Winter</v>
      </c>
      <c r="B4305" s="2410" t="s">
        <v>7192</v>
      </c>
      <c r="C4305" s="2410" t="s">
        <v>671</v>
      </c>
      <c r="D4305" s="2424" t="s">
        <v>2778</v>
      </c>
    </row>
    <row r="4306" spans="1:4" ht="12.75" customHeight="1">
      <c r="A4306" s="2410" t="str">
        <f t="shared" si="77"/>
        <v>Acker</v>
      </c>
      <c r="B4306" s="2410" t="s">
        <v>5219</v>
      </c>
      <c r="C4306" s="2410" t="s">
        <v>4841</v>
      </c>
      <c r="D4306" s="2424" t="s">
        <v>10298</v>
      </c>
    </row>
    <row r="4307" spans="1:4" ht="12.75" customHeight="1">
      <c r="A4307" s="2410" t="str">
        <f t="shared" si="77"/>
        <v>Futter</v>
      </c>
      <c r="B4307" s="2410" t="s">
        <v>5220</v>
      </c>
      <c r="C4307" s="2410" t="s">
        <v>3572</v>
      </c>
      <c r="D4307" s="2424" t="s">
        <v>10299</v>
      </c>
    </row>
    <row r="4308" spans="1:4" ht="12.75" customHeight="1">
      <c r="A4308" s="2410" t="str">
        <f t="shared" si="77"/>
        <v>Milchvieh / Aufzucht</v>
      </c>
      <c r="B4308" s="2410" t="s">
        <v>4882</v>
      </c>
      <c r="C4308" s="2410" t="s">
        <v>7081</v>
      </c>
      <c r="D4308" s="2424" t="s">
        <v>8631</v>
      </c>
    </row>
    <row r="4309" spans="1:4" ht="12.75" customHeight="1">
      <c r="A4309" s="2410" t="str">
        <f t="shared" si="77"/>
        <v>Vollgülle</v>
      </c>
      <c r="B4309" s="2410" t="s">
        <v>4883</v>
      </c>
      <c r="C4309" s="2410" t="s">
        <v>7082</v>
      </c>
      <c r="D4309" s="2424" t="s">
        <v>10300</v>
      </c>
    </row>
    <row r="4310" spans="1:4" ht="12.75" customHeight="1">
      <c r="A4310" s="2410" t="str">
        <f t="shared" si="77"/>
        <v>Gülle kotarm</v>
      </c>
      <c r="B4310" s="2410" t="s">
        <v>5165</v>
      </c>
      <c r="C4310" s="2410" t="s">
        <v>7083</v>
      </c>
      <c r="D4310" s="2424" t="s">
        <v>10301</v>
      </c>
    </row>
    <row r="4311" spans="1:4" ht="12.75" customHeight="1">
      <c r="A4311" s="2410" t="str">
        <f t="shared" si="77"/>
        <v>Stapelmist</v>
      </c>
      <c r="B4311" s="2410" t="s">
        <v>5166</v>
      </c>
      <c r="C4311" s="2410" t="s">
        <v>7084</v>
      </c>
      <c r="D4311" s="2424" t="s">
        <v>10302</v>
      </c>
    </row>
    <row r="4312" spans="1:4" ht="12.75" customHeight="1">
      <c r="A4312" s="2410" t="str">
        <f t="shared" si="77"/>
        <v>Laufstallmist</v>
      </c>
      <c r="B4312" s="2410" t="s">
        <v>5167</v>
      </c>
      <c r="C4312" s="2410" t="s">
        <v>7085</v>
      </c>
      <c r="D4312" s="2424" t="s">
        <v>10303</v>
      </c>
    </row>
    <row r="4313" spans="1:4" ht="12.75" customHeight="1">
      <c r="A4313" s="2410" t="str">
        <f t="shared" si="77"/>
        <v>Rindviehmast über 160-tägig</v>
      </c>
      <c r="B4313" s="2410" t="s">
        <v>8152</v>
      </c>
      <c r="C4313" s="2410" t="s">
        <v>8153</v>
      </c>
      <c r="D4313" s="2424" t="s">
        <v>8714</v>
      </c>
    </row>
    <row r="4314" spans="1:4" ht="12.75" customHeight="1">
      <c r="A4314" s="2410" t="str">
        <f t="shared" si="77"/>
        <v>Rindviehmast bis 160-tägig</v>
      </c>
      <c r="B4314" s="2410" t="s">
        <v>8103</v>
      </c>
      <c r="C4314" s="2410" t="s">
        <v>8104</v>
      </c>
      <c r="D4314" s="2424" t="s">
        <v>11293</v>
      </c>
    </row>
    <row r="4315" spans="1:4" ht="12.75" customHeight="1">
      <c r="A4315" s="2410" t="str">
        <f t="shared" si="77"/>
        <v>Mutterkuhkälber bis 160-tägig</v>
      </c>
      <c r="B4315" s="2410" t="s">
        <v>8102</v>
      </c>
      <c r="C4315" s="2410" t="s">
        <v>8101</v>
      </c>
      <c r="D4315" s="2424" t="s">
        <v>11176</v>
      </c>
    </row>
    <row r="4316" spans="1:4" ht="12.75" customHeight="1">
      <c r="A4316" s="2410" t="str">
        <f t="shared" si="77"/>
        <v>Mutterkuhkälber über 160-tägig</v>
      </c>
      <c r="B4316" s="2410" t="s">
        <v>8106</v>
      </c>
      <c r="C4316" s="2410" t="s">
        <v>8105</v>
      </c>
      <c r="D4316" s="2424" t="s">
        <v>11256</v>
      </c>
    </row>
    <row r="4317" spans="1:4" ht="12.75" customHeight="1">
      <c r="A4317" s="2410" t="str">
        <f t="shared" si="77"/>
        <v>Vollgülle</v>
      </c>
      <c r="B4317" s="2410" t="s">
        <v>4883</v>
      </c>
      <c r="C4317" s="2410" t="s">
        <v>7082</v>
      </c>
      <c r="D4317" s="2424" t="s">
        <v>10300</v>
      </c>
    </row>
    <row r="4318" spans="1:4" ht="12.75" customHeight="1">
      <c r="A4318" s="2410" t="str">
        <f t="shared" si="77"/>
        <v>Laufstallmist</v>
      </c>
      <c r="B4318" s="2410" t="s">
        <v>5167</v>
      </c>
      <c r="C4318" s="2410" t="s">
        <v>7085</v>
      </c>
      <c r="D4318" s="2424" t="s">
        <v>10303</v>
      </c>
    </row>
    <row r="4319" spans="1:4" ht="12.75" customHeight="1">
      <c r="A4319" s="2410" t="str">
        <f t="shared" si="77"/>
        <v>Kälber</v>
      </c>
      <c r="B4319" s="2410" t="s">
        <v>6348</v>
      </c>
      <c r="C4319" s="2410" t="s">
        <v>2231</v>
      </c>
      <c r="D4319" s="2424" t="s">
        <v>10304</v>
      </c>
    </row>
    <row r="4320" spans="1:4" ht="12.75" customHeight="1">
      <c r="A4320" s="2410" t="str">
        <f t="shared" si="77"/>
        <v>Kälbermist</v>
      </c>
      <c r="B4320" s="2410" t="s">
        <v>5168</v>
      </c>
      <c r="C4320" s="2410" t="s">
        <v>2232</v>
      </c>
      <c r="D4320" s="2424" t="s">
        <v>10305</v>
      </c>
    </row>
    <row r="4321" spans="1:4" ht="12.75" customHeight="1">
      <c r="A4321" s="2410" t="str">
        <f t="shared" si="77"/>
        <v>Pferde</v>
      </c>
      <c r="B4321" s="2410" t="s">
        <v>2589</v>
      </c>
      <c r="C4321" s="2410" t="s">
        <v>2233</v>
      </c>
      <c r="D4321" s="2424" t="s">
        <v>10306</v>
      </c>
    </row>
    <row r="4322" spans="1:4" ht="12.75" customHeight="1">
      <c r="A4322" s="2410" t="str">
        <f t="shared" si="77"/>
        <v>Pferdemist frisch</v>
      </c>
      <c r="B4322" s="2410" t="s">
        <v>1357</v>
      </c>
      <c r="C4322" s="2410" t="s">
        <v>2234</v>
      </c>
      <c r="D4322" s="2424" t="s">
        <v>6769</v>
      </c>
    </row>
    <row r="4323" spans="1:4" ht="12.75" customHeight="1">
      <c r="A4323" s="2410" t="str">
        <f t="shared" ref="A4323:A4386" si="78">IF($A$2=1,B4323,IF($A$2=2,C4323,IF($A$2=3,IF(D4323="",C4323,D4323),"")))</f>
        <v>Pferdemist</v>
      </c>
      <c r="B4323" s="2410" t="s">
        <v>1358</v>
      </c>
      <c r="C4323" s="2410" t="s">
        <v>2235</v>
      </c>
      <c r="D4323" s="2424" t="s">
        <v>10307</v>
      </c>
    </row>
    <row r="4324" spans="1:4" ht="12.75" customHeight="1">
      <c r="A4324" s="2410" t="str">
        <f t="shared" si="78"/>
        <v>Schafe / Ziegen</v>
      </c>
      <c r="B4324" s="2410" t="s">
        <v>6905</v>
      </c>
      <c r="C4324" s="2410" t="s">
        <v>1655</v>
      </c>
      <c r="D4324" s="2424" t="s">
        <v>10308</v>
      </c>
    </row>
    <row r="4325" spans="1:4" ht="12.75" customHeight="1">
      <c r="A4325" s="2410" t="str">
        <f t="shared" si="78"/>
        <v>Schaf- / Ziegenmist</v>
      </c>
      <c r="B4325" s="2410" t="s">
        <v>7299</v>
      </c>
      <c r="C4325" s="2410" t="s">
        <v>1656</v>
      </c>
      <c r="D4325" s="2424" t="s">
        <v>10309</v>
      </c>
    </row>
    <row r="4326" spans="1:4" ht="12.75" customHeight="1">
      <c r="A4326" s="2410" t="str">
        <f t="shared" si="78"/>
        <v>Kaninchen</v>
      </c>
      <c r="B4326" s="2410" t="s">
        <v>5013</v>
      </c>
      <c r="C4326" s="2410" t="s">
        <v>1062</v>
      </c>
      <c r="D4326" s="2424" t="s">
        <v>9600</v>
      </c>
    </row>
    <row r="4327" spans="1:4" ht="12.75" customHeight="1">
      <c r="A4327" s="2410" t="str">
        <f t="shared" si="78"/>
        <v>Zibbenmist</v>
      </c>
      <c r="B4327" s="2410" t="s">
        <v>7051</v>
      </c>
      <c r="C4327" s="2410" t="s">
        <v>5940</v>
      </c>
      <c r="D4327" s="2424" t="s">
        <v>10310</v>
      </c>
    </row>
    <row r="4328" spans="1:4" ht="12.75" customHeight="1">
      <c r="A4328" s="2410" t="str">
        <f t="shared" si="78"/>
        <v>Jungtiermist</v>
      </c>
      <c r="B4328" s="2410" t="s">
        <v>6816</v>
      </c>
      <c r="C4328" s="2410" t="s">
        <v>6817</v>
      </c>
      <c r="D4328" s="2424" t="s">
        <v>10311</v>
      </c>
    </row>
    <row r="4329" spans="1:4" ht="12.75" customHeight="1">
      <c r="A4329" s="2410" t="str">
        <f t="shared" si="78"/>
        <v>Schweine</v>
      </c>
      <c r="B4329" s="2410" t="s">
        <v>2279</v>
      </c>
      <c r="C4329" s="2410" t="s">
        <v>1714</v>
      </c>
      <c r="D4329" s="2424" t="s">
        <v>10312</v>
      </c>
    </row>
    <row r="4330" spans="1:4" ht="12.75" customHeight="1">
      <c r="A4330" s="2410" t="str">
        <f t="shared" si="78"/>
        <v>Schweinegülle Mast</v>
      </c>
      <c r="B4330" s="2410" t="s">
        <v>6906</v>
      </c>
      <c r="C4330" s="2410" t="s">
        <v>2461</v>
      </c>
      <c r="D4330" s="2424" t="s">
        <v>10313</v>
      </c>
    </row>
    <row r="4331" spans="1:4" ht="12.75" customHeight="1">
      <c r="A4331" s="2410" t="str">
        <f t="shared" si="78"/>
        <v>Schweinegülle Zucht</v>
      </c>
      <c r="B4331" s="2410" t="s">
        <v>4953</v>
      </c>
      <c r="C4331" s="2410" t="s">
        <v>2462</v>
      </c>
      <c r="D4331" s="2424" t="s">
        <v>10314</v>
      </c>
    </row>
    <row r="4332" spans="1:4" ht="12.75" customHeight="1">
      <c r="A4332" s="2410" t="str">
        <f t="shared" si="78"/>
        <v>Schweinemist</v>
      </c>
      <c r="B4332" s="2410" t="s">
        <v>4954</v>
      </c>
      <c r="C4332" s="2410" t="s">
        <v>6944</v>
      </c>
      <c r="D4332" s="2424" t="s">
        <v>10315</v>
      </c>
    </row>
    <row r="4333" spans="1:4" ht="12.75" customHeight="1">
      <c r="A4333" s="2410" t="str">
        <f t="shared" si="78"/>
        <v>Geflügel</v>
      </c>
      <c r="B4333" s="2410" t="s">
        <v>2280</v>
      </c>
      <c r="C4333" s="2410" t="s">
        <v>3957</v>
      </c>
      <c r="D4333" s="2424" t="s">
        <v>8462</v>
      </c>
    </row>
    <row r="4334" spans="1:4" ht="12.75" customHeight="1">
      <c r="A4334" s="2410" t="str">
        <f t="shared" si="78"/>
        <v>Hennenkot (Kotband)</v>
      </c>
      <c r="B4334" s="2410" t="s">
        <v>7403</v>
      </c>
      <c r="C4334" s="2410" t="s">
        <v>6945</v>
      </c>
      <c r="D4334" s="2424" t="s">
        <v>10283</v>
      </c>
    </row>
    <row r="4335" spans="1:4" ht="12.75" customHeight="1">
      <c r="A4335" s="2410" t="str">
        <f t="shared" si="78"/>
        <v>Hennenmist (Kotgrube, Bodenhaltung)</v>
      </c>
      <c r="B4335" s="2410" t="s">
        <v>2340</v>
      </c>
      <c r="C4335" s="2410" t="s">
        <v>6946</v>
      </c>
      <c r="D4335" s="2424" t="s">
        <v>11294</v>
      </c>
    </row>
    <row r="4336" spans="1:4" ht="12.75" customHeight="1">
      <c r="A4336" s="2410" t="str">
        <f t="shared" si="78"/>
        <v>Junghennenmist (Kotband)</v>
      </c>
      <c r="B4336" s="2410" t="s">
        <v>1596</v>
      </c>
      <c r="C4336" s="2410" t="s">
        <v>1602</v>
      </c>
      <c r="D4336" s="2424" t="s">
        <v>10283</v>
      </c>
    </row>
    <row r="4337" spans="1:4" ht="12.75" customHeight="1">
      <c r="A4337" s="2410" t="str">
        <f t="shared" si="78"/>
        <v>Junghennenmist (Kotgrube, Bodenhaltung)</v>
      </c>
      <c r="B4337" s="2410" t="s">
        <v>1603</v>
      </c>
      <c r="C4337" s="2410" t="s">
        <v>1604</v>
      </c>
      <c r="D4337" s="2424" t="s">
        <v>11295</v>
      </c>
    </row>
    <row r="4338" spans="1:4" ht="12.75" customHeight="1">
      <c r="A4338" s="2410" t="str">
        <f t="shared" si="78"/>
        <v>Pouletmist</v>
      </c>
      <c r="B4338" s="2410" t="s">
        <v>1490</v>
      </c>
      <c r="C4338" s="2410" t="s">
        <v>17</v>
      </c>
      <c r="D4338" s="2424" t="s">
        <v>10285</v>
      </c>
    </row>
    <row r="4339" spans="1:4" ht="12.75" customHeight="1">
      <c r="A4339" s="2410" t="str">
        <f t="shared" si="78"/>
        <v>Trutenmist</v>
      </c>
      <c r="B4339" s="2410" t="s">
        <v>1491</v>
      </c>
      <c r="C4339" s="2410" t="s">
        <v>4989</v>
      </c>
      <c r="D4339" s="2424" t="s">
        <v>10287</v>
      </c>
    </row>
    <row r="4340" spans="1:4" ht="12.75" customHeight="1">
      <c r="A4340" s="2410">
        <f t="shared" si="78"/>
        <v>0</v>
      </c>
      <c r="B4340" s="2410"/>
      <c r="C4340" s="2410"/>
      <c r="D4340" s="2414"/>
    </row>
    <row r="4341" spans="1:4" ht="12.75" customHeight="1">
      <c r="A4341" s="2410" t="str">
        <f t="shared" si="78"/>
        <v>Herkunft des Verdünnungswassers</v>
      </c>
      <c r="B4341" s="2410" t="s">
        <v>7129</v>
      </c>
      <c r="C4341" s="2410" t="s">
        <v>2295</v>
      </c>
      <c r="D4341" s="2424" t="s">
        <v>9034</v>
      </c>
    </row>
    <row r="4342" spans="1:4" ht="12.75" customHeight="1">
      <c r="A4342" s="2410" t="str">
        <f t="shared" si="78"/>
        <v>Einheit</v>
      </c>
      <c r="B4342" s="2410" t="s">
        <v>6392</v>
      </c>
      <c r="C4342" s="2410" t="s">
        <v>6215</v>
      </c>
      <c r="D4342" s="2424" t="s">
        <v>1418</v>
      </c>
    </row>
    <row r="4343" spans="1:4" ht="12.75" customHeight="1">
      <c r="A4343" s="2410" t="str">
        <f t="shared" si="78"/>
        <v>Wassermenge pro Monat</v>
      </c>
      <c r="B4343" s="2410" t="s">
        <v>7077</v>
      </c>
      <c r="C4343" s="2410" t="s">
        <v>3793</v>
      </c>
      <c r="D4343" s="2424" t="s">
        <v>10316</v>
      </c>
    </row>
    <row r="4344" spans="1:4" ht="12.75" customHeight="1">
      <c r="A4344" s="2410" t="str">
        <f t="shared" si="78"/>
        <v>Sommer</v>
      </c>
      <c r="B4344" s="2410" t="s">
        <v>7193</v>
      </c>
      <c r="C4344" s="2410" t="s">
        <v>672</v>
      </c>
      <c r="D4344" s="2424" t="s">
        <v>2779</v>
      </c>
    </row>
    <row r="4345" spans="1:4" ht="12.75" customHeight="1">
      <c r="A4345" s="2410" t="str">
        <f t="shared" si="78"/>
        <v>Winter</v>
      </c>
      <c r="B4345" s="2410" t="s">
        <v>7192</v>
      </c>
      <c r="C4345" s="2410" t="s">
        <v>671</v>
      </c>
      <c r="D4345" s="2424" t="s">
        <v>2778</v>
      </c>
    </row>
    <row r="4346" spans="1:4" ht="12.75" customHeight="1">
      <c r="A4346" s="2410" t="str">
        <f t="shared" si="78"/>
        <v>Variable</v>
      </c>
      <c r="B4346" s="2410" t="s">
        <v>4735</v>
      </c>
      <c r="C4346" s="2410" t="s">
        <v>4735</v>
      </c>
      <c r="D4346" s="2424" t="s">
        <v>10317</v>
      </c>
    </row>
    <row r="4347" spans="1:4" ht="12.75" customHeight="1">
      <c r="A4347" s="2410" t="str">
        <f t="shared" si="78"/>
        <v>Konstante</v>
      </c>
      <c r="B4347" s="2410" t="s">
        <v>4736</v>
      </c>
      <c r="C4347" s="2410" t="s">
        <v>2296</v>
      </c>
      <c r="D4347" s="2424" t="s">
        <v>10318</v>
      </c>
    </row>
    <row r="4348" spans="1:4" ht="12.75" customHeight="1">
      <c r="A4348" s="2410" t="str">
        <f t="shared" si="78"/>
        <v>Mistplatz</v>
      </c>
      <c r="B4348" s="2410" t="s">
        <v>161</v>
      </c>
      <c r="C4348" s="2410" t="s">
        <v>6161</v>
      </c>
      <c r="D4348" s="2424" t="s">
        <v>8451</v>
      </c>
    </row>
    <row r="4349" spans="1:4" ht="12.75" customHeight="1">
      <c r="A4349" s="2410" t="str">
        <f t="shared" si="78"/>
        <v>Befestigte, nicht überdachte Laufplätze</v>
      </c>
      <c r="B4349" s="2410" t="s">
        <v>874</v>
      </c>
      <c r="C4349" s="2410" t="s">
        <v>4549</v>
      </c>
      <c r="D4349" s="2424" t="s">
        <v>10319</v>
      </c>
    </row>
    <row r="4350" spans="1:4" ht="12.75" customHeight="1">
      <c r="A4350" s="2410" t="str">
        <f t="shared" si="78"/>
        <v>Nicht überdachte Flachsiloplatten mit vollständiger Entwässerung in Güllengrube</v>
      </c>
      <c r="B4350" s="2410" t="s">
        <v>583</v>
      </c>
      <c r="C4350" s="2410" t="s">
        <v>107</v>
      </c>
      <c r="D4350" s="2424" t="s">
        <v>10320</v>
      </c>
    </row>
    <row r="4351" spans="1:4" ht="12.75" customHeight="1">
      <c r="A4351" s="2410" t="str">
        <f t="shared" si="78"/>
        <v>Nicht überdachte Flachsiloplatten mit  Entwässerung über Silosaftrinne</v>
      </c>
      <c r="B4351" s="2410" t="s">
        <v>584</v>
      </c>
      <c r="C4351" s="2410" t="s">
        <v>6531</v>
      </c>
      <c r="D4351" s="2424" t="s">
        <v>10321</v>
      </c>
    </row>
    <row r="4352" spans="1:4" ht="12.75" customHeight="1">
      <c r="A4352" s="2410" t="str">
        <f t="shared" si="78"/>
        <v>Weitere in die Güllegrube entwässerte Flächen</v>
      </c>
      <c r="B4352" s="2410" t="s">
        <v>116</v>
      </c>
      <c r="C4352" s="2410" t="s">
        <v>4875</v>
      </c>
      <c r="D4352" s="2424" t="s">
        <v>10322</v>
      </c>
    </row>
    <row r="4353" spans="1:4" ht="12.75" customHeight="1">
      <c r="A4353" s="2410" t="str">
        <f t="shared" si="78"/>
        <v>Reinigung:</v>
      </c>
      <c r="B4353" s="2410" t="s">
        <v>1709</v>
      </c>
      <c r="C4353" s="2410" t="s">
        <v>46</v>
      </c>
      <c r="D4353" s="2424" t="s">
        <v>4029</v>
      </c>
    </row>
    <row r="4354" spans="1:4" ht="12.75" customHeight="1">
      <c r="A4354" s="2410" t="str">
        <f t="shared" si="78"/>
        <v>Milchkammer</v>
      </c>
      <c r="B4354" s="2410" t="s">
        <v>4636</v>
      </c>
      <c r="C4354" s="2410" t="s">
        <v>47</v>
      </c>
      <c r="D4354" s="2424" t="s">
        <v>8950</v>
      </c>
    </row>
    <row r="4355" spans="1:4" ht="12.75" customHeight="1">
      <c r="A4355" s="2410" t="str">
        <f t="shared" si="78"/>
        <v>Kühltank</v>
      </c>
      <c r="B4355" s="2410" t="s">
        <v>4638</v>
      </c>
      <c r="C4355" s="2410" t="s">
        <v>3659</v>
      </c>
      <c r="D4355" s="2424" t="s">
        <v>8951</v>
      </c>
    </row>
    <row r="4356" spans="1:4" ht="12.75" customHeight="1">
      <c r="A4356" s="2410" t="str">
        <f t="shared" si="78"/>
        <v>Eimermelkanlage</v>
      </c>
      <c r="B4356" s="2410" t="s">
        <v>3660</v>
      </c>
      <c r="C4356" s="2410" t="s">
        <v>3866</v>
      </c>
      <c r="D4356" s="2424" t="s">
        <v>8952</v>
      </c>
    </row>
    <row r="4357" spans="1:4" ht="12.75" customHeight="1">
      <c r="A4357" s="2410" t="str">
        <f t="shared" si="78"/>
        <v>Rohrmelkanlage (Anbindestall oder Melkstand)</v>
      </c>
      <c r="B4357" s="2410" t="s">
        <v>3661</v>
      </c>
      <c r="C4357" s="2410" t="s">
        <v>3867</v>
      </c>
      <c r="D4357" s="2424" t="s">
        <v>8953</v>
      </c>
    </row>
    <row r="4358" spans="1:4" ht="12.75" customHeight="1">
      <c r="A4358" s="2410" t="str">
        <f t="shared" si="78"/>
        <v>Standplätze im Melkstand</v>
      </c>
      <c r="B4358" s="2410" t="s">
        <v>1283</v>
      </c>
      <c r="C4358" s="2410" t="s">
        <v>4471</v>
      </c>
      <c r="D4358" s="2424" t="s">
        <v>8954</v>
      </c>
    </row>
    <row r="4359" spans="1:4" ht="12.75" customHeight="1">
      <c r="A4359" s="2410" t="str">
        <f t="shared" si="78"/>
        <v>Automatisches Melksystem (AMS)</v>
      </c>
      <c r="B4359" s="2410" t="s">
        <v>167</v>
      </c>
      <c r="C4359" s="2410" t="s">
        <v>4472</v>
      </c>
      <c r="D4359" s="2424" t="s">
        <v>11296</v>
      </c>
    </row>
    <row r="4360" spans="1:4" ht="12.75" customHeight="1">
      <c r="A4360" s="2410" t="str">
        <f t="shared" si="78"/>
        <v>Haushalt:</v>
      </c>
      <c r="B4360" s="2410" t="s">
        <v>117</v>
      </c>
      <c r="C4360" s="2410" t="s">
        <v>780</v>
      </c>
      <c r="D4360" s="2424" t="s">
        <v>8956</v>
      </c>
    </row>
    <row r="4361" spans="1:4" ht="12.75" customHeight="1">
      <c r="A4361" s="2410" t="str">
        <f t="shared" si="78"/>
        <v>normale Verhältnisse (Waschmasch., Dusche/Bad, WC)</v>
      </c>
      <c r="B4361" s="2410" t="s">
        <v>7175</v>
      </c>
      <c r="C4361" s="2410" t="s">
        <v>7566</v>
      </c>
      <c r="D4361" s="2424" t="s">
        <v>8264</v>
      </c>
    </row>
    <row r="4362" spans="1:4" ht="12.75" customHeight="1">
      <c r="A4362" s="2410" t="str">
        <f t="shared" si="78"/>
        <v>einfache sanitäre Einrichtungen</v>
      </c>
      <c r="B4362" s="2410" t="s">
        <v>7184</v>
      </c>
      <c r="C4362" s="2410" t="s">
        <v>7567</v>
      </c>
      <c r="D4362" s="2424" t="s">
        <v>6465</v>
      </c>
    </row>
    <row r="4363" spans="1:4" ht="12.75" customHeight="1">
      <c r="A4363" s="2410" t="str">
        <f t="shared" si="78"/>
        <v>Sonderfälle: dauernd deutlich geringerer Abwasseranfall</v>
      </c>
      <c r="B4363" s="2410" t="s">
        <v>7291</v>
      </c>
      <c r="C4363" s="2410" t="s">
        <v>339</v>
      </c>
      <c r="D4363" s="2424" t="s">
        <v>8265</v>
      </c>
    </row>
    <row r="4364" spans="1:4" ht="12.75" customHeight="1">
      <c r="A4364" s="2410" t="str">
        <f t="shared" si="78"/>
        <v>Restauration:</v>
      </c>
      <c r="B4364" s="2410" t="s">
        <v>168</v>
      </c>
      <c r="C4364" s="2410" t="s">
        <v>340</v>
      </c>
      <c r="D4364" s="2424" t="s">
        <v>11297</v>
      </c>
    </row>
    <row r="4365" spans="1:4" ht="12.75" customHeight="1">
      <c r="A4365" s="2410" t="str">
        <f t="shared" si="78"/>
        <v>Gastronomie, Partyraum</v>
      </c>
      <c r="B4365" s="2410" t="s">
        <v>4485</v>
      </c>
      <c r="C4365" s="2410" t="s">
        <v>1970</v>
      </c>
      <c r="D4365" s="2424" t="s">
        <v>10323</v>
      </c>
    </row>
    <row r="4366" spans="1:4" ht="12.75" customHeight="1">
      <c r="A4366" s="2410" t="str">
        <f t="shared" si="78"/>
        <v>Ferien auf dem Bauernhof</v>
      </c>
      <c r="B4366" s="2410" t="s">
        <v>3789</v>
      </c>
      <c r="C4366" s="2410" t="s">
        <v>1971</v>
      </c>
      <c r="D4366" s="2424" t="s">
        <v>10324</v>
      </c>
    </row>
    <row r="4367" spans="1:4" ht="12.75" customHeight="1">
      <c r="A4367" s="2410" t="str">
        <f t="shared" si="78"/>
        <v>Schlaf im Stroh</v>
      </c>
      <c r="B4367" s="2410" t="s">
        <v>3791</v>
      </c>
      <c r="C4367" s="2410" t="s">
        <v>1972</v>
      </c>
      <c r="D4367" s="2424" t="s">
        <v>10325</v>
      </c>
    </row>
    <row r="4368" spans="1:4" ht="12.75" customHeight="1">
      <c r="A4368" s="2410" t="str">
        <f t="shared" si="78"/>
        <v>Anzahl Melkeinheiten</v>
      </c>
      <c r="B4368" s="2410" t="s">
        <v>7253</v>
      </c>
      <c r="C4368" s="2410" t="s">
        <v>1973</v>
      </c>
      <c r="D4368" s="2424" t="s">
        <v>10326</v>
      </c>
    </row>
    <row r="4369" spans="1:4" ht="12.75" customHeight="1">
      <c r="A4369" s="2410" t="str">
        <f t="shared" si="78"/>
        <v>Volumen in Liter</v>
      </c>
      <c r="B4369" s="2410" t="s">
        <v>2995</v>
      </c>
      <c r="C4369" s="2410" t="s">
        <v>4557</v>
      </c>
      <c r="D4369" s="2424" t="s">
        <v>10327</v>
      </c>
    </row>
    <row r="4370" spans="1:4" ht="12.75" customHeight="1">
      <c r="A4370" s="2410" t="str">
        <f t="shared" si="78"/>
        <v>Anzahl Plätze</v>
      </c>
      <c r="B4370" s="2410" t="s">
        <v>1284</v>
      </c>
      <c r="C4370" s="2410" t="s">
        <v>6267</v>
      </c>
      <c r="D4370" s="2424" t="s">
        <v>1724</v>
      </c>
    </row>
    <row r="4371" spans="1:4" ht="12.75" customHeight="1">
      <c r="A4371" s="2410" t="str">
        <f t="shared" si="78"/>
        <v>Einheit</v>
      </c>
      <c r="B4371" s="2410" t="s">
        <v>6392</v>
      </c>
      <c r="C4371" s="2410" t="s">
        <v>6215</v>
      </c>
      <c r="D4371" s="2424" t="s">
        <v>1418</v>
      </c>
    </row>
    <row r="4372" spans="1:4" ht="12.75" customHeight="1">
      <c r="A4372" s="2410" t="str">
        <f t="shared" si="78"/>
        <v>Einwohner</v>
      </c>
      <c r="B4372" s="2410" t="s">
        <v>7182</v>
      </c>
      <c r="C4372" s="2410" t="s">
        <v>6268</v>
      </c>
      <c r="D4372" s="2424" t="s">
        <v>8266</v>
      </c>
    </row>
    <row r="4373" spans="1:4" ht="12.75" customHeight="1">
      <c r="A4373" s="2410" t="str">
        <f t="shared" si="78"/>
        <v>Sitzplatz</v>
      </c>
      <c r="B4373" s="2410" t="s">
        <v>4141</v>
      </c>
      <c r="C4373" s="2410" t="s">
        <v>6202</v>
      </c>
      <c r="D4373" s="2424" t="s">
        <v>10328</v>
      </c>
    </row>
    <row r="4374" spans="1:4" ht="12.75" customHeight="1">
      <c r="A4374" s="2410" t="str">
        <f t="shared" si="78"/>
        <v>Bett</v>
      </c>
      <c r="B4374" s="2410" t="s">
        <v>3790</v>
      </c>
      <c r="C4374" s="2410" t="s">
        <v>6203</v>
      </c>
      <c r="D4374" s="2424" t="s">
        <v>2867</v>
      </c>
    </row>
    <row r="4375" spans="1:4" ht="12.75" customHeight="1">
      <c r="A4375" s="2410" t="str">
        <f t="shared" si="78"/>
        <v>Schlafplatz</v>
      </c>
      <c r="B4375" s="2410" t="s">
        <v>3792</v>
      </c>
      <c r="C4375" s="2410" t="s">
        <v>5259</v>
      </c>
      <c r="D4375" s="2424" t="s">
        <v>10329</v>
      </c>
    </row>
    <row r="4376" spans="1:4" ht="12.75" customHeight="1">
      <c r="A4376" s="2410">
        <f t="shared" si="78"/>
        <v>0</v>
      </c>
      <c r="B4376" s="2410"/>
      <c r="C4376" s="2410"/>
      <c r="D4376" s="2414"/>
    </row>
    <row r="4377" spans="1:4" ht="12.75" customHeight="1">
      <c r="A4377" s="2410" t="str">
        <f t="shared" si="78"/>
        <v>a) AKh-Bedarf/Reserve</v>
      </c>
      <c r="B4377" s="2410" t="s">
        <v>1493</v>
      </c>
      <c r="C4377" s="2410" t="s">
        <v>4990</v>
      </c>
      <c r="D4377" s="2424" t="s">
        <v>10330</v>
      </c>
    </row>
    <row r="4378" spans="1:4" ht="12.75" customHeight="1">
      <c r="A4378" s="2410" t="str">
        <f t="shared" si="78"/>
        <v>Kulturen</v>
      </c>
      <c r="B4378" s="2410" t="s">
        <v>4689</v>
      </c>
      <c r="C4378" s="2410" t="s">
        <v>4761</v>
      </c>
      <c r="D4378" s="2424" t="s">
        <v>4407</v>
      </c>
    </row>
    <row r="4379" spans="1:4" ht="12.75" customHeight="1">
      <c r="A4379" s="2410" t="str">
        <f t="shared" si="78"/>
        <v>Nummer</v>
      </c>
      <c r="B4379" s="2410" t="s">
        <v>1768</v>
      </c>
      <c r="C4379" s="2410" t="s">
        <v>4991</v>
      </c>
      <c r="D4379" s="2424" t="s">
        <v>1400</v>
      </c>
    </row>
    <row r="4380" spans="1:4" ht="12.75" customHeight="1">
      <c r="A4380" s="2410" t="str">
        <f t="shared" si="78"/>
        <v>Anzahl</v>
      </c>
      <c r="B4380" s="2410" t="s">
        <v>7044</v>
      </c>
      <c r="C4380" s="2410" t="s">
        <v>5260</v>
      </c>
      <c r="D4380" s="2424" t="s">
        <v>3773</v>
      </c>
    </row>
    <row r="4381" spans="1:4" ht="12.75" customHeight="1">
      <c r="A4381" s="2410" t="str">
        <f t="shared" si="78"/>
        <v>Einheit</v>
      </c>
      <c r="B4381" s="2410" t="s">
        <v>6392</v>
      </c>
      <c r="C4381" s="2410" t="s">
        <v>6215</v>
      </c>
      <c r="D4381" s="2424" t="s">
        <v>1418</v>
      </c>
    </row>
    <row r="4382" spans="1:4" ht="12.75" customHeight="1">
      <c r="A4382" s="2410" t="str">
        <f t="shared" si="78"/>
        <v>Mechanisierungsstufe</v>
      </c>
      <c r="B4382" s="2410" t="s">
        <v>1769</v>
      </c>
      <c r="C4382" s="2410" t="s">
        <v>4992</v>
      </c>
      <c r="D4382" s="2424" t="s">
        <v>10331</v>
      </c>
    </row>
    <row r="4383" spans="1:4" ht="12.75" customHeight="1">
      <c r="A4383" s="2410" t="str">
        <f t="shared" si="78"/>
        <v>AKh total</v>
      </c>
      <c r="B4383" s="2410" t="s">
        <v>5290</v>
      </c>
      <c r="C4383" s="2410" t="s">
        <v>4993</v>
      </c>
      <c r="D4383" s="2424" t="s">
        <v>11298</v>
      </c>
    </row>
    <row r="4384" spans="1:4" ht="12.75" customHeight="1">
      <c r="A4384" s="2410" t="str">
        <f t="shared" si="78"/>
        <v>davon</v>
      </c>
      <c r="B4384" s="2410" t="s">
        <v>4288</v>
      </c>
      <c r="C4384" s="2410" t="s">
        <v>5343</v>
      </c>
      <c r="D4384" s="2424" t="s">
        <v>9366</v>
      </c>
    </row>
    <row r="4385" spans="1:4" ht="12.75" customHeight="1">
      <c r="A4385" s="2410" t="str">
        <f t="shared" si="78"/>
        <v>B &amp; S</v>
      </c>
      <c r="B4385" s="2410" t="s">
        <v>5470</v>
      </c>
      <c r="C4385" s="2410" t="s">
        <v>5453</v>
      </c>
      <c r="D4385" s="2424" t="s">
        <v>5453</v>
      </c>
    </row>
    <row r="4386" spans="1:4" ht="12.75" customHeight="1">
      <c r="A4386" s="2410" t="str">
        <f t="shared" si="78"/>
        <v>Traktorstunden</v>
      </c>
      <c r="B4386" s="2410" t="s">
        <v>5291</v>
      </c>
      <c r="C4386" s="2410" t="s">
        <v>1936</v>
      </c>
      <c r="D4386" s="2424" t="s">
        <v>11299</v>
      </c>
    </row>
    <row r="4387" spans="1:4" ht="12.75" customHeight="1">
      <c r="A4387" s="2410">
        <f t="shared" ref="A4387:A4450" si="79">IF($A$2=1,B4387,IF($A$2=2,C4387,IF($A$2=3,IF(D4387="",C4387,D4387),"")))</f>
        <v>0</v>
      </c>
      <c r="B4387" s="2410"/>
      <c r="C4387" s="2410" t="s">
        <v>4994</v>
      </c>
      <c r="D4387" s="2424"/>
    </row>
    <row r="4388" spans="1:4" ht="12.75" customHeight="1">
      <c r="A4388" s="2410">
        <f t="shared" si="79"/>
        <v>0</v>
      </c>
      <c r="B4388" s="2410"/>
      <c r="C4388" s="2410" t="s">
        <v>1063</v>
      </c>
      <c r="D4388" s="2424"/>
    </row>
    <row r="4389" spans="1:4" ht="12.75" customHeight="1">
      <c r="A4389" s="2410" t="str">
        <f t="shared" si="79"/>
        <v>AKh für IP-</v>
      </c>
      <c r="B4389" s="2410" t="s">
        <v>5292</v>
      </c>
      <c r="C4389" s="2410" t="s">
        <v>1064</v>
      </c>
      <c r="D4389" s="2424" t="s">
        <v>11300</v>
      </c>
    </row>
    <row r="4390" spans="1:4" ht="12.75" customHeight="1">
      <c r="A4390" s="2410" t="str">
        <f t="shared" si="79"/>
        <v>Mehrarbeit</v>
      </c>
      <c r="B4390" s="2410" t="s">
        <v>5471</v>
      </c>
      <c r="C4390" s="2410" t="s">
        <v>1065</v>
      </c>
      <c r="D4390" s="2424" t="s">
        <v>1065</v>
      </c>
    </row>
    <row r="4391" spans="1:4" ht="12.75" customHeight="1">
      <c r="A4391" s="2410">
        <f t="shared" si="79"/>
        <v>0</v>
      </c>
      <c r="B4391" s="2410"/>
      <c r="C4391" s="2410" t="s">
        <v>1063</v>
      </c>
      <c r="D4391" s="2424"/>
    </row>
    <row r="4392" spans="1:4" ht="12.75" customHeight="1">
      <c r="A4392" s="2410" t="str">
        <f t="shared" si="79"/>
        <v>AKh für Bio-</v>
      </c>
      <c r="B4392" s="2410" t="s">
        <v>5468</v>
      </c>
      <c r="C4392" s="2410" t="s">
        <v>1064</v>
      </c>
      <c r="D4392" s="2424" t="s">
        <v>11300</v>
      </c>
    </row>
    <row r="4393" spans="1:4" ht="12.75" customHeight="1">
      <c r="A4393" s="2410" t="str">
        <f t="shared" si="79"/>
        <v>Mehrarbeit</v>
      </c>
      <c r="B4393" s="2410" t="s">
        <v>5471</v>
      </c>
      <c r="C4393" s="2410" t="s">
        <v>1066</v>
      </c>
      <c r="D4393" s="2424" t="s">
        <v>1066</v>
      </c>
    </row>
    <row r="4394" spans="1:4" ht="12.75" customHeight="1">
      <c r="A4394" s="2410" t="str">
        <f t="shared" si="79"/>
        <v>Parzellengrösse</v>
      </c>
      <c r="B4394" s="2410" t="s">
        <v>5469</v>
      </c>
      <c r="C4394" s="2410" t="s">
        <v>6519</v>
      </c>
      <c r="D4394" s="2414" t="s">
        <v>5876</v>
      </c>
    </row>
    <row r="4395" spans="1:4" ht="12.75" customHeight="1">
      <c r="A4395" s="2410" t="str">
        <f t="shared" si="79"/>
        <v>Pflanzenbau: (Daten aus Fläche A1)</v>
      </c>
      <c r="B4395" s="2410" t="s">
        <v>5486</v>
      </c>
      <c r="C4395" s="2410" t="s">
        <v>1067</v>
      </c>
      <c r="D4395" s="2414" t="s">
        <v>10332</v>
      </c>
    </row>
    <row r="4396" spans="1:4" ht="12.75" customHeight="1">
      <c r="A4396" s="2410" t="str">
        <f t="shared" si="79"/>
        <v>Naturwiese extensiv</v>
      </c>
      <c r="B4396" s="2410" t="s">
        <v>1465</v>
      </c>
      <c r="C4396" s="2410" t="s">
        <v>75</v>
      </c>
      <c r="D4396" s="2414" t="s">
        <v>10333</v>
      </c>
    </row>
    <row r="4397" spans="1:4" ht="12.75" customHeight="1">
      <c r="A4397" s="2410" t="str">
        <f t="shared" si="79"/>
        <v>&lt; 18%, 2 Kons.-schnitte, tief</v>
      </c>
      <c r="B4397" s="2410" t="s">
        <v>1466</v>
      </c>
      <c r="C4397" s="2410" t="s">
        <v>1098</v>
      </c>
      <c r="D4397" s="2414" t="s">
        <v>10334</v>
      </c>
    </row>
    <row r="4398" spans="1:4" ht="12.75" customHeight="1">
      <c r="A4398" s="2410" t="str">
        <f t="shared" si="79"/>
        <v>&lt; 18%, 2 Kons.-schnitte, mittel</v>
      </c>
      <c r="B4398" s="2410" t="s">
        <v>1467</v>
      </c>
      <c r="C4398" s="2410" t="s">
        <v>1998</v>
      </c>
      <c r="D4398" s="2414" t="s">
        <v>10335</v>
      </c>
    </row>
    <row r="4399" spans="1:4" ht="12.75" customHeight="1">
      <c r="A4399" s="2410" t="str">
        <f t="shared" si="79"/>
        <v>&lt; 18%, 2 Kons.-schnitte, hoch</v>
      </c>
      <c r="B4399" s="2410" t="s">
        <v>4219</v>
      </c>
      <c r="C4399" s="2410" t="s">
        <v>1101</v>
      </c>
      <c r="D4399" s="2414" t="s">
        <v>10336</v>
      </c>
    </row>
    <row r="4400" spans="1:4" ht="12.75" customHeight="1">
      <c r="A4400" s="2410" t="str">
        <f t="shared" si="79"/>
        <v>&lt; 18%, 1 Kons.-schnitt, tief</v>
      </c>
      <c r="B4400" s="2410" t="s">
        <v>3716</v>
      </c>
      <c r="C4400" s="2410" t="s">
        <v>1102</v>
      </c>
      <c r="D4400" s="2414" t="s">
        <v>10337</v>
      </c>
    </row>
    <row r="4401" spans="1:4" ht="12.75" customHeight="1">
      <c r="A4401" s="2410" t="str">
        <f t="shared" si="79"/>
        <v>&lt; 18%, 1 Kons.-schnitt, mittel</v>
      </c>
      <c r="B4401" s="2410" t="s">
        <v>3717</v>
      </c>
      <c r="C4401" s="2410" t="s">
        <v>2294</v>
      </c>
      <c r="D4401" s="2414" t="s">
        <v>10338</v>
      </c>
    </row>
    <row r="4402" spans="1:4" ht="12.75" customHeight="1">
      <c r="A4402" s="2410" t="str">
        <f t="shared" si="79"/>
        <v>&lt; 18%, 1 Kons.-schnitt, hoch</v>
      </c>
      <c r="B4402" s="2410" t="s">
        <v>3655</v>
      </c>
      <c r="C4402" s="2410" t="s">
        <v>4134</v>
      </c>
      <c r="D4402" s="2414" t="s">
        <v>10339</v>
      </c>
    </row>
    <row r="4403" spans="1:4" ht="12.75" customHeight="1">
      <c r="A4403" s="2410" t="str">
        <f t="shared" si="79"/>
        <v>18-35%, 2 Kons.-schnitte, tief</v>
      </c>
      <c r="B4403" s="2410" t="s">
        <v>491</v>
      </c>
      <c r="C4403" s="2410" t="s">
        <v>4135</v>
      </c>
      <c r="D4403" s="2414" t="s">
        <v>10340</v>
      </c>
    </row>
    <row r="4404" spans="1:4" ht="12.75" customHeight="1">
      <c r="A4404" s="2410" t="str">
        <f t="shared" si="79"/>
        <v>18-35%, 2 Kons.-schnitte, mittel</v>
      </c>
      <c r="B4404" s="2410" t="s">
        <v>2840</v>
      </c>
      <c r="C4404" s="2410" t="s">
        <v>6229</v>
      </c>
      <c r="D4404" s="2414" t="s">
        <v>10341</v>
      </c>
    </row>
    <row r="4405" spans="1:4" ht="12.75" customHeight="1">
      <c r="A4405" s="2410" t="str">
        <f t="shared" si="79"/>
        <v>18-35%, 2 Kons.-schnitte, hoch</v>
      </c>
      <c r="B4405" s="2410" t="s">
        <v>2841</v>
      </c>
      <c r="C4405" s="2410" t="s">
        <v>6567</v>
      </c>
      <c r="D4405" s="2414" t="s">
        <v>10342</v>
      </c>
    </row>
    <row r="4406" spans="1:4" ht="12.75" customHeight="1">
      <c r="A4406" s="2410" t="str">
        <f t="shared" si="79"/>
        <v>18-35%, 1 Kons.-schnitt, tief</v>
      </c>
      <c r="B4406" s="2410" t="s">
        <v>2842</v>
      </c>
      <c r="C4406" s="2410" t="s">
        <v>5555</v>
      </c>
      <c r="D4406" s="2414" t="s">
        <v>10343</v>
      </c>
    </row>
    <row r="4407" spans="1:4" ht="12.75" customHeight="1">
      <c r="A4407" s="2410" t="str">
        <f t="shared" si="79"/>
        <v>18-35%, 1 Kons.-schnitt, mittel</v>
      </c>
      <c r="B4407" s="2410" t="s">
        <v>2843</v>
      </c>
      <c r="C4407" s="2410" t="s">
        <v>5556</v>
      </c>
      <c r="D4407" s="2414" t="s">
        <v>10344</v>
      </c>
    </row>
    <row r="4408" spans="1:4" ht="12.75" customHeight="1">
      <c r="A4408" s="2410" t="str">
        <f t="shared" si="79"/>
        <v>18-35%, 1 Kons.-schnitt, hoch</v>
      </c>
      <c r="B4408" s="2410" t="s">
        <v>4291</v>
      </c>
      <c r="C4408" s="2410" t="s">
        <v>5561</v>
      </c>
      <c r="D4408" s="2414" t="s">
        <v>10345</v>
      </c>
    </row>
    <row r="4409" spans="1:4" ht="12.75" customHeight="1">
      <c r="A4409" s="2410" t="str">
        <f t="shared" si="79"/>
        <v>35-50%, 2 Kons.-schnitte, tief</v>
      </c>
      <c r="B4409" s="2410" t="s">
        <v>3020</v>
      </c>
      <c r="C4409" s="2410" t="s">
        <v>2833</v>
      </c>
      <c r="D4409" s="2414" t="s">
        <v>10346</v>
      </c>
    </row>
    <row r="4410" spans="1:4" ht="12.75" customHeight="1">
      <c r="A4410" s="2410" t="str">
        <f t="shared" si="79"/>
        <v>35-50%, 2 Kons.-schnitte, mittel</v>
      </c>
      <c r="B4410" s="2410" t="s">
        <v>6953</v>
      </c>
      <c r="C4410" s="2410" t="s">
        <v>7391</v>
      </c>
      <c r="D4410" s="2414" t="s">
        <v>10347</v>
      </c>
    </row>
    <row r="4411" spans="1:4" ht="12.75" customHeight="1">
      <c r="A4411" s="2410" t="str">
        <f t="shared" si="79"/>
        <v>35-50%, 2 Kons.-schnitte, hoch</v>
      </c>
      <c r="B4411" s="2410" t="s">
        <v>6954</v>
      </c>
      <c r="C4411" s="2410" t="s">
        <v>5871</v>
      </c>
      <c r="D4411" s="2414" t="s">
        <v>10348</v>
      </c>
    </row>
    <row r="4412" spans="1:4" ht="12.75" customHeight="1">
      <c r="A4412" s="2410" t="str">
        <f t="shared" si="79"/>
        <v>35-50%, 1 Kons.-schnitt, tief</v>
      </c>
      <c r="B4412" s="2410" t="s">
        <v>6158</v>
      </c>
      <c r="C4412" s="2410" t="s">
        <v>5872</v>
      </c>
      <c r="D4412" s="2414" t="s">
        <v>10349</v>
      </c>
    </row>
    <row r="4413" spans="1:4" ht="12.75" customHeight="1">
      <c r="A4413" s="2410" t="str">
        <f t="shared" si="79"/>
        <v>35-50%, 1 Kons.-schnitt, mittel</v>
      </c>
      <c r="B4413" s="2410" t="s">
        <v>6775</v>
      </c>
      <c r="C4413" s="2410" t="s">
        <v>5244</v>
      </c>
      <c r="D4413" s="2414" t="s">
        <v>10350</v>
      </c>
    </row>
    <row r="4414" spans="1:4" ht="12.75" customHeight="1">
      <c r="A4414" s="2410" t="str">
        <f t="shared" si="79"/>
        <v>35-50%, 1 Kons.-schnitt, hoch</v>
      </c>
      <c r="B4414" s="2410" t="s">
        <v>2896</v>
      </c>
      <c r="C4414" s="2410" t="s">
        <v>4731</v>
      </c>
      <c r="D4414" s="2414" t="s">
        <v>10351</v>
      </c>
    </row>
    <row r="4415" spans="1:4" ht="12.75" customHeight="1">
      <c r="A4415" s="2410" t="str">
        <f t="shared" si="79"/>
        <v>&gt; 50%, 2 Kons.-schnitte, tief</v>
      </c>
      <c r="B4415" s="2410" t="s">
        <v>4828</v>
      </c>
      <c r="C4415" s="2410" t="s">
        <v>2375</v>
      </c>
      <c r="D4415" s="2414" t="s">
        <v>10352</v>
      </c>
    </row>
    <row r="4416" spans="1:4" ht="12.75" customHeight="1">
      <c r="A4416" s="2410" t="str">
        <f t="shared" si="79"/>
        <v>&gt; 50%, 2 Kons.-schnitte, mittel</v>
      </c>
      <c r="B4416" s="2410" t="s">
        <v>7041</v>
      </c>
      <c r="C4416" s="2410" t="s">
        <v>2376</v>
      </c>
      <c r="D4416" s="2414" t="s">
        <v>10353</v>
      </c>
    </row>
    <row r="4417" spans="1:4" ht="12.75" customHeight="1">
      <c r="A4417" s="2410" t="str">
        <f t="shared" si="79"/>
        <v>&gt; 50%, 2 Kons.-schnitte, hoch</v>
      </c>
      <c r="B4417" s="2410" t="s">
        <v>230</v>
      </c>
      <c r="C4417" s="2410" t="s">
        <v>2377</v>
      </c>
      <c r="D4417" s="2414" t="s">
        <v>10354</v>
      </c>
    </row>
    <row r="4418" spans="1:4" ht="12.75" customHeight="1">
      <c r="A4418" s="2410" t="str">
        <f t="shared" si="79"/>
        <v>&gt; 50%, 1 Kons.-schnitt, tief</v>
      </c>
      <c r="B4418" s="2410" t="s">
        <v>3209</v>
      </c>
      <c r="C4418" s="2410" t="s">
        <v>6032</v>
      </c>
      <c r="D4418" s="2414" t="s">
        <v>10355</v>
      </c>
    </row>
    <row r="4419" spans="1:4" ht="12.75" customHeight="1">
      <c r="A4419" s="2410" t="str">
        <f t="shared" si="79"/>
        <v>&gt; 50%, 1 Kons.-schnitt, mittel</v>
      </c>
      <c r="B4419" s="2410" t="s">
        <v>5641</v>
      </c>
      <c r="C4419" s="2410" t="s">
        <v>5861</v>
      </c>
      <c r="D4419" s="2414" t="s">
        <v>10356</v>
      </c>
    </row>
    <row r="4420" spans="1:4" ht="12.75" customHeight="1">
      <c r="A4420" s="2410" t="str">
        <f t="shared" si="79"/>
        <v>&gt; 50%, 1 Kons.-schnitt, hoch</v>
      </c>
      <c r="B4420" s="2410" t="s">
        <v>2366</v>
      </c>
      <c r="C4420" s="2410" t="s">
        <v>6069</v>
      </c>
      <c r="D4420" s="2414" t="s">
        <v>10357</v>
      </c>
    </row>
    <row r="4421" spans="1:4" ht="12.75" customHeight="1">
      <c r="A4421" s="2410" t="str">
        <f t="shared" si="79"/>
        <v>Naturwiese wenig intensiv</v>
      </c>
      <c r="B4421" s="2410" t="s">
        <v>3335</v>
      </c>
      <c r="C4421" s="2410" t="s">
        <v>1068</v>
      </c>
      <c r="D4421" s="2414" t="s">
        <v>10358</v>
      </c>
    </row>
    <row r="4422" spans="1:4" ht="12.75" customHeight="1">
      <c r="A4422" s="2410" t="str">
        <f t="shared" si="79"/>
        <v>&lt; 18%, 3 Kons.-schnitte, tief</v>
      </c>
      <c r="B4422" s="2410" t="s">
        <v>5307</v>
      </c>
      <c r="C4422" s="2410" t="s">
        <v>1522</v>
      </c>
      <c r="D4422" s="2414" t="s">
        <v>10359</v>
      </c>
    </row>
    <row r="4423" spans="1:4" ht="12.75" customHeight="1">
      <c r="A4423" s="2410" t="str">
        <f t="shared" si="79"/>
        <v>&lt; 18%, 3 Kons.-schnitte, mittel</v>
      </c>
      <c r="B4423" s="2410" t="s">
        <v>5308</v>
      </c>
      <c r="C4423" s="2410" t="s">
        <v>1523</v>
      </c>
      <c r="D4423" s="2414" t="s">
        <v>10360</v>
      </c>
    </row>
    <row r="4424" spans="1:4" ht="12.75" customHeight="1">
      <c r="A4424" s="2410" t="str">
        <f t="shared" si="79"/>
        <v>&lt; 18%, 3 Kons.-schnitte, hoch</v>
      </c>
      <c r="B4424" s="2410" t="s">
        <v>5309</v>
      </c>
      <c r="C4424" s="2410" t="s">
        <v>1170</v>
      </c>
      <c r="D4424" s="2414" t="s">
        <v>10361</v>
      </c>
    </row>
    <row r="4425" spans="1:4" ht="12.75" customHeight="1">
      <c r="A4425" s="2410" t="str">
        <f t="shared" si="79"/>
        <v>&lt; 18%, 2 Kons.-schnitte, tief</v>
      </c>
      <c r="B4425" s="2410" t="s">
        <v>1466</v>
      </c>
      <c r="C4425" s="2410" t="s">
        <v>1098</v>
      </c>
      <c r="D4425" s="2414" t="s">
        <v>10334</v>
      </c>
    </row>
    <row r="4426" spans="1:4" ht="12.75" customHeight="1">
      <c r="A4426" s="2410" t="str">
        <f t="shared" si="79"/>
        <v>&lt; 18%, 2 Kons.-schnitte, mittel</v>
      </c>
      <c r="B4426" s="2410" t="s">
        <v>1467</v>
      </c>
      <c r="C4426" s="2410" t="s">
        <v>1998</v>
      </c>
      <c r="D4426" s="2414" t="s">
        <v>10335</v>
      </c>
    </row>
    <row r="4427" spans="1:4" ht="12.75" customHeight="1">
      <c r="A4427" s="2410" t="str">
        <f t="shared" si="79"/>
        <v>&lt; 18%, 2 Kons.-schnitte, hoch</v>
      </c>
      <c r="B4427" s="2410" t="s">
        <v>4219</v>
      </c>
      <c r="C4427" s="2410" t="s">
        <v>1101</v>
      </c>
      <c r="D4427" s="2414" t="s">
        <v>10336</v>
      </c>
    </row>
    <row r="4428" spans="1:4" ht="12.75" customHeight="1">
      <c r="A4428" s="2410" t="str">
        <f t="shared" si="79"/>
        <v>&lt; 18%, 1 Kons.-schnitt, tief</v>
      </c>
      <c r="B4428" s="2410" t="s">
        <v>3716</v>
      </c>
      <c r="C4428" s="2410" t="s">
        <v>1102</v>
      </c>
      <c r="D4428" s="2414" t="s">
        <v>10337</v>
      </c>
    </row>
    <row r="4429" spans="1:4" ht="12.75" customHeight="1">
      <c r="A4429" s="2410" t="str">
        <f t="shared" si="79"/>
        <v>&lt; 18%, 1 Kons.-schnitt, mittel</v>
      </c>
      <c r="B4429" s="2410" t="s">
        <v>3717</v>
      </c>
      <c r="C4429" s="2410" t="s">
        <v>2294</v>
      </c>
      <c r="D4429" s="2414" t="s">
        <v>10338</v>
      </c>
    </row>
    <row r="4430" spans="1:4" ht="12.75" customHeight="1">
      <c r="A4430" s="2410" t="str">
        <f t="shared" si="79"/>
        <v>&lt; 18%, 1 Kons.-schnitt, hoch</v>
      </c>
      <c r="B4430" s="2410" t="s">
        <v>3655</v>
      </c>
      <c r="C4430" s="2410" t="s">
        <v>4134</v>
      </c>
      <c r="D4430" s="2414" t="s">
        <v>10339</v>
      </c>
    </row>
    <row r="4431" spans="1:4" ht="12.75" customHeight="1">
      <c r="A4431" s="2410" t="str">
        <f t="shared" si="79"/>
        <v>18-35%, 3 Kons.-schnitte, tief</v>
      </c>
      <c r="B4431" s="2410" t="s">
        <v>5310</v>
      </c>
      <c r="C4431" s="2410" t="s">
        <v>1171</v>
      </c>
      <c r="D4431" s="2414" t="s">
        <v>10362</v>
      </c>
    </row>
    <row r="4432" spans="1:4" ht="12.75" customHeight="1">
      <c r="A4432" s="2410" t="str">
        <f t="shared" si="79"/>
        <v>18-35%, 3 Kons.-schnitte, mittel</v>
      </c>
      <c r="B4432" s="2410" t="s">
        <v>5397</v>
      </c>
      <c r="C4432" s="2410" t="s">
        <v>1172</v>
      </c>
      <c r="D4432" s="2414" t="s">
        <v>10363</v>
      </c>
    </row>
    <row r="4433" spans="1:4" ht="12.75" customHeight="1">
      <c r="A4433" s="2410" t="str">
        <f t="shared" si="79"/>
        <v>18-35%, 3 Kons.-schnitte, hoch</v>
      </c>
      <c r="B4433" s="2410" t="s">
        <v>3929</v>
      </c>
      <c r="C4433" s="2410" t="s">
        <v>1173</v>
      </c>
      <c r="D4433" s="2414" t="s">
        <v>10364</v>
      </c>
    </row>
    <row r="4434" spans="1:4" ht="12.75" customHeight="1">
      <c r="A4434" s="2410" t="str">
        <f t="shared" si="79"/>
        <v>18-35%, 2 Kons.-schnitte, tief</v>
      </c>
      <c r="B4434" s="2410" t="s">
        <v>491</v>
      </c>
      <c r="C4434" s="2410" t="s">
        <v>4135</v>
      </c>
      <c r="D4434" s="2414" t="s">
        <v>10340</v>
      </c>
    </row>
    <row r="4435" spans="1:4" ht="12.75" customHeight="1">
      <c r="A4435" s="2410" t="str">
        <f t="shared" si="79"/>
        <v>18-35%, 2 Kons.-schnitte, mittel</v>
      </c>
      <c r="B4435" s="2410" t="s">
        <v>2840</v>
      </c>
      <c r="C4435" s="2410" t="s">
        <v>6229</v>
      </c>
      <c r="D4435" s="2414" t="s">
        <v>10341</v>
      </c>
    </row>
    <row r="4436" spans="1:4" ht="12.75" customHeight="1">
      <c r="A4436" s="2410" t="str">
        <f t="shared" si="79"/>
        <v>18-35%, 2 Kons.-schnitte, hoch</v>
      </c>
      <c r="B4436" s="2410" t="s">
        <v>2841</v>
      </c>
      <c r="C4436" s="2410" t="s">
        <v>6567</v>
      </c>
      <c r="D4436" s="2414" t="s">
        <v>10342</v>
      </c>
    </row>
    <row r="4437" spans="1:4" ht="12.75" customHeight="1">
      <c r="A4437" s="2410" t="str">
        <f t="shared" si="79"/>
        <v>18-35%, 1 Kons.-schnitt, tief</v>
      </c>
      <c r="B4437" s="2410" t="s">
        <v>2842</v>
      </c>
      <c r="C4437" s="2410" t="s">
        <v>5555</v>
      </c>
      <c r="D4437" s="2414" t="s">
        <v>10343</v>
      </c>
    </row>
    <row r="4438" spans="1:4" ht="12.75" customHeight="1">
      <c r="A4438" s="2410" t="str">
        <f t="shared" si="79"/>
        <v>18-35%, 1 Kons.-schnitt, mittel</v>
      </c>
      <c r="B4438" s="2410" t="s">
        <v>2843</v>
      </c>
      <c r="C4438" s="2410" t="s">
        <v>5556</v>
      </c>
      <c r="D4438" s="2414" t="s">
        <v>10344</v>
      </c>
    </row>
    <row r="4439" spans="1:4" ht="12.75" customHeight="1">
      <c r="A4439" s="2410" t="str">
        <f t="shared" si="79"/>
        <v>18-35%, 1 Kons.-schnitt, hoch</v>
      </c>
      <c r="B4439" s="2410" t="s">
        <v>4291</v>
      </c>
      <c r="C4439" s="2410" t="s">
        <v>5561</v>
      </c>
      <c r="D4439" s="2414" t="s">
        <v>10345</v>
      </c>
    </row>
    <row r="4440" spans="1:4" ht="12.75" customHeight="1">
      <c r="A4440" s="2410" t="str">
        <f t="shared" si="79"/>
        <v>35-50%, 3 Kons.-schnitte, tief</v>
      </c>
      <c r="B4440" s="2410" t="s">
        <v>3930</v>
      </c>
      <c r="C4440" s="2410" t="s">
        <v>2800</v>
      </c>
      <c r="D4440" s="2414" t="s">
        <v>10365</v>
      </c>
    </row>
    <row r="4441" spans="1:4" ht="12.75" customHeight="1">
      <c r="A4441" s="2410" t="str">
        <f t="shared" si="79"/>
        <v>35-50%, 3 Kons.-schnitte, mittel</v>
      </c>
      <c r="B4441" s="2410" t="s">
        <v>3931</v>
      </c>
      <c r="C4441" s="2410" t="s">
        <v>2801</v>
      </c>
      <c r="D4441" s="2414" t="s">
        <v>10366</v>
      </c>
    </row>
    <row r="4442" spans="1:4" ht="12.75" customHeight="1">
      <c r="A4442" s="2410" t="str">
        <f t="shared" si="79"/>
        <v>35-50%, 3 Kons.-schnitte, hoch</v>
      </c>
      <c r="B4442" s="2410" t="s">
        <v>273</v>
      </c>
      <c r="C4442" s="2410" t="s">
        <v>2802</v>
      </c>
      <c r="D4442" s="2414" t="s">
        <v>10367</v>
      </c>
    </row>
    <row r="4443" spans="1:4" ht="12.75" customHeight="1">
      <c r="A4443" s="2410" t="str">
        <f t="shared" si="79"/>
        <v>35-50%, 2 Kons.-schnitte, tief</v>
      </c>
      <c r="B4443" s="2410" t="s">
        <v>3020</v>
      </c>
      <c r="C4443" s="2410" t="s">
        <v>2833</v>
      </c>
      <c r="D4443" s="2414" t="s">
        <v>10346</v>
      </c>
    </row>
    <row r="4444" spans="1:4" ht="12.75" customHeight="1">
      <c r="A4444" s="2410" t="str">
        <f t="shared" si="79"/>
        <v>35-50%, 2 Kons.-schnitte, mittel</v>
      </c>
      <c r="B4444" s="2410" t="s">
        <v>6953</v>
      </c>
      <c r="C4444" s="2410" t="s">
        <v>7391</v>
      </c>
      <c r="D4444" s="2414" t="s">
        <v>10347</v>
      </c>
    </row>
    <row r="4445" spans="1:4" ht="12.75" customHeight="1">
      <c r="A4445" s="2410" t="str">
        <f t="shared" si="79"/>
        <v>35-50%, 2 Kons.-schnitte, hoch</v>
      </c>
      <c r="B4445" s="2410" t="s">
        <v>6954</v>
      </c>
      <c r="C4445" s="2410" t="s">
        <v>5871</v>
      </c>
      <c r="D4445" s="2414" t="s">
        <v>10348</v>
      </c>
    </row>
    <row r="4446" spans="1:4" ht="12.75" customHeight="1">
      <c r="A4446" s="2410" t="str">
        <f t="shared" si="79"/>
        <v>35-50%, 1 Kons.-schnitt, tief</v>
      </c>
      <c r="B4446" s="2410" t="s">
        <v>6158</v>
      </c>
      <c r="C4446" s="2410" t="s">
        <v>5872</v>
      </c>
      <c r="D4446" s="2414" t="s">
        <v>10349</v>
      </c>
    </row>
    <row r="4447" spans="1:4" ht="12.75" customHeight="1">
      <c r="A4447" s="2410" t="str">
        <f t="shared" si="79"/>
        <v>35-50%, 1 Kons.-schnitt, mittel</v>
      </c>
      <c r="B4447" s="2410" t="s">
        <v>6775</v>
      </c>
      <c r="C4447" s="2410" t="s">
        <v>5244</v>
      </c>
      <c r="D4447" s="2414" t="s">
        <v>10350</v>
      </c>
    </row>
    <row r="4448" spans="1:4" ht="12.75" customHeight="1">
      <c r="A4448" s="2410" t="str">
        <f t="shared" si="79"/>
        <v>35-50%, 1 Kons.-schnitt, hoch</v>
      </c>
      <c r="B4448" s="2410" t="s">
        <v>2896</v>
      </c>
      <c r="C4448" s="2410" t="s">
        <v>4731</v>
      </c>
      <c r="D4448" s="2414" t="s">
        <v>10351</v>
      </c>
    </row>
    <row r="4449" spans="1:4" ht="12.75" customHeight="1">
      <c r="A4449" s="2410" t="str">
        <f t="shared" si="79"/>
        <v>&gt; 50%, 2 Kons.-schnitte, tief</v>
      </c>
      <c r="B4449" s="2410" t="s">
        <v>4828</v>
      </c>
      <c r="C4449" s="2410" t="s">
        <v>2375</v>
      </c>
      <c r="D4449" s="2414" t="s">
        <v>10352</v>
      </c>
    </row>
    <row r="4450" spans="1:4" ht="12.75" customHeight="1">
      <c r="A4450" s="2410" t="str">
        <f t="shared" si="79"/>
        <v>&gt; 50%, 2 Kons.-schnitte, mittel</v>
      </c>
      <c r="B4450" s="2410" t="s">
        <v>7041</v>
      </c>
      <c r="C4450" s="2410" t="s">
        <v>2376</v>
      </c>
      <c r="D4450" s="2414" t="s">
        <v>10353</v>
      </c>
    </row>
    <row r="4451" spans="1:4" ht="12.75" customHeight="1">
      <c r="A4451" s="2410" t="str">
        <f t="shared" ref="A4451:A4482" si="80">IF($A$2=1,B4451,IF($A$2=2,C4451,IF($A$2=3,IF(D4451="",C4451,D4451),"")))</f>
        <v>&gt; 50%, 2 Kons.-schnitte, hoch</v>
      </c>
      <c r="B4451" s="2410" t="s">
        <v>230</v>
      </c>
      <c r="C4451" s="2410" t="s">
        <v>2377</v>
      </c>
      <c r="D4451" s="2414" t="s">
        <v>10354</v>
      </c>
    </row>
    <row r="4452" spans="1:4" ht="12.75" customHeight="1">
      <c r="A4452" s="2410" t="str">
        <f t="shared" si="80"/>
        <v>&gt; 50%, 1 Kons.-schnitt, tief</v>
      </c>
      <c r="B4452" s="2410" t="s">
        <v>3209</v>
      </c>
      <c r="C4452" s="2410" t="s">
        <v>6032</v>
      </c>
      <c r="D4452" s="2414" t="s">
        <v>10355</v>
      </c>
    </row>
    <row r="4453" spans="1:4" ht="12.75" customHeight="1">
      <c r="A4453" s="2410" t="str">
        <f t="shared" si="80"/>
        <v>&gt; 50%, 1 Kons.-schnitt, mittel</v>
      </c>
      <c r="B4453" s="2410" t="s">
        <v>5641</v>
      </c>
      <c r="C4453" s="2410" t="s">
        <v>5861</v>
      </c>
      <c r="D4453" s="2414" t="s">
        <v>10356</v>
      </c>
    </row>
    <row r="4454" spans="1:4" ht="12.75" customHeight="1">
      <c r="A4454" s="2410" t="str">
        <f t="shared" si="80"/>
        <v>&gt; 50%, 1 Kons.-schnitt, hoch</v>
      </c>
      <c r="B4454" s="2410" t="s">
        <v>2366</v>
      </c>
      <c r="C4454" s="2410" t="s">
        <v>6069</v>
      </c>
      <c r="D4454" s="2414" t="s">
        <v>10357</v>
      </c>
    </row>
    <row r="4455" spans="1:4" ht="12.75" customHeight="1">
      <c r="A4455" s="2410" t="str">
        <f t="shared" si="80"/>
        <v>Wiese mittelintensiv</v>
      </c>
      <c r="B4455" s="2410" t="s">
        <v>274</v>
      </c>
      <c r="C4455" s="2410" t="s">
        <v>1069</v>
      </c>
      <c r="D4455" s="2414" t="s">
        <v>10052</v>
      </c>
    </row>
    <row r="4456" spans="1:4" ht="12.75" customHeight="1">
      <c r="A4456" s="2410" t="str">
        <f t="shared" si="80"/>
        <v>&lt; 18%, 4 Kons.-schnitte, tief</v>
      </c>
      <c r="B4456" s="2410" t="s">
        <v>4194</v>
      </c>
      <c r="C4456" s="2410" t="s">
        <v>445</v>
      </c>
      <c r="D4456" s="2414" t="s">
        <v>10368</v>
      </c>
    </row>
    <row r="4457" spans="1:4" ht="12.75" customHeight="1">
      <c r="A4457" s="2410" t="str">
        <f t="shared" si="80"/>
        <v>&lt; 18%, 4 Kons.-schnitte, mittel</v>
      </c>
      <c r="B4457" s="2410" t="s">
        <v>4195</v>
      </c>
      <c r="C4457" s="2410" t="s">
        <v>1899</v>
      </c>
      <c r="D4457" s="2414" t="s">
        <v>10369</v>
      </c>
    </row>
    <row r="4458" spans="1:4" ht="12.75" customHeight="1">
      <c r="A4458" s="2410" t="str">
        <f t="shared" si="80"/>
        <v>&lt; 18%, 4 Kons.-schnitte, hoch</v>
      </c>
      <c r="B4458" s="2410" t="s">
        <v>5463</v>
      </c>
      <c r="C4458" s="2410" t="s">
        <v>2188</v>
      </c>
      <c r="D4458" s="2414" t="s">
        <v>10370</v>
      </c>
    </row>
    <row r="4459" spans="1:4" ht="12.75" customHeight="1">
      <c r="A4459" s="2410" t="str">
        <f t="shared" si="80"/>
        <v>&lt; 18%, 3 Kons.-schnitte, tief</v>
      </c>
      <c r="B4459" s="2410" t="s">
        <v>5307</v>
      </c>
      <c r="C4459" s="2410" t="s">
        <v>1522</v>
      </c>
      <c r="D4459" s="2414" t="s">
        <v>10359</v>
      </c>
    </row>
    <row r="4460" spans="1:4" ht="12.75" customHeight="1">
      <c r="A4460" s="2410" t="str">
        <f t="shared" si="80"/>
        <v>&lt; 18%, 3 Kons.-schnitte, mittel</v>
      </c>
      <c r="B4460" s="2410" t="s">
        <v>5308</v>
      </c>
      <c r="C4460" s="2410" t="s">
        <v>1523</v>
      </c>
      <c r="D4460" s="2414" t="s">
        <v>10360</v>
      </c>
    </row>
    <row r="4461" spans="1:4" ht="12.75" customHeight="1">
      <c r="A4461" s="2410" t="str">
        <f t="shared" si="80"/>
        <v>&lt; 18%, 3 Kons.-schnitte, hoch</v>
      </c>
      <c r="B4461" s="2410" t="s">
        <v>5309</v>
      </c>
      <c r="C4461" s="2410" t="s">
        <v>1170</v>
      </c>
      <c r="D4461" s="2414" t="s">
        <v>10361</v>
      </c>
    </row>
    <row r="4462" spans="1:4" ht="12.75" customHeight="1">
      <c r="A4462" s="2410" t="str">
        <f t="shared" si="80"/>
        <v>&lt; 18%, 2 Kons.-schnitte, tief</v>
      </c>
      <c r="B4462" s="2410" t="s">
        <v>1466</v>
      </c>
      <c r="C4462" s="2410" t="s">
        <v>1098</v>
      </c>
      <c r="D4462" s="2414" t="s">
        <v>10334</v>
      </c>
    </row>
    <row r="4463" spans="1:4" ht="12.75" customHeight="1">
      <c r="A4463" s="2410" t="str">
        <f t="shared" si="80"/>
        <v>&lt; 18%, 2 Kons.-schnitte, mittel</v>
      </c>
      <c r="B4463" s="2410" t="s">
        <v>1467</v>
      </c>
      <c r="C4463" s="2410" t="s">
        <v>1998</v>
      </c>
      <c r="D4463" s="2414" t="s">
        <v>10335</v>
      </c>
    </row>
    <row r="4464" spans="1:4" ht="12.75" customHeight="1">
      <c r="A4464" s="2410" t="str">
        <f t="shared" si="80"/>
        <v>&lt; 18%, 2 Kons.-schnitte, hoch</v>
      </c>
      <c r="B4464" s="2410" t="s">
        <v>4219</v>
      </c>
      <c r="C4464" s="2410" t="s">
        <v>1101</v>
      </c>
      <c r="D4464" s="2414" t="s">
        <v>10336</v>
      </c>
    </row>
    <row r="4465" spans="1:4" ht="12.75" customHeight="1">
      <c r="A4465" s="2410" t="str">
        <f t="shared" si="80"/>
        <v>18-35%, 3 Kons.-schnitte, tief</v>
      </c>
      <c r="B4465" s="2410" t="s">
        <v>5310</v>
      </c>
      <c r="C4465" s="2410" t="s">
        <v>1171</v>
      </c>
      <c r="D4465" s="2414" t="s">
        <v>10362</v>
      </c>
    </row>
    <row r="4466" spans="1:4" ht="12.75" customHeight="1">
      <c r="A4466" s="2410" t="str">
        <f t="shared" si="80"/>
        <v>18-35%, 3 Kons.-schnitte, mittel</v>
      </c>
      <c r="B4466" s="2410" t="s">
        <v>5397</v>
      </c>
      <c r="C4466" s="2410" t="s">
        <v>1172</v>
      </c>
      <c r="D4466" s="2414" t="s">
        <v>10363</v>
      </c>
    </row>
    <row r="4467" spans="1:4" ht="12.75" customHeight="1">
      <c r="A4467" s="2410" t="str">
        <f t="shared" si="80"/>
        <v>18-35%, 3 Kons.-schnitte, hoch</v>
      </c>
      <c r="B4467" s="2410" t="s">
        <v>3929</v>
      </c>
      <c r="C4467" s="2410" t="s">
        <v>1173</v>
      </c>
      <c r="D4467" s="2414" t="s">
        <v>10364</v>
      </c>
    </row>
    <row r="4468" spans="1:4" ht="12.75" customHeight="1">
      <c r="A4468" s="2410" t="str">
        <f t="shared" si="80"/>
        <v>18-35%, 2 Kons.-schnitte, tief</v>
      </c>
      <c r="B4468" s="2410" t="s">
        <v>491</v>
      </c>
      <c r="C4468" s="2410" t="s">
        <v>4135</v>
      </c>
      <c r="D4468" s="2414" t="s">
        <v>10340</v>
      </c>
    </row>
    <row r="4469" spans="1:4" ht="12.75" customHeight="1">
      <c r="A4469" s="2410" t="str">
        <f t="shared" si="80"/>
        <v>18-35%, 2 Kons.-schnitte, mittel</v>
      </c>
      <c r="B4469" s="2410" t="s">
        <v>2840</v>
      </c>
      <c r="C4469" s="2410" t="s">
        <v>6229</v>
      </c>
      <c r="D4469" s="2414" t="s">
        <v>10341</v>
      </c>
    </row>
    <row r="4470" spans="1:4" ht="12.75" customHeight="1">
      <c r="A4470" s="2410" t="str">
        <f t="shared" si="80"/>
        <v>18-35%, 2 Kons.-schnitte, hoch</v>
      </c>
      <c r="B4470" s="2410" t="s">
        <v>2841</v>
      </c>
      <c r="C4470" s="2410" t="s">
        <v>6567</v>
      </c>
      <c r="D4470" s="2414" t="s">
        <v>10342</v>
      </c>
    </row>
    <row r="4471" spans="1:4" ht="12.75" customHeight="1">
      <c r="A4471" s="2410" t="str">
        <f t="shared" si="80"/>
        <v>35-50%, 3 Kons.-schnitte, tief</v>
      </c>
      <c r="B4471" s="2410" t="s">
        <v>3930</v>
      </c>
      <c r="C4471" s="2410" t="s">
        <v>2800</v>
      </c>
      <c r="D4471" s="2414" t="s">
        <v>10365</v>
      </c>
    </row>
    <row r="4472" spans="1:4" ht="12.75" customHeight="1">
      <c r="A4472" s="2410" t="str">
        <f t="shared" si="80"/>
        <v>35-50%, 3 Kons.-schnitte, mittel</v>
      </c>
      <c r="B4472" s="2410" t="s">
        <v>3931</v>
      </c>
      <c r="C4472" s="2410" t="s">
        <v>2801</v>
      </c>
      <c r="D4472" s="2414" t="s">
        <v>10366</v>
      </c>
    </row>
    <row r="4473" spans="1:4" ht="12.75" customHeight="1">
      <c r="A4473" s="2410" t="str">
        <f t="shared" si="80"/>
        <v>35-50%, 3 Kons.-schnitte, hoch</v>
      </c>
      <c r="B4473" s="2410" t="s">
        <v>273</v>
      </c>
      <c r="C4473" s="2410" t="s">
        <v>2802</v>
      </c>
      <c r="D4473" s="2414" t="s">
        <v>10367</v>
      </c>
    </row>
    <row r="4474" spans="1:4" ht="12.75" customHeight="1">
      <c r="A4474" s="2410" t="str">
        <f t="shared" si="80"/>
        <v>35-50%, 2 Kons.-schnitte, tief</v>
      </c>
      <c r="B4474" s="2410" t="s">
        <v>3020</v>
      </c>
      <c r="C4474" s="2410" t="s">
        <v>2833</v>
      </c>
      <c r="D4474" s="2414" t="s">
        <v>10346</v>
      </c>
    </row>
    <row r="4475" spans="1:4" ht="12.75" customHeight="1">
      <c r="A4475" s="2410" t="str">
        <f t="shared" si="80"/>
        <v>35-50%, 2 Kons.-schnitte, mittel</v>
      </c>
      <c r="B4475" s="2410" t="s">
        <v>6953</v>
      </c>
      <c r="C4475" s="2410" t="s">
        <v>7391</v>
      </c>
      <c r="D4475" s="2414" t="s">
        <v>10347</v>
      </c>
    </row>
    <row r="4476" spans="1:4" ht="12.75" customHeight="1">
      <c r="A4476" s="2410" t="str">
        <f t="shared" si="80"/>
        <v>35-50%, 2 Kons.-schnitte, hoch</v>
      </c>
      <c r="B4476" s="2410" t="s">
        <v>6954</v>
      </c>
      <c r="C4476" s="2410" t="s">
        <v>5871</v>
      </c>
      <c r="D4476" s="2414" t="s">
        <v>10348</v>
      </c>
    </row>
    <row r="4477" spans="1:4" ht="12.75" customHeight="1">
      <c r="A4477" s="2410" t="str">
        <f t="shared" si="80"/>
        <v>&gt; 50%, 2 Kons.-schnitte, tief</v>
      </c>
      <c r="B4477" s="2410" t="s">
        <v>4828</v>
      </c>
      <c r="C4477" s="2410" t="s">
        <v>2375</v>
      </c>
      <c r="D4477" s="2414" t="s">
        <v>10352</v>
      </c>
    </row>
    <row r="4478" spans="1:4" ht="12.75" customHeight="1">
      <c r="A4478" s="2410" t="str">
        <f t="shared" si="80"/>
        <v>&gt; 50%, 2 Kons.-schnitte, mittel</v>
      </c>
      <c r="B4478" s="2410" t="s">
        <v>7041</v>
      </c>
      <c r="C4478" s="2410" t="s">
        <v>2376</v>
      </c>
      <c r="D4478" s="2414" t="s">
        <v>10353</v>
      </c>
    </row>
    <row r="4479" spans="1:4" ht="12.75" customHeight="1">
      <c r="A4479" s="2410" t="str">
        <f t="shared" si="80"/>
        <v>&gt; 50%, 2 Kons.-schnitte, hoch</v>
      </c>
      <c r="B4479" s="2410" t="s">
        <v>230</v>
      </c>
      <c r="C4479" s="2410" t="s">
        <v>2377</v>
      </c>
      <c r="D4479" s="2414" t="s">
        <v>10354</v>
      </c>
    </row>
    <row r="4480" spans="1:4" ht="12.75" customHeight="1">
      <c r="A4480" s="2410" t="str">
        <f t="shared" si="80"/>
        <v>Wiese intensiv</v>
      </c>
      <c r="B4480" s="2410" t="s">
        <v>5464</v>
      </c>
      <c r="C4480" s="2410" t="s">
        <v>5153</v>
      </c>
      <c r="D4480" s="2414" t="s">
        <v>10371</v>
      </c>
    </row>
    <row r="4481" spans="1:4" ht="12.75" customHeight="1">
      <c r="A4481" s="2410" t="str">
        <f t="shared" si="80"/>
        <v>&lt; 18%, 5 Kons.-schnitte, tief</v>
      </c>
      <c r="B4481" s="2410" t="s">
        <v>5661</v>
      </c>
      <c r="C4481" s="2410" t="s">
        <v>6673</v>
      </c>
      <c r="D4481" s="2414" t="s">
        <v>10372</v>
      </c>
    </row>
    <row r="4482" spans="1:4" ht="12.75" customHeight="1">
      <c r="A4482" s="2410" t="str">
        <f t="shared" si="80"/>
        <v>&lt; 18%, 5 Kons.-schnitte, mittel</v>
      </c>
      <c r="B4482" s="2410" t="s">
        <v>6108</v>
      </c>
      <c r="C4482" s="2410" t="s">
        <v>2736</v>
      </c>
      <c r="D4482" s="2414" t="s">
        <v>10373</v>
      </c>
    </row>
    <row r="4483" spans="1:4" ht="12.75" customHeight="1">
      <c r="A4483" s="2410" t="str">
        <f t="shared" ref="A4483:A4526" si="81">IF($A$2=1,B4483,IF($A$2=2,C4483,IF($A$2=3,IF(D4483="",C4483,D4483),"")))</f>
        <v>&lt; 18%, 5 Kons.-schnitte, hoch</v>
      </c>
      <c r="B4483" s="2410" t="s">
        <v>4703</v>
      </c>
      <c r="C4483" s="2410" t="s">
        <v>2737</v>
      </c>
      <c r="D4483" s="2414" t="s">
        <v>10374</v>
      </c>
    </row>
    <row r="4484" spans="1:4" ht="12.75" customHeight="1">
      <c r="A4484" s="2410" t="str">
        <f t="shared" si="81"/>
        <v>&lt; 18%, 4 Kons.-schnitte, tief</v>
      </c>
      <c r="B4484" s="2410" t="s">
        <v>4194</v>
      </c>
      <c r="C4484" s="2410" t="s">
        <v>445</v>
      </c>
      <c r="D4484" s="2414" t="s">
        <v>10368</v>
      </c>
    </row>
    <row r="4485" spans="1:4" ht="12.75" customHeight="1">
      <c r="A4485" s="2410" t="str">
        <f t="shared" si="81"/>
        <v>&lt; 18%, 4 Kons.-schnitte, mittel</v>
      </c>
      <c r="B4485" s="2410" t="s">
        <v>4195</v>
      </c>
      <c r="C4485" s="2410" t="s">
        <v>1899</v>
      </c>
      <c r="D4485" s="2414" t="s">
        <v>10369</v>
      </c>
    </row>
    <row r="4486" spans="1:4" ht="12.75" customHeight="1">
      <c r="A4486" s="2410" t="str">
        <f t="shared" si="81"/>
        <v>&lt; 18%, 4 Kons.-schnitte, hoch</v>
      </c>
      <c r="B4486" s="2410" t="s">
        <v>5463</v>
      </c>
      <c r="C4486" s="2410" t="s">
        <v>2188</v>
      </c>
      <c r="D4486" s="2414" t="s">
        <v>10370</v>
      </c>
    </row>
    <row r="4487" spans="1:4" ht="12.75" customHeight="1">
      <c r="A4487" s="2410" t="str">
        <f t="shared" si="81"/>
        <v>&lt; 18%, 3 Kons.-schnitte, tief</v>
      </c>
      <c r="B4487" s="2410" t="s">
        <v>5307</v>
      </c>
      <c r="C4487" s="2410" t="s">
        <v>1522</v>
      </c>
      <c r="D4487" s="2414" t="s">
        <v>10359</v>
      </c>
    </row>
    <row r="4488" spans="1:4" ht="12.75" customHeight="1">
      <c r="A4488" s="2410" t="str">
        <f t="shared" si="81"/>
        <v>&lt; 18%, 3 Kons.-schnitte, mittel</v>
      </c>
      <c r="B4488" s="2410" t="s">
        <v>5308</v>
      </c>
      <c r="C4488" s="2410" t="s">
        <v>1523</v>
      </c>
      <c r="D4488" s="2414" t="s">
        <v>10360</v>
      </c>
    </row>
    <row r="4489" spans="1:4" ht="12.75" customHeight="1">
      <c r="A4489" s="2410" t="str">
        <f t="shared" si="81"/>
        <v>&lt; 18%, 3 Kons.-schnitte, hoch</v>
      </c>
      <c r="B4489" s="2410" t="s">
        <v>5309</v>
      </c>
      <c r="C4489" s="2410" t="s">
        <v>1170</v>
      </c>
      <c r="D4489" s="2414" t="s">
        <v>10361</v>
      </c>
    </row>
    <row r="4490" spans="1:4" ht="12.75" customHeight="1">
      <c r="A4490" s="2410" t="str">
        <f t="shared" si="81"/>
        <v>18-35%, 4 Kons.-schnitte, tief</v>
      </c>
      <c r="B4490" s="2410" t="s">
        <v>3420</v>
      </c>
      <c r="C4490" s="2410" t="s">
        <v>3153</v>
      </c>
      <c r="D4490" s="2414" t="s">
        <v>10375</v>
      </c>
    </row>
    <row r="4491" spans="1:4" ht="12.75" customHeight="1">
      <c r="A4491" s="2410" t="str">
        <f t="shared" si="81"/>
        <v>18-35%, 4 Kons.-schnitte, mittel</v>
      </c>
      <c r="B4491" s="2410" t="s">
        <v>3421</v>
      </c>
      <c r="C4491" s="2410" t="s">
        <v>4331</v>
      </c>
      <c r="D4491" s="2414" t="s">
        <v>10376</v>
      </c>
    </row>
    <row r="4492" spans="1:4" ht="12.75" customHeight="1">
      <c r="A4492" s="2410" t="str">
        <f t="shared" si="81"/>
        <v>18-35%, 4 Kons.-schnitte, hoch</v>
      </c>
      <c r="B4492" s="2410" t="s">
        <v>3422</v>
      </c>
      <c r="C4492" s="2410" t="s">
        <v>4332</v>
      </c>
      <c r="D4492" s="2414" t="s">
        <v>10377</v>
      </c>
    </row>
    <row r="4493" spans="1:4" ht="12.75" customHeight="1">
      <c r="A4493" s="2410" t="str">
        <f t="shared" si="81"/>
        <v>18-35%, 3 Kons.-schnitte, tief</v>
      </c>
      <c r="B4493" s="2410" t="s">
        <v>5310</v>
      </c>
      <c r="C4493" s="2410" t="s">
        <v>1171</v>
      </c>
      <c r="D4493" s="2414" t="s">
        <v>10362</v>
      </c>
    </row>
    <row r="4494" spans="1:4" ht="12.75" customHeight="1">
      <c r="A4494" s="2410" t="str">
        <f t="shared" si="81"/>
        <v>18-35%, 3 Kons.-schnitte, mittel</v>
      </c>
      <c r="B4494" s="2410" t="s">
        <v>5397</v>
      </c>
      <c r="C4494" s="2410" t="s">
        <v>1172</v>
      </c>
      <c r="D4494" s="2414" t="s">
        <v>10363</v>
      </c>
    </row>
    <row r="4495" spans="1:4" ht="12.75" customHeight="1">
      <c r="A4495" s="2410" t="str">
        <f t="shared" si="81"/>
        <v>18-35%, 3 Kons.-schnitte, hoch</v>
      </c>
      <c r="B4495" s="2410" t="s">
        <v>3929</v>
      </c>
      <c r="C4495" s="2410" t="s">
        <v>1173</v>
      </c>
      <c r="D4495" s="2414" t="s">
        <v>10364</v>
      </c>
    </row>
    <row r="4496" spans="1:4" ht="12.75" customHeight="1">
      <c r="A4496" s="2410" t="str">
        <f t="shared" si="81"/>
        <v>35-50%, 3 Kons.-schnitte, tief</v>
      </c>
      <c r="B4496" s="2410" t="s">
        <v>3930</v>
      </c>
      <c r="C4496" s="2410" t="s">
        <v>2800</v>
      </c>
      <c r="D4496" s="2414" t="s">
        <v>10365</v>
      </c>
    </row>
    <row r="4497" spans="1:4" ht="12.75" customHeight="1">
      <c r="A4497" s="2410" t="str">
        <f t="shared" si="81"/>
        <v>35-50%, 3 Kons.-schnitte, mittel</v>
      </c>
      <c r="B4497" s="2410" t="s">
        <v>3931</v>
      </c>
      <c r="C4497" s="2410" t="s">
        <v>2801</v>
      </c>
      <c r="D4497" s="2414" t="s">
        <v>10366</v>
      </c>
    </row>
    <row r="4498" spans="1:4" ht="12.75" customHeight="1">
      <c r="A4498" s="2410" t="str">
        <f t="shared" si="81"/>
        <v>35-50%, 3 Kons.-schnitte, hoch</v>
      </c>
      <c r="B4498" s="2410" t="s">
        <v>273</v>
      </c>
      <c r="C4498" s="2410" t="s">
        <v>2802</v>
      </c>
      <c r="D4498" s="2414" t="s">
        <v>10367</v>
      </c>
    </row>
    <row r="4499" spans="1:4" ht="12.75" customHeight="1">
      <c r="A4499" s="2410" t="str">
        <f t="shared" si="81"/>
        <v>35-50%, 2 Kons.-schnitte, tief</v>
      </c>
      <c r="B4499" s="2410" t="s">
        <v>3020</v>
      </c>
      <c r="C4499" s="2410" t="s">
        <v>2833</v>
      </c>
      <c r="D4499" s="2414" t="s">
        <v>10346</v>
      </c>
    </row>
    <row r="4500" spans="1:4" ht="12.75" customHeight="1">
      <c r="A4500" s="2410" t="str">
        <f t="shared" si="81"/>
        <v>35-50%, 2 Kons.-schnitte, mittel</v>
      </c>
      <c r="B4500" s="2410" t="s">
        <v>6953</v>
      </c>
      <c r="C4500" s="2410" t="s">
        <v>7391</v>
      </c>
      <c r="D4500" s="2414" t="s">
        <v>10347</v>
      </c>
    </row>
    <row r="4501" spans="1:4" ht="12.75" customHeight="1">
      <c r="A4501" s="2410" t="str">
        <f t="shared" si="81"/>
        <v>35-50%, 2 Kons.-schnitte, hoch</v>
      </c>
      <c r="B4501" s="2410" t="s">
        <v>6954</v>
      </c>
      <c r="C4501" s="2410" t="s">
        <v>5871</v>
      </c>
      <c r="D4501" s="2414" t="s">
        <v>10348</v>
      </c>
    </row>
    <row r="4502" spans="1:4" ht="12.75" customHeight="1">
      <c r="A4502" s="2410" t="str">
        <f t="shared" si="81"/>
        <v>Dauerweiden</v>
      </c>
      <c r="B4502" s="2410" t="s">
        <v>3423</v>
      </c>
      <c r="C4502" s="2410" t="s">
        <v>1935</v>
      </c>
      <c r="D4502" s="2414" t="s">
        <v>10378</v>
      </c>
    </row>
    <row r="4503" spans="1:4" ht="12.75" customHeight="1">
      <c r="A4503" s="2410" t="str">
        <f t="shared" si="81"/>
        <v>Düngen, Mulchen, Abschleppen 1 x pro Jahr</v>
      </c>
      <c r="B4503" s="2410" t="s">
        <v>3478</v>
      </c>
      <c r="C4503" s="2410" t="s">
        <v>7052</v>
      </c>
      <c r="D4503" s="2414" t="s">
        <v>3088</v>
      </c>
    </row>
    <row r="4504" spans="1:4" ht="12.75" customHeight="1">
      <c r="A4504" s="2410" t="str">
        <f t="shared" si="81"/>
        <v>Samenproduktion Leguminosen</v>
      </c>
      <c r="B4504" s="2410" t="s">
        <v>5687</v>
      </c>
      <c r="C4504" s="2410" t="s">
        <v>7110</v>
      </c>
      <c r="D4504" s="2414" t="s">
        <v>10379</v>
      </c>
    </row>
    <row r="4505" spans="1:4" ht="12.75" customHeight="1">
      <c r="A4505" s="2410" t="str">
        <f t="shared" si="81"/>
        <v>Mähdrusch, 1 Futterkonservierung</v>
      </c>
      <c r="B4505" s="2410" t="s">
        <v>512</v>
      </c>
      <c r="C4505" s="2410" t="s">
        <v>6198</v>
      </c>
      <c r="D4505" s="2414" t="s">
        <v>10380</v>
      </c>
    </row>
    <row r="4506" spans="1:4" ht="12.75" customHeight="1">
      <c r="A4506" s="2410" t="str">
        <f t="shared" si="81"/>
        <v>Mähdrusch, 2 Futterkonservierungen</v>
      </c>
      <c r="B4506" s="2410" t="s">
        <v>2429</v>
      </c>
      <c r="C4506" s="2410" t="s">
        <v>4804</v>
      </c>
      <c r="D4506" s="2414" t="s">
        <v>10381</v>
      </c>
    </row>
    <row r="4507" spans="1:4" ht="12.75" customHeight="1">
      <c r="A4507" s="2410" t="str">
        <f t="shared" si="81"/>
        <v>Samenproduktion Gräser</v>
      </c>
      <c r="B4507" s="2410" t="s">
        <v>5688</v>
      </c>
      <c r="C4507" s="2410" t="s">
        <v>511</v>
      </c>
      <c r="D4507" s="2414" t="s">
        <v>10382</v>
      </c>
    </row>
    <row r="4508" spans="1:4" ht="12.75" customHeight="1">
      <c r="A4508" s="2410" t="str">
        <f t="shared" si="81"/>
        <v>Mähdrusch, 1 Futterkonservierung</v>
      </c>
      <c r="B4508" s="2410" t="s">
        <v>512</v>
      </c>
      <c r="C4508" s="2410" t="s">
        <v>6198</v>
      </c>
      <c r="D4508" s="2414" t="s">
        <v>10380</v>
      </c>
    </row>
    <row r="4509" spans="1:4" ht="12.75" customHeight="1">
      <c r="A4509" s="2410" t="str">
        <f t="shared" si="81"/>
        <v>Mähdrusch, 2 Futterkonservierungen</v>
      </c>
      <c r="B4509" s="2410" t="s">
        <v>2429</v>
      </c>
      <c r="C4509" s="2410" t="s">
        <v>4804</v>
      </c>
      <c r="D4509" s="2414" t="s">
        <v>10381</v>
      </c>
    </row>
    <row r="4510" spans="1:4" ht="12.75" customHeight="1">
      <c r="A4510" s="2410" t="str">
        <f t="shared" si="81"/>
        <v>Streue- und Torfland</v>
      </c>
      <c r="B4510" s="2410" t="s">
        <v>1061</v>
      </c>
      <c r="C4510" s="2410" t="s">
        <v>3967</v>
      </c>
      <c r="D4510" s="2414" t="s">
        <v>8443</v>
      </c>
    </row>
    <row r="4511" spans="1:4" ht="12.75" customHeight="1">
      <c r="A4511" s="2410" t="str">
        <f t="shared" si="81"/>
        <v>&lt; 18%, tief</v>
      </c>
      <c r="B4511" s="2410" t="s">
        <v>3479</v>
      </c>
      <c r="C4511" s="2410" t="s">
        <v>7053</v>
      </c>
      <c r="D4511" s="2414" t="s">
        <v>10383</v>
      </c>
    </row>
    <row r="4512" spans="1:4" ht="12.75" customHeight="1">
      <c r="A4512" s="2410" t="str">
        <f t="shared" si="81"/>
        <v>&lt; 18%, mittel</v>
      </c>
      <c r="B4512" s="2410" t="s">
        <v>3480</v>
      </c>
      <c r="C4512" s="2410" t="s">
        <v>7054</v>
      </c>
      <c r="D4512" s="2414" t="s">
        <v>10384</v>
      </c>
    </row>
    <row r="4513" spans="1:4" ht="12.75" customHeight="1">
      <c r="A4513" s="2410" t="str">
        <f t="shared" si="81"/>
        <v>&lt; 18%, hoch</v>
      </c>
      <c r="B4513" s="2410" t="s">
        <v>3481</v>
      </c>
      <c r="C4513" s="2410" t="s">
        <v>7055</v>
      </c>
      <c r="D4513" s="2414" t="s">
        <v>10385</v>
      </c>
    </row>
    <row r="4514" spans="1:4" ht="12.75" customHeight="1">
      <c r="A4514" s="2410" t="str">
        <f t="shared" si="81"/>
        <v>18-35%, tief</v>
      </c>
      <c r="B4514" s="2410" t="s">
        <v>3482</v>
      </c>
      <c r="C4514" s="2410" t="s">
        <v>7056</v>
      </c>
      <c r="D4514" s="2414" t="s">
        <v>10386</v>
      </c>
    </row>
    <row r="4515" spans="1:4" ht="12.75" customHeight="1">
      <c r="A4515" s="2410" t="str">
        <f t="shared" si="81"/>
        <v>18-35%, mittel</v>
      </c>
      <c r="B4515" s="2410" t="s">
        <v>3079</v>
      </c>
      <c r="C4515" s="2410" t="s">
        <v>7057</v>
      </c>
      <c r="D4515" s="2414" t="s">
        <v>10387</v>
      </c>
    </row>
    <row r="4516" spans="1:4" ht="12.75" customHeight="1">
      <c r="A4516" s="2410" t="str">
        <f t="shared" si="81"/>
        <v>18-35%, hoch</v>
      </c>
      <c r="B4516" s="2410" t="s">
        <v>3080</v>
      </c>
      <c r="C4516" s="2410" t="s">
        <v>6129</v>
      </c>
      <c r="D4516" s="2414" t="s">
        <v>10388</v>
      </c>
    </row>
    <row r="4517" spans="1:4" ht="12.75" customHeight="1">
      <c r="A4517" s="2410" t="str">
        <f t="shared" si="81"/>
        <v>35-50%,  tief</v>
      </c>
      <c r="B4517" s="2410" t="s">
        <v>2568</v>
      </c>
      <c r="C4517" s="2410" t="s">
        <v>6130</v>
      </c>
      <c r="D4517" s="2414" t="s">
        <v>10389</v>
      </c>
    </row>
    <row r="4518" spans="1:4" ht="12.75" customHeight="1">
      <c r="A4518" s="2410" t="str">
        <f t="shared" si="81"/>
        <v>35-50%, mittel</v>
      </c>
      <c r="B4518" s="2410" t="s">
        <v>2569</v>
      </c>
      <c r="C4518" s="2410" t="s">
        <v>1415</v>
      </c>
      <c r="D4518" s="2414" t="s">
        <v>10390</v>
      </c>
    </row>
    <row r="4519" spans="1:4" ht="12.75" customHeight="1">
      <c r="A4519" s="2410" t="str">
        <f t="shared" si="81"/>
        <v>35-50%, hoch</v>
      </c>
      <c r="B4519" s="2410" t="s">
        <v>2570</v>
      </c>
      <c r="C4519" s="2410" t="s">
        <v>650</v>
      </c>
      <c r="D4519" s="2414" t="s">
        <v>10391</v>
      </c>
    </row>
    <row r="4520" spans="1:4" ht="12.75" customHeight="1">
      <c r="A4520" s="2410" t="str">
        <f t="shared" si="81"/>
        <v>Zwischenfutter</v>
      </c>
      <c r="B4520" s="2410" t="s">
        <v>2174</v>
      </c>
      <c r="C4520" s="2410" t="s">
        <v>6415</v>
      </c>
      <c r="D4520" s="2414" t="s">
        <v>10392</v>
      </c>
    </row>
    <row r="4521" spans="1:4" ht="12.75" customHeight="1">
      <c r="A4521" s="2410" t="str">
        <f t="shared" si="81"/>
        <v>Tief</v>
      </c>
      <c r="B4521" s="2410" t="s">
        <v>2571</v>
      </c>
      <c r="C4521" s="2410" t="s">
        <v>651</v>
      </c>
      <c r="D4521" s="2414" t="s">
        <v>10393</v>
      </c>
    </row>
    <row r="4522" spans="1:4" ht="12.75" customHeight="1">
      <c r="A4522" s="2410" t="str">
        <f t="shared" si="81"/>
        <v>Mittel</v>
      </c>
      <c r="B4522" s="2410" t="s">
        <v>2572</v>
      </c>
      <c r="C4522" s="2410" t="s">
        <v>652</v>
      </c>
      <c r="D4522" s="2414" t="s">
        <v>10394</v>
      </c>
    </row>
    <row r="4523" spans="1:4" ht="12.75" customHeight="1">
      <c r="A4523" s="2410" t="str">
        <f t="shared" si="81"/>
        <v>Hoch</v>
      </c>
      <c r="B4523" s="2410" t="s">
        <v>2573</v>
      </c>
      <c r="C4523" s="2410" t="s">
        <v>4094</v>
      </c>
      <c r="D4523" s="2414" t="s">
        <v>10395</v>
      </c>
    </row>
    <row r="4524" spans="1:4" ht="12.75" customHeight="1">
      <c r="A4524" s="2410" t="str">
        <f t="shared" si="81"/>
        <v>KW/ZF/GD ansäen</v>
      </c>
      <c r="B4524" s="2410" t="s">
        <v>503</v>
      </c>
      <c r="C4524" s="2410" t="s">
        <v>5594</v>
      </c>
      <c r="D4524" s="2414" t="s">
        <v>10396</v>
      </c>
    </row>
    <row r="4525" spans="1:4" ht="12.75" customHeight="1">
      <c r="A4525" s="2410" t="str">
        <f t="shared" si="81"/>
        <v>Tief</v>
      </c>
      <c r="B4525" s="2410" t="s">
        <v>2571</v>
      </c>
      <c r="C4525" s="2410" t="s">
        <v>651</v>
      </c>
      <c r="D4525" s="2414" t="s">
        <v>10393</v>
      </c>
    </row>
    <row r="4526" spans="1:4" ht="12.75" customHeight="1">
      <c r="A4526" s="2410" t="str">
        <f t="shared" si="81"/>
        <v>Mittel</v>
      </c>
      <c r="B4526" s="2410" t="s">
        <v>2572</v>
      </c>
      <c r="C4526" s="2410" t="s">
        <v>652</v>
      </c>
      <c r="D4526" s="2414" t="s">
        <v>10394</v>
      </c>
    </row>
    <row r="4527" spans="1:4" ht="12.75" customHeight="1">
      <c r="A4527" s="2410" t="str">
        <f t="shared" ref="A4527:A4590" si="82">IF($A$2=1,B4527,IF($A$2=2,C4527,IF($A$2=3,IF(D4527="",C4527,D4527),"")))</f>
        <v>Hoch</v>
      </c>
      <c r="B4527" s="2410" t="s">
        <v>2573</v>
      </c>
      <c r="C4527" s="2410" t="s">
        <v>4094</v>
      </c>
      <c r="D4527" s="2414" t="s">
        <v>10395</v>
      </c>
    </row>
    <row r="4528" spans="1:4" ht="12.75" customHeight="1">
      <c r="A4528" s="2410" t="str">
        <f t="shared" si="82"/>
        <v>Rotationsbrache ansäen</v>
      </c>
      <c r="B4528" s="2410" t="s">
        <v>3213</v>
      </c>
      <c r="C4528" s="2410" t="s">
        <v>807</v>
      </c>
      <c r="D4528" s="2414" t="s">
        <v>7076</v>
      </c>
    </row>
    <row r="4529" spans="1:4" ht="12.75" customHeight="1">
      <c r="A4529" s="2410" t="str">
        <f t="shared" si="82"/>
        <v>Tief</v>
      </c>
      <c r="B4529" s="2410" t="s">
        <v>2571</v>
      </c>
      <c r="C4529" s="2410" t="s">
        <v>651</v>
      </c>
      <c r="D4529" s="2414" t="s">
        <v>10393</v>
      </c>
    </row>
    <row r="4530" spans="1:4" ht="12.75" customHeight="1">
      <c r="A4530" s="2410" t="str">
        <f t="shared" si="82"/>
        <v>Mittel</v>
      </c>
      <c r="B4530" s="2410" t="s">
        <v>2572</v>
      </c>
      <c r="C4530" s="2410" t="s">
        <v>652</v>
      </c>
      <c r="D4530" s="2414" t="s">
        <v>10394</v>
      </c>
    </row>
    <row r="4531" spans="1:4" ht="12.75" customHeight="1">
      <c r="A4531" s="2410" t="str">
        <f t="shared" si="82"/>
        <v>Hoch</v>
      </c>
      <c r="B4531" s="2410" t="s">
        <v>2573</v>
      </c>
      <c r="C4531" s="2410" t="s">
        <v>4094</v>
      </c>
      <c r="D4531" s="2414" t="s">
        <v>10395</v>
      </c>
    </row>
    <row r="4532" spans="1:4" ht="12.75" customHeight="1">
      <c r="A4532" s="2410" t="str">
        <f t="shared" si="82"/>
        <v>Buntbrache ansäen</v>
      </c>
      <c r="B4532" s="2410" t="s">
        <v>6581</v>
      </c>
      <c r="C4532" s="2410" t="s">
        <v>78</v>
      </c>
      <c r="D4532" s="2414" t="s">
        <v>1631</v>
      </c>
    </row>
    <row r="4533" spans="1:4" ht="12.75" customHeight="1">
      <c r="A4533" s="2410" t="str">
        <f t="shared" si="82"/>
        <v>Tief</v>
      </c>
      <c r="B4533" s="2410" t="s">
        <v>2571</v>
      </c>
      <c r="C4533" s="2410" t="s">
        <v>651</v>
      </c>
      <c r="D4533" s="2414" t="s">
        <v>10393</v>
      </c>
    </row>
    <row r="4534" spans="1:4" ht="12.75" customHeight="1">
      <c r="A4534" s="2410" t="str">
        <f t="shared" si="82"/>
        <v>Mittel</v>
      </c>
      <c r="B4534" s="2410" t="s">
        <v>2572</v>
      </c>
      <c r="C4534" s="2410" t="s">
        <v>652</v>
      </c>
      <c r="D4534" s="2414" t="s">
        <v>10394</v>
      </c>
    </row>
    <row r="4535" spans="1:4" ht="12.75" customHeight="1">
      <c r="A4535" s="2410" t="str">
        <f t="shared" si="82"/>
        <v>Hoch</v>
      </c>
      <c r="B4535" s="2410" t="s">
        <v>2573</v>
      </c>
      <c r="C4535" s="2410" t="s">
        <v>4094</v>
      </c>
      <c r="D4535" s="2414" t="s">
        <v>10395</v>
      </c>
    </row>
    <row r="4536" spans="1:4" ht="12.75" customHeight="1">
      <c r="A4536" s="2410" t="str">
        <f t="shared" si="82"/>
        <v>Saum auf Ackerfläche ansäen</v>
      </c>
      <c r="B4536" s="2410" t="s">
        <v>4226</v>
      </c>
      <c r="C4536" s="2410" t="s">
        <v>5072</v>
      </c>
      <c r="D4536" s="2414" t="s">
        <v>10397</v>
      </c>
    </row>
    <row r="4537" spans="1:4" ht="12.75" customHeight="1">
      <c r="A4537" s="2410" t="str">
        <f t="shared" si="82"/>
        <v>Nützlingsstreifen ansähen</v>
      </c>
      <c r="B4537" s="2781" t="s">
        <v>11846</v>
      </c>
      <c r="C4537" s="2781" t="s">
        <v>11847</v>
      </c>
      <c r="D4537" s="2414" t="s">
        <v>10398</v>
      </c>
    </row>
    <row r="4538" spans="1:4" ht="12.75" customHeight="1">
      <c r="A4538" s="2410" t="str">
        <f t="shared" si="82"/>
        <v>Tief</v>
      </c>
      <c r="B4538" s="2410" t="s">
        <v>2571</v>
      </c>
      <c r="C4538" s="2410" t="s">
        <v>651</v>
      </c>
      <c r="D4538" s="2414" t="s">
        <v>10393</v>
      </c>
    </row>
    <row r="4539" spans="1:4" ht="12.75" customHeight="1">
      <c r="A4539" s="2410" t="str">
        <f t="shared" si="82"/>
        <v>Mittel</v>
      </c>
      <c r="B4539" s="2410" t="s">
        <v>2572</v>
      </c>
      <c r="C4539" s="2410" t="s">
        <v>652</v>
      </c>
      <c r="D4539" s="2414" t="s">
        <v>10394</v>
      </c>
    </row>
    <row r="4540" spans="1:4" ht="12.75" customHeight="1">
      <c r="A4540" s="2410" t="str">
        <f t="shared" si="82"/>
        <v>Hoch</v>
      </c>
      <c r="B4540" s="2410" t="s">
        <v>2573</v>
      </c>
      <c r="C4540" s="2410" t="s">
        <v>4094</v>
      </c>
      <c r="D4540" s="2414" t="s">
        <v>10395</v>
      </c>
    </row>
    <row r="4541" spans="1:4" ht="12.75" customHeight="1">
      <c r="A4541" s="2410" t="str">
        <f t="shared" si="82"/>
        <v>Getreide, Raps</v>
      </c>
      <c r="B4541" s="2410" t="s">
        <v>4945</v>
      </c>
      <c r="C4541" s="2410" t="s">
        <v>4229</v>
      </c>
      <c r="D4541" s="2414" t="s">
        <v>11301</v>
      </c>
    </row>
    <row r="4542" spans="1:4" ht="12.75" customHeight="1">
      <c r="A4542" s="2410" t="str">
        <f t="shared" si="82"/>
        <v>Tief</v>
      </c>
      <c r="B4542" s="2410" t="s">
        <v>2571</v>
      </c>
      <c r="C4542" s="2410" t="s">
        <v>651</v>
      </c>
      <c r="D4542" s="2414" t="s">
        <v>10393</v>
      </c>
    </row>
    <row r="4543" spans="1:4" ht="12.75" customHeight="1">
      <c r="A4543" s="2410" t="str">
        <f t="shared" si="82"/>
        <v>Mittel</v>
      </c>
      <c r="B4543" s="2410" t="s">
        <v>2572</v>
      </c>
      <c r="C4543" s="2410" t="s">
        <v>652</v>
      </c>
      <c r="D4543" s="2414" t="s">
        <v>10394</v>
      </c>
    </row>
    <row r="4544" spans="1:4" ht="12.75" customHeight="1">
      <c r="A4544" s="2410" t="str">
        <f t="shared" si="82"/>
        <v>Hoch</v>
      </c>
      <c r="B4544" s="2410" t="s">
        <v>2573</v>
      </c>
      <c r="C4544" s="2410" t="s">
        <v>4094</v>
      </c>
      <c r="D4544" s="2414" t="s">
        <v>10395</v>
      </c>
    </row>
    <row r="4545" spans="1:4" ht="12.75" customHeight="1">
      <c r="A4545" s="2410" t="str">
        <f t="shared" si="82"/>
        <v>Silomais</v>
      </c>
      <c r="B4545" s="2410" t="s">
        <v>1024</v>
      </c>
      <c r="C4545" s="2410" t="s">
        <v>5644</v>
      </c>
      <c r="D4545" s="2414" t="s">
        <v>2040</v>
      </c>
    </row>
    <row r="4546" spans="1:4" ht="12.75" customHeight="1">
      <c r="A4546" s="2410" t="str">
        <f t="shared" si="82"/>
        <v>Tief</v>
      </c>
      <c r="B4546" s="2410" t="s">
        <v>2571</v>
      </c>
      <c r="C4546" s="2410" t="s">
        <v>651</v>
      </c>
      <c r="D4546" s="2414" t="s">
        <v>10393</v>
      </c>
    </row>
    <row r="4547" spans="1:4" ht="12.75" customHeight="1">
      <c r="A4547" s="2410" t="str">
        <f t="shared" si="82"/>
        <v>Mittel</v>
      </c>
      <c r="B4547" s="2410" t="s">
        <v>2572</v>
      </c>
      <c r="C4547" s="2410" t="s">
        <v>652</v>
      </c>
      <c r="D4547" s="2414" t="s">
        <v>10394</v>
      </c>
    </row>
    <row r="4548" spans="1:4" ht="12.75" customHeight="1">
      <c r="A4548" s="2410" t="str">
        <f t="shared" si="82"/>
        <v>Hoch</v>
      </c>
      <c r="B4548" s="2410" t="s">
        <v>2573</v>
      </c>
      <c r="C4548" s="2410" t="s">
        <v>4094</v>
      </c>
      <c r="D4548" s="2414" t="s">
        <v>10395</v>
      </c>
    </row>
    <row r="4549" spans="1:4" ht="12.75" customHeight="1">
      <c r="A4549" s="2410" t="str">
        <f t="shared" si="82"/>
        <v>Körnermais und CCM</v>
      </c>
      <c r="B4549" s="2410" t="s">
        <v>4946</v>
      </c>
      <c r="C4549" s="2410" t="s">
        <v>4768</v>
      </c>
      <c r="D4549" s="2414" t="s">
        <v>1632</v>
      </c>
    </row>
    <row r="4550" spans="1:4" ht="12.75" customHeight="1">
      <c r="A4550" s="2410" t="str">
        <f t="shared" si="82"/>
        <v>Tief</v>
      </c>
      <c r="B4550" s="2410" t="s">
        <v>2571</v>
      </c>
      <c r="C4550" s="2410" t="s">
        <v>651</v>
      </c>
      <c r="D4550" s="2414" t="s">
        <v>10393</v>
      </c>
    </row>
    <row r="4551" spans="1:4" ht="12.75" customHeight="1">
      <c r="A4551" s="2410" t="str">
        <f t="shared" si="82"/>
        <v>Mittel</v>
      </c>
      <c r="B4551" s="2410" t="s">
        <v>2572</v>
      </c>
      <c r="C4551" s="2410" t="s">
        <v>652</v>
      </c>
      <c r="D4551" s="2414" t="s">
        <v>10394</v>
      </c>
    </row>
    <row r="4552" spans="1:4" ht="12.75" customHeight="1">
      <c r="A4552" s="2410" t="str">
        <f t="shared" si="82"/>
        <v>Hoch</v>
      </c>
      <c r="B4552" s="2410" t="s">
        <v>2573</v>
      </c>
      <c r="C4552" s="2410" t="s">
        <v>4094</v>
      </c>
      <c r="D4552" s="2414" t="s">
        <v>10395</v>
      </c>
    </row>
    <row r="4553" spans="1:4" ht="12.75" customHeight="1">
      <c r="A4553" s="2410" t="str">
        <f t="shared" si="82"/>
        <v>Kartoffeln</v>
      </c>
      <c r="B4553" s="2410" t="s">
        <v>5700</v>
      </c>
      <c r="C4553" s="2410" t="s">
        <v>1785</v>
      </c>
      <c r="D4553" s="2414" t="s">
        <v>8667</v>
      </c>
    </row>
    <row r="4554" spans="1:4" ht="12.75" customHeight="1">
      <c r="A4554" s="2410" t="str">
        <f t="shared" si="82"/>
        <v>Tief, nicht sortiert, Ernte im Lohn</v>
      </c>
      <c r="B4554" s="2410" t="s">
        <v>4947</v>
      </c>
      <c r="C4554" s="2410" t="s">
        <v>4095</v>
      </c>
      <c r="D4554" s="2414" t="s">
        <v>10400</v>
      </c>
    </row>
    <row r="4555" spans="1:4" ht="12.75" customHeight="1">
      <c r="A4555" s="2410" t="str">
        <f t="shared" si="82"/>
        <v>Mittel, nicht sortiert</v>
      </c>
      <c r="B4555" s="2410" t="s">
        <v>4186</v>
      </c>
      <c r="C4555" s="2410" t="s">
        <v>2236</v>
      </c>
      <c r="D4555" s="2414" t="s">
        <v>10401</v>
      </c>
    </row>
    <row r="4556" spans="1:4" ht="12.75" customHeight="1">
      <c r="A4556" s="2410" t="str">
        <f t="shared" si="82"/>
        <v>Hoch, nicht sortiert</v>
      </c>
      <c r="B4556" s="2410" t="s">
        <v>373</v>
      </c>
      <c r="C4556" s="2410" t="s">
        <v>2237</v>
      </c>
      <c r="D4556" s="2414" t="s">
        <v>10402</v>
      </c>
    </row>
    <row r="4557" spans="1:4" ht="12.75" customHeight="1">
      <c r="A4557" s="2410" t="str">
        <f t="shared" si="82"/>
        <v>Zuckerrüben, Futterrüben</v>
      </c>
      <c r="B4557" s="2410" t="s">
        <v>4227</v>
      </c>
      <c r="C4557" s="2410" t="s">
        <v>3384</v>
      </c>
      <c r="D4557" s="2414" t="s">
        <v>10403</v>
      </c>
    </row>
    <row r="4558" spans="1:4" ht="12.75" customHeight="1">
      <c r="A4558" s="2410" t="str">
        <f t="shared" si="82"/>
        <v>Tief</v>
      </c>
      <c r="B4558" s="2410" t="s">
        <v>2571</v>
      </c>
      <c r="C4558" s="2410" t="s">
        <v>651</v>
      </c>
      <c r="D4558" s="2414" t="s">
        <v>10393</v>
      </c>
    </row>
    <row r="4559" spans="1:4" ht="12.75" customHeight="1">
      <c r="A4559" s="2410" t="str">
        <f t="shared" si="82"/>
        <v>Mittel</v>
      </c>
      <c r="B4559" s="2410" t="s">
        <v>2572</v>
      </c>
      <c r="C4559" s="2410" t="s">
        <v>652</v>
      </c>
      <c r="D4559" s="2414" t="s">
        <v>10394</v>
      </c>
    </row>
    <row r="4560" spans="1:4" ht="12.75" customHeight="1">
      <c r="A4560" s="2410" t="str">
        <f t="shared" si="82"/>
        <v>Hoch</v>
      </c>
      <c r="B4560" s="2410" t="s">
        <v>2573</v>
      </c>
      <c r="C4560" s="2410" t="s">
        <v>4094</v>
      </c>
      <c r="D4560" s="2414" t="s">
        <v>10395</v>
      </c>
    </row>
    <row r="4561" spans="1:4" ht="12.75" customHeight="1">
      <c r="A4561" s="2410" t="str">
        <f t="shared" si="82"/>
        <v>Eiweisserbsen, Acker- u. Sojabohnen</v>
      </c>
      <c r="B4561" s="2410" t="s">
        <v>4228</v>
      </c>
      <c r="C4561" s="2410" t="s">
        <v>3385</v>
      </c>
      <c r="D4561" s="2414" t="s">
        <v>10404</v>
      </c>
    </row>
    <row r="4562" spans="1:4" ht="12.75" customHeight="1">
      <c r="A4562" s="2410" t="str">
        <f t="shared" si="82"/>
        <v>Tief</v>
      </c>
      <c r="B4562" s="2410" t="s">
        <v>2571</v>
      </c>
      <c r="C4562" s="2410" t="s">
        <v>651</v>
      </c>
      <c r="D4562" s="2414" t="s">
        <v>10393</v>
      </c>
    </row>
    <row r="4563" spans="1:4" ht="12.75" customHeight="1">
      <c r="A4563" s="2410" t="str">
        <f t="shared" si="82"/>
        <v>Mittel</v>
      </c>
      <c r="B4563" s="2410" t="s">
        <v>2572</v>
      </c>
      <c r="C4563" s="2410" t="s">
        <v>652</v>
      </c>
      <c r="D4563" s="2414" t="s">
        <v>10394</v>
      </c>
    </row>
    <row r="4564" spans="1:4" ht="12.75" customHeight="1">
      <c r="A4564" s="2410" t="str">
        <f t="shared" si="82"/>
        <v>Hoch</v>
      </c>
      <c r="B4564" s="2410" t="s">
        <v>2573</v>
      </c>
      <c r="C4564" s="2410" t="s">
        <v>4094</v>
      </c>
      <c r="D4564" s="2414" t="s">
        <v>10395</v>
      </c>
    </row>
    <row r="4565" spans="1:4" ht="12.75" customHeight="1">
      <c r="A4565" s="2410" t="str">
        <f t="shared" si="82"/>
        <v>Sonnenblumen</v>
      </c>
      <c r="B4565" s="2410" t="s">
        <v>4741</v>
      </c>
      <c r="C4565" s="2410" t="s">
        <v>5615</v>
      </c>
      <c r="D4565" s="2414" t="s">
        <v>797</v>
      </c>
    </row>
    <row r="4566" spans="1:4" ht="12.75" customHeight="1">
      <c r="A4566" s="2410" t="str">
        <f t="shared" si="82"/>
        <v>Tief</v>
      </c>
      <c r="B4566" s="2410" t="s">
        <v>2571</v>
      </c>
      <c r="C4566" s="2410" t="s">
        <v>651</v>
      </c>
      <c r="D4566" s="2414" t="s">
        <v>10393</v>
      </c>
    </row>
    <row r="4567" spans="1:4" ht="12.75" customHeight="1">
      <c r="A4567" s="2410" t="str">
        <f t="shared" si="82"/>
        <v>Mittel</v>
      </c>
      <c r="B4567" s="2410" t="s">
        <v>2572</v>
      </c>
      <c r="C4567" s="2410" t="s">
        <v>652</v>
      </c>
      <c r="D4567" s="2414" t="s">
        <v>10394</v>
      </c>
    </row>
    <row r="4568" spans="1:4" ht="12.75" customHeight="1">
      <c r="A4568" s="2410" t="str">
        <f t="shared" si="82"/>
        <v>Hoch</v>
      </c>
      <c r="B4568" s="2410" t="s">
        <v>2573</v>
      </c>
      <c r="C4568" s="2410" t="s">
        <v>4094</v>
      </c>
      <c r="D4568" s="2414" t="s">
        <v>10395</v>
      </c>
    </row>
    <row r="4569" spans="1:4" ht="12.75" customHeight="1">
      <c r="A4569" s="2410" t="str">
        <f t="shared" si="82"/>
        <v>Freilandgemüse</v>
      </c>
      <c r="B4569" s="2410" t="s">
        <v>1059</v>
      </c>
      <c r="C4569" s="2410" t="s">
        <v>4374</v>
      </c>
      <c r="D4569" s="2414" t="s">
        <v>10405</v>
      </c>
    </row>
    <row r="4570" spans="1:4" ht="12.75" customHeight="1">
      <c r="A4570" s="2410" t="str">
        <f t="shared" si="82"/>
        <v>Randen, Maschinenernte</v>
      </c>
      <c r="B4570" s="2410" t="s">
        <v>7471</v>
      </c>
      <c r="C4570" s="2410" t="s">
        <v>7472</v>
      </c>
      <c r="D4570" s="2414" t="s">
        <v>4477</v>
      </c>
    </row>
    <row r="4571" spans="1:4" ht="12.75" customHeight="1">
      <c r="A4571" s="2410" t="str">
        <f t="shared" si="82"/>
        <v>Randen, Handernte</v>
      </c>
      <c r="B4571" s="2410" t="s">
        <v>7473</v>
      </c>
      <c r="C4571" s="2410" t="s">
        <v>7474</v>
      </c>
      <c r="D4571" s="2414" t="s">
        <v>4478</v>
      </c>
    </row>
    <row r="4572" spans="1:4" ht="12.75" customHeight="1">
      <c r="A4572" s="2410" t="str">
        <f t="shared" si="82"/>
        <v>Einschneidekabis, Handernte</v>
      </c>
      <c r="B4572" s="2410" t="s">
        <v>7475</v>
      </c>
      <c r="C4572" s="2410" t="s">
        <v>7476</v>
      </c>
      <c r="D4572" s="2414" t="s">
        <v>10406</v>
      </c>
    </row>
    <row r="4573" spans="1:4" ht="12.75" customHeight="1">
      <c r="A4573" s="2410" t="str">
        <f t="shared" si="82"/>
        <v>Karotten, Maschinenernte</v>
      </c>
      <c r="B4573" s="2410" t="s">
        <v>7477</v>
      </c>
      <c r="C4573" s="2410" t="s">
        <v>7478</v>
      </c>
      <c r="D4573" s="2414" t="s">
        <v>10407</v>
      </c>
    </row>
    <row r="4574" spans="1:4" ht="12.75" customHeight="1">
      <c r="A4574" s="2410" t="str">
        <f t="shared" si="82"/>
        <v>Karotten, Handernte</v>
      </c>
      <c r="B4574" s="2410" t="s">
        <v>7479</v>
      </c>
      <c r="C4574" s="2410" t="s">
        <v>7480</v>
      </c>
      <c r="D4574" s="2414" t="s">
        <v>10408</v>
      </c>
    </row>
    <row r="4575" spans="1:4" ht="12.75" customHeight="1">
      <c r="A4575" s="2410" t="str">
        <f t="shared" si="82"/>
        <v>Rosenkohl, Handernte</v>
      </c>
      <c r="B4575" s="2410" t="s">
        <v>7481</v>
      </c>
      <c r="C4575" s="2410" t="s">
        <v>7482</v>
      </c>
      <c r="D4575" s="2424" t="s">
        <v>10409</v>
      </c>
    </row>
    <row r="4576" spans="1:4" ht="12.75" customHeight="1">
      <c r="A4576" s="2410" t="str">
        <f t="shared" si="82"/>
        <v>Rot-, Weisskabis, Handernte</v>
      </c>
      <c r="B4576" s="2410" t="s">
        <v>7483</v>
      </c>
      <c r="C4576" s="2410" t="s">
        <v>7498</v>
      </c>
      <c r="D4576" s="2424" t="s">
        <v>10410</v>
      </c>
    </row>
    <row r="4577" spans="1:4" ht="12.75" customHeight="1">
      <c r="A4577" s="2410" t="str">
        <f t="shared" si="82"/>
        <v>Wirz, Handernte</v>
      </c>
      <c r="B4577" s="2410" t="s">
        <v>7499</v>
      </c>
      <c r="C4577" s="2410" t="s">
        <v>7500</v>
      </c>
      <c r="D4577" s="2424" t="s">
        <v>10411</v>
      </c>
    </row>
    <row r="4578" spans="1:4" ht="12.75" customHeight="1">
      <c r="A4578" s="2410" t="str">
        <f t="shared" si="82"/>
        <v>Sellerie, Handernte</v>
      </c>
      <c r="B4578" s="2410" t="s">
        <v>7501</v>
      </c>
      <c r="C4578" s="2410" t="s">
        <v>7502</v>
      </c>
      <c r="D4578" s="2424" t="s">
        <v>10412</v>
      </c>
    </row>
    <row r="4579" spans="1:4" ht="12.75" customHeight="1">
      <c r="A4579" s="2410" t="str">
        <f t="shared" si="82"/>
        <v>Zwiebeln, Maschinenernte</v>
      </c>
      <c r="B4579" s="2410" t="s">
        <v>7503</v>
      </c>
      <c r="C4579" s="2410" t="s">
        <v>7504</v>
      </c>
      <c r="D4579" s="2424" t="s">
        <v>10413</v>
      </c>
    </row>
    <row r="4580" spans="1:4" ht="12.75" customHeight="1">
      <c r="A4580" s="2410" t="str">
        <f t="shared" si="82"/>
        <v>Freilandgemüse als Zweitkultur</v>
      </c>
      <c r="B4580" s="2410" t="s">
        <v>5838</v>
      </c>
      <c r="C4580" s="2410" t="s">
        <v>1810</v>
      </c>
      <c r="D4580" s="2424" t="s">
        <v>10414</v>
      </c>
    </row>
    <row r="4581" spans="1:4" ht="12.75" customHeight="1">
      <c r="A4581" s="2410" t="str">
        <f t="shared" si="82"/>
        <v>Randen, Handernte</v>
      </c>
      <c r="B4581" s="2410" t="s">
        <v>7473</v>
      </c>
      <c r="C4581" s="2410" t="s">
        <v>4368</v>
      </c>
      <c r="D4581" s="2424" t="s">
        <v>4478</v>
      </c>
    </row>
    <row r="4582" spans="1:4" ht="12.75" customHeight="1">
      <c r="A4582" s="2410" t="str">
        <f t="shared" si="82"/>
        <v>Randen, Maschinenernte</v>
      </c>
      <c r="B4582" s="2410" t="s">
        <v>7471</v>
      </c>
      <c r="C4582" s="2410" t="s">
        <v>7472</v>
      </c>
      <c r="D4582" s="2424" t="s">
        <v>4477</v>
      </c>
    </row>
    <row r="4583" spans="1:4" ht="12.75" customHeight="1">
      <c r="A4583" s="2410" t="str">
        <f t="shared" si="82"/>
        <v>Einschneidekabis, Handernte</v>
      </c>
      <c r="B4583" s="2410" t="s">
        <v>7475</v>
      </c>
      <c r="C4583" s="2410" t="s">
        <v>7476</v>
      </c>
      <c r="D4583" s="2424" t="s">
        <v>10406</v>
      </c>
    </row>
    <row r="4584" spans="1:4" ht="12.75" customHeight="1">
      <c r="A4584" s="2410" t="str">
        <f t="shared" si="82"/>
        <v>Karotten, Handernte</v>
      </c>
      <c r="B4584" s="2410" t="s">
        <v>7479</v>
      </c>
      <c r="C4584" s="2410" t="s">
        <v>7480</v>
      </c>
      <c r="D4584" s="2424" t="s">
        <v>10408</v>
      </c>
    </row>
    <row r="4585" spans="1:4" ht="12.75" customHeight="1">
      <c r="A4585" s="2410" t="str">
        <f t="shared" si="82"/>
        <v>Rosenkohl, Handernte</v>
      </c>
      <c r="B4585" s="2410" t="s">
        <v>7481</v>
      </c>
      <c r="C4585" s="2410" t="s">
        <v>7482</v>
      </c>
      <c r="D4585" s="2424" t="s">
        <v>10409</v>
      </c>
    </row>
    <row r="4586" spans="1:4" ht="12.75" customHeight="1">
      <c r="A4586" s="2410" t="str">
        <f t="shared" si="82"/>
        <v>Rot-, Weisskabis, Handernte</v>
      </c>
      <c r="B4586" s="2410" t="s">
        <v>7483</v>
      </c>
      <c r="C4586" s="2410" t="s">
        <v>7498</v>
      </c>
      <c r="D4586" s="2424" t="s">
        <v>10410</v>
      </c>
    </row>
    <row r="4587" spans="1:4" ht="12.75" customHeight="1">
      <c r="A4587" s="2410" t="str">
        <f t="shared" si="82"/>
        <v>Wirz, Handernte</v>
      </c>
      <c r="B4587" s="2410" t="s">
        <v>7499</v>
      </c>
      <c r="C4587" s="2410" t="s">
        <v>7500</v>
      </c>
      <c r="D4587" s="2424" t="s">
        <v>10411</v>
      </c>
    </row>
    <row r="4588" spans="1:4" ht="12.75" customHeight="1">
      <c r="A4588" s="2410" t="str">
        <f t="shared" si="82"/>
        <v>Sellerie, Handernte</v>
      </c>
      <c r="B4588" s="2410" t="s">
        <v>7501</v>
      </c>
      <c r="C4588" s="2410" t="s">
        <v>7502</v>
      </c>
      <c r="D4588" s="2424" t="s">
        <v>10412</v>
      </c>
    </row>
    <row r="4589" spans="1:4" ht="12.75" customHeight="1">
      <c r="A4589" s="2410" t="str">
        <f t="shared" si="82"/>
        <v>Zwiebeln, Maschinenernte</v>
      </c>
      <c r="B4589" s="2410" t="s">
        <v>7503</v>
      </c>
      <c r="C4589" s="2410" t="s">
        <v>7504</v>
      </c>
      <c r="D4589" s="2424" t="s">
        <v>10413</v>
      </c>
    </row>
    <row r="4590" spans="1:4" ht="12.75" customHeight="1">
      <c r="A4590" s="2410" t="str">
        <f t="shared" si="82"/>
        <v>Drescherbsen, Lohnernte</v>
      </c>
      <c r="B4590" s="2410" t="s">
        <v>7505</v>
      </c>
      <c r="C4590" s="2410" t="s">
        <v>7506</v>
      </c>
      <c r="D4590" s="2424" t="s">
        <v>10415</v>
      </c>
    </row>
    <row r="4591" spans="1:4" ht="12.75" customHeight="1">
      <c r="A4591" s="2410" t="str">
        <f t="shared" ref="A4591:A4654" si="83">IF($A$2=1,B4591,IF($A$2=2,C4591,IF($A$2=3,IF(D4591="",C4591,D4591),"")))</f>
        <v>Maschinenbohnen, Lohnernte</v>
      </c>
      <c r="B4591" s="2410" t="s">
        <v>7507</v>
      </c>
      <c r="C4591" s="2410" t="s">
        <v>7508</v>
      </c>
      <c r="D4591" s="2424" t="s">
        <v>10416</v>
      </c>
    </row>
    <row r="4592" spans="1:4" ht="12.75" customHeight="1">
      <c r="A4592" s="2410" t="str">
        <f t="shared" si="83"/>
        <v>Essiggurken, Lohnernte</v>
      </c>
      <c r="B4592" s="2410" t="s">
        <v>7509</v>
      </c>
      <c r="C4592" s="2410" t="s">
        <v>7510</v>
      </c>
      <c r="D4592" s="2424" t="s">
        <v>10417</v>
      </c>
    </row>
    <row r="4593" spans="1:4" ht="12.75" customHeight="1">
      <c r="A4593" s="2410" t="str">
        <f t="shared" si="83"/>
        <v>Spinat, Maschinenernte</v>
      </c>
      <c r="B4593" s="2410" t="s">
        <v>7511</v>
      </c>
      <c r="C4593" s="2410" t="s">
        <v>7512</v>
      </c>
      <c r="D4593" s="2424" t="s">
        <v>10418</v>
      </c>
    </row>
    <row r="4594" spans="1:4" ht="12.75" customHeight="1">
      <c r="A4594" s="2410" t="str">
        <f t="shared" si="83"/>
        <v>Pariserkarotten, Maschinenernte</v>
      </c>
      <c r="B4594" s="2410" t="s">
        <v>7513</v>
      </c>
      <c r="C4594" s="2410" t="s">
        <v>7514</v>
      </c>
      <c r="D4594" s="2424" t="s">
        <v>10419</v>
      </c>
    </row>
    <row r="4595" spans="1:4" ht="12.75" customHeight="1">
      <c r="A4595" s="2410" t="str">
        <f t="shared" si="83"/>
        <v>Freiland-Konservengemüse</v>
      </c>
      <c r="B4595" s="2410" t="s">
        <v>5519</v>
      </c>
      <c r="C4595" s="2410" t="s">
        <v>4375</v>
      </c>
      <c r="D4595" s="2424" t="s">
        <v>10046</v>
      </c>
    </row>
    <row r="4596" spans="1:4" ht="12.75" customHeight="1">
      <c r="A4596" s="2410" t="str">
        <f t="shared" si="83"/>
        <v>Drescherbsen, Lohnernte</v>
      </c>
      <c r="B4596" s="2410" t="s">
        <v>7505</v>
      </c>
      <c r="C4596" s="2410" t="s">
        <v>7506</v>
      </c>
      <c r="D4596" s="2424" t="s">
        <v>10415</v>
      </c>
    </row>
    <row r="4597" spans="1:4" ht="12.75" customHeight="1">
      <c r="A4597" s="2410" t="str">
        <f t="shared" si="83"/>
        <v>Maschinenbohnen, Lohnernte</v>
      </c>
      <c r="B4597" s="2410" t="s">
        <v>7507</v>
      </c>
      <c r="C4597" s="2410" t="s">
        <v>7508</v>
      </c>
      <c r="D4597" s="2424" t="s">
        <v>10416</v>
      </c>
    </row>
    <row r="4598" spans="1:4" ht="12.75" customHeight="1">
      <c r="A4598" s="2410" t="str">
        <f t="shared" si="83"/>
        <v>Essiggurken, Lohnernte</v>
      </c>
      <c r="B4598" s="2410" t="s">
        <v>7509</v>
      </c>
      <c r="C4598" s="2410" t="s">
        <v>7510</v>
      </c>
      <c r="D4598" s="2424" t="s">
        <v>10417</v>
      </c>
    </row>
    <row r="4599" spans="1:4" ht="12.75" customHeight="1">
      <c r="A4599" s="2410" t="str">
        <f t="shared" si="83"/>
        <v>Spinat, Maschinenernte</v>
      </c>
      <c r="B4599" s="2410" t="s">
        <v>7511</v>
      </c>
      <c r="C4599" s="2410" t="s">
        <v>7512</v>
      </c>
      <c r="D4599" s="2424" t="s">
        <v>10418</v>
      </c>
    </row>
    <row r="4600" spans="1:4" ht="12.75" customHeight="1">
      <c r="A4600" s="2410" t="str">
        <f t="shared" si="83"/>
        <v>Pariserkarotten, Maschinenernte</v>
      </c>
      <c r="B4600" s="2410" t="s">
        <v>7513</v>
      </c>
      <c r="C4600" s="2410" t="s">
        <v>7514</v>
      </c>
      <c r="D4600" s="2424" t="s">
        <v>10419</v>
      </c>
    </row>
    <row r="4601" spans="1:4" ht="12.75" customHeight="1">
      <c r="A4601" s="2410" t="str">
        <f t="shared" si="83"/>
        <v>Schnittblumen, 1-jährig</v>
      </c>
      <c r="B4601" s="2410" t="s">
        <v>6192</v>
      </c>
      <c r="C4601" s="2410" t="s">
        <v>6193</v>
      </c>
      <c r="D4601" s="2424" t="s">
        <v>8513</v>
      </c>
    </row>
    <row r="4602" spans="1:4" ht="12.75" customHeight="1">
      <c r="A4602" s="2410" t="str">
        <f t="shared" si="83"/>
        <v>Lein</v>
      </c>
      <c r="B4602" s="2410" t="s">
        <v>4292</v>
      </c>
      <c r="C4602" s="2410" t="s">
        <v>4293</v>
      </c>
      <c r="D4602" s="2424" t="s">
        <v>10420</v>
      </c>
    </row>
    <row r="4603" spans="1:4" ht="12.75" customHeight="1">
      <c r="A4603" s="2410" t="str">
        <f t="shared" si="83"/>
        <v>Hanf</v>
      </c>
      <c r="B4603" s="2410" t="s">
        <v>6839</v>
      </c>
      <c r="C4603" s="2410" t="s">
        <v>6232</v>
      </c>
      <c r="D4603" s="2424" t="s">
        <v>10421</v>
      </c>
    </row>
    <row r="4604" spans="1:4" ht="12.75" customHeight="1">
      <c r="A4604" s="2410" t="str">
        <f t="shared" si="83"/>
        <v>Tabak</v>
      </c>
      <c r="B4604" s="2410" t="s">
        <v>441</v>
      </c>
      <c r="C4604" s="2410" t="s">
        <v>516</v>
      </c>
      <c r="D4604" s="2424" t="s">
        <v>1644</v>
      </c>
    </row>
    <row r="4605" spans="1:4" ht="12.75" customHeight="1">
      <c r="A4605" s="2410" t="str">
        <f t="shared" si="83"/>
        <v>Von Hand ernten und fädeln</v>
      </c>
      <c r="B4605" s="2410" t="s">
        <v>4353</v>
      </c>
      <c r="C4605" s="2410" t="s">
        <v>4342</v>
      </c>
      <c r="D4605" s="2424" t="s">
        <v>11302</v>
      </c>
    </row>
    <row r="4606" spans="1:4" ht="12.75" customHeight="1">
      <c r="A4606" s="2410" t="str">
        <f t="shared" si="83"/>
        <v>Erntewagen, Einfädelmaschine</v>
      </c>
      <c r="B4606" s="2410" t="s">
        <v>6002</v>
      </c>
      <c r="C4606" s="2410" t="s">
        <v>6003</v>
      </c>
      <c r="D4606" s="2424" t="s">
        <v>11303</v>
      </c>
    </row>
    <row r="4607" spans="1:4" ht="12.75" customHeight="1">
      <c r="A4607" s="2410" t="str">
        <f t="shared" si="83"/>
        <v>Reben</v>
      </c>
      <c r="B4607" s="2410" t="s">
        <v>4839</v>
      </c>
      <c r="C4607" s="2410" t="s">
        <v>6464</v>
      </c>
      <c r="D4607" s="2414" t="s">
        <v>8518</v>
      </c>
    </row>
    <row r="4608" spans="1:4" ht="12.75" customHeight="1">
      <c r="A4608" s="2410" t="str">
        <f t="shared" si="83"/>
        <v>nicht mechanisiert</v>
      </c>
      <c r="B4608" s="2410" t="s">
        <v>2513</v>
      </c>
      <c r="C4608" s="2410" t="s">
        <v>3194</v>
      </c>
      <c r="D4608" s="2414" t="s">
        <v>4479</v>
      </c>
    </row>
    <row r="4609" spans="1:4" ht="12.75" customHeight="1">
      <c r="A4609" s="2410" t="str">
        <f t="shared" si="83"/>
        <v>tief mechanisiert</v>
      </c>
      <c r="B4609" s="2410" t="s">
        <v>4231</v>
      </c>
      <c r="C4609" s="2410" t="s">
        <v>3195</v>
      </c>
      <c r="D4609" s="2414" t="s">
        <v>4480</v>
      </c>
    </row>
    <row r="4610" spans="1:4" ht="12.75" customHeight="1">
      <c r="A4610" s="2410" t="str">
        <f t="shared" si="83"/>
        <v>gut mechanisiert</v>
      </c>
      <c r="B4610" s="2410" t="s">
        <v>5156</v>
      </c>
      <c r="C4610" s="2410" t="s">
        <v>3196</v>
      </c>
      <c r="D4610" s="2414" t="s">
        <v>4481</v>
      </c>
    </row>
    <row r="4611" spans="1:4" ht="12.75" customHeight="1">
      <c r="A4611" s="2410" t="str">
        <f t="shared" si="83"/>
        <v>Hopfen</v>
      </c>
      <c r="B4611" s="2410" t="s">
        <v>4840</v>
      </c>
      <c r="C4611" s="2410" t="s">
        <v>4760</v>
      </c>
      <c r="D4611" s="2424" t="s">
        <v>802</v>
      </c>
    </row>
    <row r="4612" spans="1:4" ht="12.75" customHeight="1">
      <c r="A4612" s="2410" t="str">
        <f t="shared" si="83"/>
        <v>Von Hand ernten und einführen</v>
      </c>
      <c r="B4612" s="2410" t="s">
        <v>5157</v>
      </c>
      <c r="C4612" s="2410" t="s">
        <v>1661</v>
      </c>
      <c r="D4612" s="2424" t="s">
        <v>10422</v>
      </c>
    </row>
    <row r="4613" spans="1:4" ht="12.75" customHeight="1">
      <c r="A4613" s="2410" t="str">
        <f t="shared" si="83"/>
        <v>Obstanlagen</v>
      </c>
      <c r="B4613" s="2410" t="s">
        <v>3139</v>
      </c>
      <c r="C4613" s="2410" t="s">
        <v>4761</v>
      </c>
      <c r="D4613" s="2424" t="s">
        <v>8519</v>
      </c>
    </row>
    <row r="4614" spans="1:4" ht="12.75" customHeight="1">
      <c r="A4614" s="2410" t="str">
        <f t="shared" si="83"/>
        <v>Tafeläpfel, Handernte</v>
      </c>
      <c r="B4614" s="2410" t="s">
        <v>6004</v>
      </c>
      <c r="C4614" s="2410" t="s">
        <v>6005</v>
      </c>
      <c r="D4614" s="2424" t="s">
        <v>10423</v>
      </c>
    </row>
    <row r="4615" spans="1:4" ht="12.75" customHeight="1">
      <c r="A4615" s="2410" t="str">
        <f t="shared" si="83"/>
        <v>Kirschen, Tafelkirschen</v>
      </c>
      <c r="B4615" s="2410" t="s">
        <v>6006</v>
      </c>
      <c r="C4615" s="2410" t="s">
        <v>6007</v>
      </c>
      <c r="D4615" s="2424" t="s">
        <v>10424</v>
      </c>
    </row>
    <row r="4616" spans="1:4" ht="12.75" customHeight="1">
      <c r="A4616" s="2410" t="str">
        <f t="shared" si="83"/>
        <v>Kirschen, Brennkirschen</v>
      </c>
      <c r="B4616" s="2410" t="s">
        <v>6008</v>
      </c>
      <c r="C4616" s="2410" t="s">
        <v>6009</v>
      </c>
      <c r="D4616" s="2424" t="s">
        <v>10425</v>
      </c>
    </row>
    <row r="4617" spans="1:4" ht="12.75" customHeight="1">
      <c r="A4617" s="2410" t="str">
        <f t="shared" si="83"/>
        <v>Zwetschgen, Tafelzwetschgen</v>
      </c>
      <c r="B4617" s="2410" t="s">
        <v>6010</v>
      </c>
      <c r="C4617" s="2410" t="s">
        <v>6011</v>
      </c>
      <c r="D4617" s="2424" t="s">
        <v>10426</v>
      </c>
    </row>
    <row r="4618" spans="1:4" ht="12.75" customHeight="1">
      <c r="A4618" s="2410" t="str">
        <f t="shared" si="83"/>
        <v>Zwetschgen, Brennzwetschgen</v>
      </c>
      <c r="B4618" s="2410" t="s">
        <v>6012</v>
      </c>
      <c r="C4618" s="2410" t="s">
        <v>6013</v>
      </c>
      <c r="D4618" s="2424" t="s">
        <v>10427</v>
      </c>
    </row>
    <row r="4619" spans="1:4" ht="12.75" customHeight="1">
      <c r="A4619" s="2410" t="str">
        <f t="shared" si="83"/>
        <v>Gemüsekulturen, mehrjährig</v>
      </c>
      <c r="B4619" s="2410" t="s">
        <v>6194</v>
      </c>
      <c r="C4619" s="2410" t="s">
        <v>6195</v>
      </c>
      <c r="D4619" s="2424" t="s">
        <v>8520</v>
      </c>
    </row>
    <row r="4620" spans="1:4" ht="12.75" customHeight="1">
      <c r="A4620" s="2410" t="str">
        <f t="shared" si="83"/>
        <v xml:space="preserve">Erdbeeren </v>
      </c>
      <c r="B4620" s="2410" t="s">
        <v>2318</v>
      </c>
      <c r="C4620" s="2410" t="s">
        <v>5073</v>
      </c>
      <c r="D4620" s="2424" t="s">
        <v>10428</v>
      </c>
    </row>
    <row r="4621" spans="1:4" ht="12.75" customHeight="1">
      <c r="A4621" s="2410" t="str">
        <f t="shared" si="83"/>
        <v>Handernte</v>
      </c>
      <c r="B4621" s="2410" t="s">
        <v>2319</v>
      </c>
      <c r="C4621" s="2410" t="s">
        <v>6903</v>
      </c>
      <c r="D4621" s="2424" t="s">
        <v>10429</v>
      </c>
    </row>
    <row r="4622" spans="1:4" ht="12.75" customHeight="1">
      <c r="A4622" s="2410" t="str">
        <f t="shared" si="83"/>
        <v>Strauchbeeren</v>
      </c>
      <c r="B4622" s="2410" t="s">
        <v>367</v>
      </c>
      <c r="C4622" s="2410" t="s">
        <v>5249</v>
      </c>
      <c r="D4622" s="2424" t="s">
        <v>8522</v>
      </c>
    </row>
    <row r="4623" spans="1:4" ht="12.75" customHeight="1">
      <c r="A4623" s="2410" t="str">
        <f t="shared" si="83"/>
        <v>Himbeeren, Handernte</v>
      </c>
      <c r="B4623" s="2410" t="s">
        <v>6014</v>
      </c>
      <c r="C4623" s="2410" t="s">
        <v>6015</v>
      </c>
      <c r="D4623" s="2424" t="s">
        <v>10430</v>
      </c>
    </row>
    <row r="4624" spans="1:4" ht="12.75" customHeight="1">
      <c r="A4624" s="2410" t="str">
        <f t="shared" si="83"/>
        <v>Johannisbeeren, Handernte</v>
      </c>
      <c r="B4624" s="2410" t="s">
        <v>6016</v>
      </c>
      <c r="C4624" s="2410" t="s">
        <v>6017</v>
      </c>
      <c r="D4624" s="2424" t="s">
        <v>10431</v>
      </c>
    </row>
    <row r="4625" spans="1:4" ht="12.75" customHeight="1">
      <c r="A4625" s="2410" t="str">
        <f t="shared" si="83"/>
        <v>Brombeeren, Handernte</v>
      </c>
      <c r="B4625" s="2410" t="s">
        <v>6018</v>
      </c>
      <c r="C4625" s="2410" t="s">
        <v>6019</v>
      </c>
      <c r="D4625" s="2424" t="s">
        <v>10432</v>
      </c>
    </row>
    <row r="4626" spans="1:4" ht="12.75" customHeight="1">
      <c r="A4626" s="2410" t="str">
        <f t="shared" si="83"/>
        <v>Heil-, Gewürzpflanzen</v>
      </c>
      <c r="B4626" s="2410" t="s">
        <v>7584</v>
      </c>
      <c r="C4626" s="2410" t="s">
        <v>5074</v>
      </c>
      <c r="D4626" s="2424" t="s">
        <v>10433</v>
      </c>
    </row>
    <row r="4627" spans="1:4" ht="12.75" customHeight="1">
      <c r="A4627" s="2410" t="str">
        <f t="shared" si="83"/>
        <v>Chinaschilf</v>
      </c>
      <c r="B4627" s="2410" t="s">
        <v>6928</v>
      </c>
      <c r="C4627" s="2410" t="s">
        <v>3607</v>
      </c>
      <c r="D4627" s="2424" t="s">
        <v>8525</v>
      </c>
    </row>
    <row r="4628" spans="1:4" ht="12.75" customHeight="1">
      <c r="A4628" s="2410" t="str">
        <f t="shared" si="83"/>
        <v>Christbäume</v>
      </c>
      <c r="B4628" s="2410" t="s">
        <v>4157</v>
      </c>
      <c r="C4628" s="2410" t="s">
        <v>3025</v>
      </c>
      <c r="D4628" s="2424" t="s">
        <v>8526</v>
      </c>
    </row>
    <row r="4629" spans="1:4" ht="12.75" customHeight="1">
      <c r="A4629" s="2410" t="str">
        <f t="shared" si="83"/>
        <v xml:space="preserve">Selven gepflegt, max. 100 Bäume pro ha </v>
      </c>
      <c r="B4629" s="2410" t="s">
        <v>6191</v>
      </c>
      <c r="C4629" s="2410" t="s">
        <v>6190</v>
      </c>
      <c r="D4629" s="2424" t="s">
        <v>8527</v>
      </c>
    </row>
    <row r="4630" spans="1:4" ht="12.75" customHeight="1">
      <c r="A4630" s="2410" t="str">
        <f t="shared" si="83"/>
        <v>Andere Dauerkulturen</v>
      </c>
      <c r="B4630" s="2410" t="s">
        <v>2593</v>
      </c>
      <c r="C4630" s="2410" t="s">
        <v>2327</v>
      </c>
      <c r="D4630" s="2424" t="s">
        <v>8528</v>
      </c>
    </row>
    <row r="4631" spans="1:4" ht="12.75" customHeight="1">
      <c r="A4631" s="2410" t="str">
        <f t="shared" si="83"/>
        <v>Kulturen in geschütztem Anbau</v>
      </c>
      <c r="B4631" s="2410" t="s">
        <v>5617</v>
      </c>
      <c r="C4631" s="2410" t="s">
        <v>7393</v>
      </c>
      <c r="D4631" s="2424" t="s">
        <v>8442</v>
      </c>
    </row>
    <row r="4632" spans="1:4" ht="12.75" customHeight="1">
      <c r="A4632" s="2410" t="str">
        <f t="shared" si="83"/>
        <v>Hecken u. Feldgehölze</v>
      </c>
      <c r="B4632" s="2410" t="s">
        <v>1827</v>
      </c>
      <c r="C4632" s="2410" t="s">
        <v>5075</v>
      </c>
      <c r="D4632" s="2424" t="s">
        <v>10434</v>
      </c>
    </row>
    <row r="4633" spans="1:4" ht="12.75" customHeight="1">
      <c r="A4633" s="2410" t="str">
        <f t="shared" si="83"/>
        <v>Pflege</v>
      </c>
      <c r="B4633" s="2410" t="s">
        <v>1828</v>
      </c>
      <c r="C4633" s="2410" t="s">
        <v>6390</v>
      </c>
      <c r="D4633" s="2424" t="s">
        <v>10435</v>
      </c>
    </row>
    <row r="4634" spans="1:4" ht="12.75" customHeight="1">
      <c r="A4634" s="2410" t="str">
        <f t="shared" si="83"/>
        <v>Wald</v>
      </c>
      <c r="B4634" s="2410" t="s">
        <v>5620</v>
      </c>
      <c r="C4634" s="2410" t="s">
        <v>7395</v>
      </c>
      <c r="D4634" s="2424" t="s">
        <v>395</v>
      </c>
    </row>
    <row r="4635" spans="1:4" ht="12.75" customHeight="1">
      <c r="A4635" s="2410" t="str">
        <f t="shared" si="83"/>
        <v>Intensive Nutzung</v>
      </c>
      <c r="B4635" s="2410" t="s">
        <v>1829</v>
      </c>
      <c r="C4635" s="2410" t="s">
        <v>6900</v>
      </c>
      <c r="D4635" s="2424" t="s">
        <v>10436</v>
      </c>
    </row>
    <row r="4636" spans="1:4" ht="12.75" customHeight="1">
      <c r="A4636" s="2410" t="str">
        <f t="shared" si="83"/>
        <v>Mittlere Nutzung</v>
      </c>
      <c r="B4636" s="2410" t="s">
        <v>1830</v>
      </c>
      <c r="C4636" s="2410" t="s">
        <v>6901</v>
      </c>
      <c r="D4636" s="2424" t="s">
        <v>10437</v>
      </c>
    </row>
    <row r="4637" spans="1:4" ht="12.75" customHeight="1">
      <c r="A4637" s="2410" t="str">
        <f t="shared" si="83"/>
        <v>Extensive Nutzung</v>
      </c>
      <c r="B4637" s="2410" t="s">
        <v>3207</v>
      </c>
      <c r="C4637" s="2410" t="s">
        <v>6902</v>
      </c>
      <c r="D4637" s="2424" t="s">
        <v>10438</v>
      </c>
    </row>
    <row r="4638" spans="1:4" ht="12.75" customHeight="1">
      <c r="A4638" s="2410" t="str">
        <f t="shared" si="83"/>
        <v>Hochstamm-Feldobstbäume</v>
      </c>
      <c r="B4638" s="2410" t="s">
        <v>4514</v>
      </c>
      <c r="C4638" s="2410" t="s">
        <v>2547</v>
      </c>
      <c r="D4638" s="2424" t="s">
        <v>8435</v>
      </c>
    </row>
    <row r="4639" spans="1:4" ht="12.75" customHeight="1">
      <c r="A4639" s="2410" t="str">
        <f t="shared" si="83"/>
        <v>Tafeläpfel, Handernte</v>
      </c>
      <c r="B4639" s="2410" t="s">
        <v>6004</v>
      </c>
      <c r="C4639" s="2410" t="s">
        <v>6005</v>
      </c>
      <c r="D4639" s="2424" t="s">
        <v>10423</v>
      </c>
    </row>
    <row r="4640" spans="1:4" ht="12.75" customHeight="1">
      <c r="A4640" s="2410" t="str">
        <f t="shared" si="83"/>
        <v>Mostobst, Auflesen von Hand</v>
      </c>
      <c r="B4640" s="2410" t="s">
        <v>6020</v>
      </c>
      <c r="C4640" s="2410" t="s">
        <v>7465</v>
      </c>
      <c r="D4640" s="2424" t="s">
        <v>10439</v>
      </c>
    </row>
    <row r="4641" spans="1:4" ht="12.75" customHeight="1">
      <c r="A4641" s="2410" t="str">
        <f t="shared" si="83"/>
        <v>Mostobst, Auflesemaschine</v>
      </c>
      <c r="B4641" s="2410" t="s">
        <v>7466</v>
      </c>
      <c r="C4641" s="2410" t="s">
        <v>7467</v>
      </c>
      <c r="D4641" s="2424" t="s">
        <v>10440</v>
      </c>
    </row>
    <row r="4642" spans="1:4" ht="12.75" customHeight="1">
      <c r="A4642" s="2410" t="str">
        <f t="shared" si="83"/>
        <v>Kirschen, Handernte</v>
      </c>
      <c r="B4642" s="2410" t="s">
        <v>7468</v>
      </c>
      <c r="C4642" s="2410" t="s">
        <v>7469</v>
      </c>
      <c r="D4642" s="2424" t="s">
        <v>10441</v>
      </c>
    </row>
    <row r="4643" spans="1:4" ht="12.75" customHeight="1">
      <c r="A4643" s="2410" t="str">
        <f t="shared" si="83"/>
        <v>Kirschen, Brennkirschen</v>
      </c>
      <c r="B4643" s="2410" t="s">
        <v>6008</v>
      </c>
      <c r="C4643" s="2410" t="s">
        <v>7470</v>
      </c>
      <c r="D4643" s="2424" t="s">
        <v>10425</v>
      </c>
    </row>
    <row r="4644" spans="1:4" ht="12.75" customHeight="1">
      <c r="A4644" s="2410" t="str">
        <f t="shared" si="83"/>
        <v>Zwetschgen, Tafelzwetschgen</v>
      </c>
      <c r="B4644" s="2410" t="s">
        <v>6010</v>
      </c>
      <c r="C4644" s="2410" t="s">
        <v>6011</v>
      </c>
      <c r="D4644" s="2424" t="s">
        <v>10426</v>
      </c>
    </row>
    <row r="4645" spans="1:4" ht="12.75" customHeight="1">
      <c r="A4645" s="2410" t="str">
        <f t="shared" si="83"/>
        <v>Zwetschgen, Brennzwetschgen</v>
      </c>
      <c r="B4645" s="2410" t="s">
        <v>6012</v>
      </c>
      <c r="C4645" s="2410" t="s">
        <v>6013</v>
      </c>
      <c r="D4645" s="2424" t="s">
        <v>10427</v>
      </c>
    </row>
    <row r="4646" spans="1:4" ht="12.75" customHeight="1">
      <c r="A4646" s="2410" t="str">
        <f t="shared" si="83"/>
        <v>Tierhaltung (Daten aus Tierbestand A2)</v>
      </c>
      <c r="B4646" s="2410" t="s">
        <v>2654</v>
      </c>
      <c r="C4646" s="2410" t="s">
        <v>6520</v>
      </c>
      <c r="D4646" s="2414" t="s">
        <v>10442</v>
      </c>
    </row>
    <row r="4647" spans="1:4" ht="12.75" customHeight="1">
      <c r="A4647" s="2410" t="str">
        <f t="shared" si="83"/>
        <v>Stück</v>
      </c>
      <c r="B4647" s="2410" t="s">
        <v>4322</v>
      </c>
      <c r="C4647" s="2410" t="s">
        <v>5258</v>
      </c>
      <c r="D4647" s="2414" t="s">
        <v>8569</v>
      </c>
    </row>
    <row r="4648" spans="1:4" ht="12.75" customHeight="1">
      <c r="A4648" s="2410" t="str">
        <f t="shared" si="83"/>
        <v>Platz</v>
      </c>
      <c r="B4648" s="2410" t="s">
        <v>5735</v>
      </c>
      <c r="C4648" s="2410" t="s">
        <v>5259</v>
      </c>
      <c r="D4648" s="2414" t="s">
        <v>8570</v>
      </c>
    </row>
    <row r="4649" spans="1:4" ht="12.75" customHeight="1">
      <c r="A4649" s="2410" t="str">
        <f t="shared" si="83"/>
        <v>Einheit</v>
      </c>
      <c r="B4649" s="2410" t="s">
        <v>6392</v>
      </c>
      <c r="C4649" s="2410" t="s">
        <v>6215</v>
      </c>
      <c r="D4649" s="2414" t="s">
        <v>1610</v>
      </c>
    </row>
    <row r="4650" spans="1:4" ht="12.75" customHeight="1">
      <c r="A4650" s="2410" t="str">
        <f t="shared" si="83"/>
        <v>Milchkühe</v>
      </c>
      <c r="B4650" s="2410" t="s">
        <v>2350</v>
      </c>
      <c r="C4650" s="2410" t="s">
        <v>709</v>
      </c>
      <c r="D4650" s="2414" t="s">
        <v>8572</v>
      </c>
    </row>
    <row r="4651" spans="1:4" ht="12.75" customHeight="1">
      <c r="A4651" s="2410" t="str">
        <f t="shared" si="83"/>
        <v xml:space="preserve"> 10 Kühe, Kannentransport</v>
      </c>
      <c r="B4651" s="2410" t="s">
        <v>2735</v>
      </c>
      <c r="C4651" s="2410" t="s">
        <v>7160</v>
      </c>
      <c r="D4651" s="2414" t="s">
        <v>10443</v>
      </c>
    </row>
    <row r="4652" spans="1:4" ht="12.75" customHeight="1">
      <c r="A4652" s="2410" t="str">
        <f t="shared" si="83"/>
        <v>Anbindestall, Mistkarren, Handmelken, Fütterung von Hand</v>
      </c>
      <c r="B4652" s="2410" t="s">
        <v>7515</v>
      </c>
      <c r="C4652" s="2410" t="s">
        <v>7161</v>
      </c>
      <c r="D4652" s="2414" t="s">
        <v>10444</v>
      </c>
    </row>
    <row r="4653" spans="1:4" ht="12.75" customHeight="1">
      <c r="A4653" s="2410" t="str">
        <f t="shared" si="83"/>
        <v>Anbindestall, Mistkarren, 2 Standeimer, Fütterung von Hand</v>
      </c>
      <c r="B4653" s="2410" t="s">
        <v>7516</v>
      </c>
      <c r="C4653" s="2410" t="s">
        <v>7162</v>
      </c>
      <c r="D4653" s="2414" t="s">
        <v>10445</v>
      </c>
    </row>
    <row r="4654" spans="1:4" ht="12.75" customHeight="1">
      <c r="A4654" s="2410" t="str">
        <f t="shared" si="83"/>
        <v>Anbindestall, Gitterrost, 2 Standeimer, Fütterung von Hand</v>
      </c>
      <c r="B4654" s="2410" t="s">
        <v>7517</v>
      </c>
      <c r="C4654" s="2410" t="s">
        <v>7163</v>
      </c>
      <c r="D4654" s="2414" t="s">
        <v>10446</v>
      </c>
    </row>
    <row r="4655" spans="1:4" ht="12.75" customHeight="1">
      <c r="A4655" s="2410" t="str">
        <f t="shared" ref="A4655:A4718" si="84">IF($A$2=1,B4655,IF($A$2=2,C4655,IF($A$2=3,IF(D4655="",C4655,D4655),"")))</f>
        <v>20 Kühe</v>
      </c>
      <c r="B4655" s="2410" t="s">
        <v>6881</v>
      </c>
      <c r="C4655" s="2410" t="s">
        <v>7354</v>
      </c>
      <c r="D4655" s="2414" t="s">
        <v>1865</v>
      </c>
    </row>
    <row r="4656" spans="1:4" ht="12.75" customHeight="1">
      <c r="A4656" s="2410" t="str">
        <f t="shared" si="84"/>
        <v>Anbindestall, Gitterrost, 2 Standeimer, Fütterung von Hand</v>
      </c>
      <c r="B4656" s="2410" t="s">
        <v>7517</v>
      </c>
      <c r="C4656" s="2410" t="s">
        <v>7164</v>
      </c>
      <c r="D4656" s="2414" t="s">
        <v>10446</v>
      </c>
    </row>
    <row r="4657" spans="1:4" ht="12.75" customHeight="1">
      <c r="A4657" s="2410" t="str">
        <f t="shared" si="84"/>
        <v>Anbindestall, Gitterrost, Rohrmelkanlage 3 ME, Fütterung mech.</v>
      </c>
      <c r="B4657" s="2410" t="s">
        <v>7518</v>
      </c>
      <c r="C4657" s="2410" t="s">
        <v>7165</v>
      </c>
      <c r="D4657" s="2414" t="s">
        <v>10447</v>
      </c>
    </row>
    <row r="4658" spans="1:4" ht="12.75" customHeight="1">
      <c r="A4658" s="2410" t="str">
        <f t="shared" si="84"/>
        <v>Laufstall, Melkstand Side by Side 1x4 ME, Fütterung mech.</v>
      </c>
      <c r="B4658" s="2410" t="s">
        <v>7519</v>
      </c>
      <c r="C4658" s="2410" t="s">
        <v>7520</v>
      </c>
      <c r="D4658" s="2414" t="s">
        <v>10448</v>
      </c>
    </row>
    <row r="4659" spans="1:4" ht="12.75" customHeight="1">
      <c r="A4659" s="2410" t="str">
        <f t="shared" si="84"/>
        <v>Laufstall, Melkstand Tandem 1x3 ME, Fütterung Greifer</v>
      </c>
      <c r="B4659" s="2410" t="s">
        <v>7521</v>
      </c>
      <c r="C4659" s="2410" t="s">
        <v>7522</v>
      </c>
      <c r="D4659" s="2414" t="s">
        <v>10449</v>
      </c>
    </row>
    <row r="4660" spans="1:4" ht="12.75" customHeight="1">
      <c r="A4660" s="2410" t="str">
        <f t="shared" si="84"/>
        <v>30 Kühe,  Milchtransport fahrbarer Tank</v>
      </c>
      <c r="B4660" s="2410" t="s">
        <v>1755</v>
      </c>
      <c r="C4660" s="2410" t="s">
        <v>725</v>
      </c>
      <c r="D4660" s="2414" t="s">
        <v>10450</v>
      </c>
    </row>
    <row r="4661" spans="1:4" ht="12.75" customHeight="1">
      <c r="A4661" s="2410" t="str">
        <f t="shared" si="84"/>
        <v>Anbindestall, Gitterrost, Rohrmelkanlage 3 ME, Fütterung mech.</v>
      </c>
      <c r="B4661" s="2410" t="s">
        <v>7518</v>
      </c>
      <c r="C4661" s="2410" t="s">
        <v>7523</v>
      </c>
      <c r="D4661" s="2414" t="s">
        <v>10447</v>
      </c>
    </row>
    <row r="4662" spans="1:4" ht="12.75" customHeight="1">
      <c r="A4662" s="2410" t="str">
        <f t="shared" si="84"/>
        <v>Anbindestall, Gitterrost, Rohrmelkanlage 5 ME, Fütterung mech.</v>
      </c>
      <c r="B4662" s="2410" t="s">
        <v>7524</v>
      </c>
      <c r="C4662" s="2410" t="s">
        <v>7525</v>
      </c>
      <c r="D4662" s="2414" t="s">
        <v>10451</v>
      </c>
    </row>
    <row r="4663" spans="1:4" ht="12.75" customHeight="1">
      <c r="A4663" s="2410" t="str">
        <f t="shared" si="84"/>
        <v>Laufstall, Melkstand Side by Side 1x4 ME, Fütterung mech.</v>
      </c>
      <c r="B4663" s="2410" t="s">
        <v>7519</v>
      </c>
      <c r="C4663" s="2410" t="s">
        <v>6109</v>
      </c>
      <c r="D4663" s="2414" t="s">
        <v>10448</v>
      </c>
    </row>
    <row r="4664" spans="1:4" ht="12.75" customHeight="1">
      <c r="A4664" s="2410" t="str">
        <f t="shared" si="84"/>
        <v>Laufstall, Melkstand Fischgräten 2x3 ME, Fütterung mech.</v>
      </c>
      <c r="B4664" s="2410" t="s">
        <v>6110</v>
      </c>
      <c r="C4664" s="2410" t="s">
        <v>6111</v>
      </c>
      <c r="D4664" s="2414" t="s">
        <v>10452</v>
      </c>
    </row>
    <row r="4665" spans="1:4" ht="12.75" customHeight="1">
      <c r="A4665" s="2410" t="str">
        <f t="shared" si="84"/>
        <v>Laufstall, Melkstand Autotandem 2x2 ME, Fütterung mech.</v>
      </c>
      <c r="B4665" s="2410" t="s">
        <v>6112</v>
      </c>
      <c r="C4665" s="2410" t="s">
        <v>6113</v>
      </c>
      <c r="D4665" s="2414" t="s">
        <v>10453</v>
      </c>
    </row>
    <row r="4666" spans="1:4" ht="12.75" customHeight="1">
      <c r="A4666" s="2410" t="str">
        <f t="shared" si="84"/>
        <v>40 Kühe,  Milchabfuhr ab Hof</v>
      </c>
      <c r="B4666" s="2410" t="s">
        <v>1756</v>
      </c>
      <c r="C4666" s="2410" t="s">
        <v>89</v>
      </c>
      <c r="D4666" s="2414" t="s">
        <v>10454</v>
      </c>
    </row>
    <row r="4667" spans="1:4" ht="12.75" customHeight="1">
      <c r="A4667" s="2410" t="str">
        <f t="shared" si="84"/>
        <v>Laufstall, Melkstand Side by Side 1x4 ME, Fütterung mech.</v>
      </c>
      <c r="B4667" s="2410" t="s">
        <v>7519</v>
      </c>
      <c r="C4667" s="2410" t="s">
        <v>6109</v>
      </c>
      <c r="D4667" s="2414" t="s">
        <v>10448</v>
      </c>
    </row>
    <row r="4668" spans="1:4" ht="12.75" customHeight="1">
      <c r="A4668" s="2410" t="str">
        <f t="shared" si="84"/>
        <v>Laufstall, Melkstand Side by Side 1x6 ME, Fütterung mech.</v>
      </c>
      <c r="B4668" s="2410" t="s">
        <v>6114</v>
      </c>
      <c r="C4668" s="2410" t="s">
        <v>6115</v>
      </c>
      <c r="D4668" s="2414" t="s">
        <v>10455</v>
      </c>
    </row>
    <row r="4669" spans="1:4" ht="12.75" customHeight="1">
      <c r="A4669" s="2410" t="str">
        <f t="shared" si="84"/>
        <v>Laufstall, Melkstand Autotandem 2x3 ME, Fütterung mech.</v>
      </c>
      <c r="B4669" s="2410" t="s">
        <v>6116</v>
      </c>
      <c r="C4669" s="2410" t="s">
        <v>6117</v>
      </c>
      <c r="D4669" s="2414" t="s">
        <v>10456</v>
      </c>
    </row>
    <row r="4670" spans="1:4" ht="12.75" customHeight="1">
      <c r="A4670" s="2410" t="str">
        <f t="shared" si="84"/>
        <v>Laufstall, Melkstand Autotandem 2x3 ME, Fütterung Mischwagen</v>
      </c>
      <c r="B4670" s="2410" t="s">
        <v>6118</v>
      </c>
      <c r="C4670" s="2410" t="s">
        <v>6177</v>
      </c>
      <c r="D4670" s="2414" t="s">
        <v>10457</v>
      </c>
    </row>
    <row r="4671" spans="1:4" ht="12.75" customHeight="1">
      <c r="A4671" s="2410" t="str">
        <f t="shared" si="84"/>
        <v>60 Kühe,  Milchabfuhr ab Hof</v>
      </c>
      <c r="B4671" s="2410" t="s">
        <v>1757</v>
      </c>
      <c r="C4671" s="2410" t="s">
        <v>6199</v>
      </c>
      <c r="D4671" s="2414" t="s">
        <v>10458</v>
      </c>
    </row>
    <row r="4672" spans="1:4" ht="12.75" customHeight="1">
      <c r="A4672" s="2410" t="str">
        <f t="shared" si="84"/>
        <v>Laufstall, Melkstand Side by Side 1x6 ME, Fütterung mech.</v>
      </c>
      <c r="B4672" s="2410" t="s">
        <v>6114</v>
      </c>
      <c r="C4672" s="2410" t="s">
        <v>6115</v>
      </c>
      <c r="D4672" s="2414" t="s">
        <v>10455</v>
      </c>
    </row>
    <row r="4673" spans="1:4" ht="12.75" customHeight="1">
      <c r="A4673" s="2410" t="str">
        <f t="shared" si="84"/>
        <v>Laufstall, Melkstand Fischgräten 2x5 ME, Fütterung mech.</v>
      </c>
      <c r="B4673" s="2410" t="s">
        <v>6178</v>
      </c>
      <c r="C4673" s="2410" t="s">
        <v>6179</v>
      </c>
      <c r="D4673" s="2414" t="s">
        <v>10459</v>
      </c>
    </row>
    <row r="4674" spans="1:4" ht="12.75" customHeight="1">
      <c r="A4674" s="2410" t="str">
        <f t="shared" si="84"/>
        <v>Laufstall, Melkstand Autotandem 2x3 ME, Fütterung Mischwagen</v>
      </c>
      <c r="B4674" s="2410" t="s">
        <v>6118</v>
      </c>
      <c r="C4674" s="2410" t="s">
        <v>6177</v>
      </c>
      <c r="D4674" s="2414" t="s">
        <v>10457</v>
      </c>
    </row>
    <row r="4675" spans="1:4" ht="12.75" customHeight="1">
      <c r="A4675" s="2410" t="str">
        <f t="shared" si="84"/>
        <v>Laufstall, Melkroboter Einboxen, Fütterung Mischwagen</v>
      </c>
      <c r="B4675" s="2410" t="s">
        <v>6180</v>
      </c>
      <c r="C4675" s="2410" t="s">
        <v>6181</v>
      </c>
      <c r="D4675" s="2414" t="s">
        <v>10460</v>
      </c>
    </row>
    <row r="4676" spans="1:4" ht="12.75" customHeight="1">
      <c r="A4676" s="2410" t="str">
        <f t="shared" si="84"/>
        <v>100 Kühe,  Milchabfuhr ab Hof</v>
      </c>
      <c r="B4676" s="2410" t="s">
        <v>2008</v>
      </c>
      <c r="C4676" s="2410" t="s">
        <v>4052</v>
      </c>
      <c r="D4676" s="2414" t="s">
        <v>10461</v>
      </c>
    </row>
    <row r="4677" spans="1:4" ht="12.75" customHeight="1">
      <c r="A4677" s="2410" t="str">
        <f t="shared" si="84"/>
        <v>Laufstall, Melkstand Fischgräten 2x6 ME, Fütterung Mischwagen</v>
      </c>
      <c r="B4677" s="2410" t="s">
        <v>6182</v>
      </c>
      <c r="C4677" s="2410" t="s">
        <v>6183</v>
      </c>
      <c r="D4677" s="2414" t="s">
        <v>10459</v>
      </c>
    </row>
    <row r="4678" spans="1:4" ht="12.75" customHeight="1">
      <c r="A4678" s="2410" t="str">
        <f t="shared" si="84"/>
        <v>Laufstall, Melkstand Fischgräten 2x10 ME, Fütterung Mischwagen</v>
      </c>
      <c r="B4678" s="2410" t="s">
        <v>6184</v>
      </c>
      <c r="C4678" s="2410" t="s">
        <v>6185</v>
      </c>
      <c r="D4678" s="2414" t="s">
        <v>10462</v>
      </c>
    </row>
    <row r="4679" spans="1:4" ht="12.75" customHeight="1">
      <c r="A4679" s="2410" t="str">
        <f t="shared" si="84"/>
        <v>Laufstall, Melkkarusell 20 ME, Fütterung Mischwagen</v>
      </c>
      <c r="B4679" s="2410" t="s">
        <v>6186</v>
      </c>
      <c r="C4679" s="2410" t="s">
        <v>6187</v>
      </c>
      <c r="D4679" s="2414" t="s">
        <v>10463</v>
      </c>
    </row>
    <row r="4680" spans="1:4" ht="12.75" customHeight="1">
      <c r="A4680" s="2410" t="str">
        <f t="shared" si="84"/>
        <v>Laufstall, Melkroboter Zweiboxen, Fütterung Mischwagen</v>
      </c>
      <c r="B4680" s="2410" t="s">
        <v>6188</v>
      </c>
      <c r="C4680" s="2410" t="s">
        <v>6189</v>
      </c>
      <c r="D4680" s="2414" t="s">
        <v>10464</v>
      </c>
    </row>
    <row r="4681" spans="1:4" ht="12.75" customHeight="1">
      <c r="A4681" s="2410" t="str">
        <f t="shared" si="84"/>
        <v xml:space="preserve">Jungvieh, keine Stallhaltung im Sommer </v>
      </c>
      <c r="B4681" s="2410" t="s">
        <v>7774</v>
      </c>
      <c r="C4681" s="2410" t="s">
        <v>7775</v>
      </c>
      <c r="D4681" s="2414" t="s">
        <v>10465</v>
      </c>
    </row>
    <row r="4682" spans="1:4" ht="12.75" customHeight="1">
      <c r="A4682" s="2410" t="str">
        <f t="shared" si="84"/>
        <v>10 Tiere</v>
      </c>
      <c r="B4682" s="2410" t="s">
        <v>4024</v>
      </c>
      <c r="C4682" s="2410" t="s">
        <v>2994</v>
      </c>
      <c r="D4682" s="2414" t="s">
        <v>3561</v>
      </c>
    </row>
    <row r="4683" spans="1:4" ht="12.75" customHeight="1">
      <c r="A4683" s="2410" t="str">
        <f t="shared" si="84"/>
        <v>Anbindestall, Fütterung von Hand</v>
      </c>
      <c r="B4683" s="2410" t="s">
        <v>4964</v>
      </c>
      <c r="C4683" s="2410" t="s">
        <v>7459</v>
      </c>
      <c r="D4683" s="2414" t="s">
        <v>10466</v>
      </c>
    </row>
    <row r="4684" spans="1:4" ht="12.75" customHeight="1">
      <c r="A4684" s="2410" t="str">
        <f t="shared" si="84"/>
        <v>Laufstall, Fütterung von Hand</v>
      </c>
      <c r="B4684" s="2410" t="s">
        <v>4965</v>
      </c>
      <c r="C4684" s="2410" t="s">
        <v>7460</v>
      </c>
      <c r="D4684" s="2414" t="s">
        <v>10467</v>
      </c>
    </row>
    <row r="4685" spans="1:4" ht="12.75" customHeight="1">
      <c r="A4685" s="2410" t="str">
        <f t="shared" si="84"/>
        <v>Laufstall, Fütterung mit Futtermischwagen</v>
      </c>
      <c r="B4685" s="2410" t="s">
        <v>2891</v>
      </c>
      <c r="C4685" s="2410" t="s">
        <v>7461</v>
      </c>
      <c r="D4685" s="2414" t="s">
        <v>10468</v>
      </c>
    </row>
    <row r="4686" spans="1:4" ht="12.75" customHeight="1">
      <c r="A4686" s="2410" t="str">
        <f t="shared" si="84"/>
        <v>20 Tiere</v>
      </c>
      <c r="B4686" s="2410" t="s">
        <v>4025</v>
      </c>
      <c r="C4686" s="2410" t="s">
        <v>3279</v>
      </c>
      <c r="D4686" s="2414" t="s">
        <v>747</v>
      </c>
    </row>
    <row r="4687" spans="1:4" ht="12.75" customHeight="1">
      <c r="A4687" s="2410" t="str">
        <f t="shared" si="84"/>
        <v>Anbindestall, Fütterung von Hand</v>
      </c>
      <c r="B4687" s="2410" t="s">
        <v>4964</v>
      </c>
      <c r="C4687" s="2410" t="s">
        <v>7459</v>
      </c>
      <c r="D4687" s="2414" t="s">
        <v>10466</v>
      </c>
    </row>
    <row r="4688" spans="1:4" ht="12.75" customHeight="1">
      <c r="A4688" s="2410" t="str">
        <f t="shared" si="84"/>
        <v>Laufstall, Fütterung von Hand</v>
      </c>
      <c r="B4688" s="2410" t="s">
        <v>4965</v>
      </c>
      <c r="C4688" s="2410" t="s">
        <v>7460</v>
      </c>
      <c r="D4688" s="2414" t="s">
        <v>10467</v>
      </c>
    </row>
    <row r="4689" spans="1:4" ht="12.75" customHeight="1">
      <c r="A4689" s="2410" t="str">
        <f t="shared" si="84"/>
        <v>Laufstall, Fütterung mit Futtermischwagen</v>
      </c>
      <c r="B4689" s="2410" t="s">
        <v>2891</v>
      </c>
      <c r="C4689" s="2410" t="s">
        <v>7461</v>
      </c>
      <c r="D4689" s="2414" t="s">
        <v>10468</v>
      </c>
    </row>
    <row r="4690" spans="1:4" ht="12.75" customHeight="1">
      <c r="A4690" s="2410" t="str">
        <f t="shared" si="84"/>
        <v>30 Tiere</v>
      </c>
      <c r="B4690" s="2410" t="s">
        <v>4966</v>
      </c>
      <c r="C4690" s="2410" t="s">
        <v>4967</v>
      </c>
      <c r="D4690" s="2414" t="s">
        <v>748</v>
      </c>
    </row>
    <row r="4691" spans="1:4" ht="12.75" customHeight="1">
      <c r="A4691" s="2410" t="str">
        <f t="shared" si="84"/>
        <v>Anbindestall, Fütterung von Hand</v>
      </c>
      <c r="B4691" s="2410" t="s">
        <v>4964</v>
      </c>
      <c r="C4691" s="2410" t="s">
        <v>7459</v>
      </c>
      <c r="D4691" s="2414" t="s">
        <v>10466</v>
      </c>
    </row>
    <row r="4692" spans="1:4" ht="12.75" customHeight="1">
      <c r="A4692" s="2410" t="str">
        <f t="shared" si="84"/>
        <v>Laufstall, Fütterung von Hand</v>
      </c>
      <c r="B4692" s="2410" t="s">
        <v>4965</v>
      </c>
      <c r="C4692" s="2410" t="s">
        <v>7460</v>
      </c>
      <c r="D4692" s="2414" t="s">
        <v>10467</v>
      </c>
    </row>
    <row r="4693" spans="1:4" ht="12.75" customHeight="1">
      <c r="A4693" s="2410" t="str">
        <f t="shared" si="84"/>
        <v>Laufstall, Fütterung mit Futtermischwagen</v>
      </c>
      <c r="B4693" s="2410" t="s">
        <v>2891</v>
      </c>
      <c r="C4693" s="2410" t="s">
        <v>7461</v>
      </c>
      <c r="D4693" s="2414" t="s">
        <v>10468</v>
      </c>
    </row>
    <row r="4694" spans="1:4" ht="12.75" customHeight="1">
      <c r="A4694" s="2410" t="str">
        <f t="shared" si="84"/>
        <v>40 Tiere</v>
      </c>
      <c r="B4694" s="2410" t="s">
        <v>4026</v>
      </c>
      <c r="C4694" s="2410" t="s">
        <v>3280</v>
      </c>
      <c r="D4694" s="2414" t="s">
        <v>749</v>
      </c>
    </row>
    <row r="4695" spans="1:4" ht="12.75" customHeight="1">
      <c r="A4695" s="2410" t="str">
        <f t="shared" si="84"/>
        <v>Anbindestall, Fütterung von Hand</v>
      </c>
      <c r="B4695" s="2410" t="s">
        <v>4964</v>
      </c>
      <c r="C4695" s="2410" t="s">
        <v>7459</v>
      </c>
      <c r="D4695" s="2414" t="s">
        <v>10466</v>
      </c>
    </row>
    <row r="4696" spans="1:4" ht="12.75" customHeight="1">
      <c r="A4696" s="2410" t="str">
        <f t="shared" si="84"/>
        <v>Laufstall, Fütterung von Hand</v>
      </c>
      <c r="B4696" s="2410" t="s">
        <v>4965</v>
      </c>
      <c r="C4696" s="2410" t="s">
        <v>7460</v>
      </c>
      <c r="D4696" s="2414" t="s">
        <v>10467</v>
      </c>
    </row>
    <row r="4697" spans="1:4" ht="12.75" customHeight="1">
      <c r="A4697" s="2410" t="str">
        <f t="shared" si="84"/>
        <v>Laufstall, Fütterung mit Futtermischwagen</v>
      </c>
      <c r="B4697" s="2410" t="s">
        <v>2891</v>
      </c>
      <c r="C4697" s="2410" t="s">
        <v>7461</v>
      </c>
      <c r="D4697" s="2414" t="s">
        <v>10468</v>
      </c>
    </row>
    <row r="4698" spans="1:4" ht="12.75" customHeight="1">
      <c r="A4698" s="2410" t="str">
        <f t="shared" si="84"/>
        <v>50 Tiere</v>
      </c>
      <c r="B4698" s="2410" t="s">
        <v>6614</v>
      </c>
      <c r="C4698" s="2410" t="s">
        <v>4968</v>
      </c>
      <c r="D4698" s="2414" t="s">
        <v>750</v>
      </c>
    </row>
    <row r="4699" spans="1:4" ht="12.75" customHeight="1">
      <c r="A4699" s="2410" t="str">
        <f t="shared" si="84"/>
        <v>Anbindestall, Fütterung von Hand</v>
      </c>
      <c r="B4699" s="2410" t="s">
        <v>4964</v>
      </c>
      <c r="C4699" s="2410" t="s">
        <v>7459</v>
      </c>
      <c r="D4699" s="2414" t="s">
        <v>10466</v>
      </c>
    </row>
    <row r="4700" spans="1:4" ht="12.75" customHeight="1">
      <c r="A4700" s="2410" t="str">
        <f t="shared" si="84"/>
        <v>Laufstall, Fütterung von Hand</v>
      </c>
      <c r="B4700" s="2410" t="s">
        <v>4965</v>
      </c>
      <c r="C4700" s="2410" t="s">
        <v>7460</v>
      </c>
      <c r="D4700" s="2414" t="s">
        <v>10467</v>
      </c>
    </row>
    <row r="4701" spans="1:4" ht="12.75" customHeight="1">
      <c r="A4701" s="2410" t="str">
        <f t="shared" si="84"/>
        <v>Laufstall, Fütterung mit Futtermischwagen</v>
      </c>
      <c r="B4701" s="2410" t="s">
        <v>2891</v>
      </c>
      <c r="C4701" s="2410" t="s">
        <v>7461</v>
      </c>
      <c r="D4701" s="2414" t="s">
        <v>10468</v>
      </c>
    </row>
    <row r="4702" spans="1:4" ht="12.75" customHeight="1">
      <c r="A4702" s="2410" t="str">
        <f t="shared" si="84"/>
        <v>Kälber</v>
      </c>
      <c r="B4702" s="2410" t="s">
        <v>6348</v>
      </c>
      <c r="C4702" s="2410" t="s">
        <v>5045</v>
      </c>
      <c r="D4702" s="2414" t="s">
        <v>10304</v>
      </c>
    </row>
    <row r="4703" spans="1:4" ht="12.75" customHeight="1">
      <c r="A4703" s="2410" t="str">
        <f t="shared" si="84"/>
        <v>5 Plätze</v>
      </c>
      <c r="B4703" s="2410" t="s">
        <v>7045</v>
      </c>
      <c r="C4703" s="2410" t="s">
        <v>3281</v>
      </c>
      <c r="D4703" s="2414" t="s">
        <v>751</v>
      </c>
    </row>
    <row r="4704" spans="1:4" ht="12.75" customHeight="1">
      <c r="A4704" s="2410" t="str">
        <f t="shared" si="84"/>
        <v>Stallhaltung, Eimertränke</v>
      </c>
      <c r="B4704" s="2410" t="s">
        <v>3103</v>
      </c>
      <c r="C4704" s="2410" t="s">
        <v>7462</v>
      </c>
      <c r="D4704" s="2414" t="s">
        <v>10469</v>
      </c>
    </row>
    <row r="4705" spans="1:4" ht="12.75" customHeight="1">
      <c r="A4705" s="2410" t="str">
        <f t="shared" si="84"/>
        <v>Iglu-Haltung, Eimertränke</v>
      </c>
      <c r="B4705" s="2410" t="s">
        <v>3487</v>
      </c>
      <c r="C4705" s="2410" t="s">
        <v>7463</v>
      </c>
      <c r="D4705" s="2414" t="s">
        <v>10470</v>
      </c>
    </row>
    <row r="4706" spans="1:4" ht="12.75" customHeight="1">
      <c r="A4706" s="2410" t="str">
        <f t="shared" si="84"/>
        <v>10 Plätze</v>
      </c>
      <c r="B4706" s="2410" t="s">
        <v>3100</v>
      </c>
      <c r="C4706" s="2410" t="s">
        <v>3246</v>
      </c>
      <c r="D4706" s="2414" t="s">
        <v>814</v>
      </c>
    </row>
    <row r="4707" spans="1:4" ht="12.75" customHeight="1">
      <c r="A4707" s="2410" t="str">
        <f t="shared" si="84"/>
        <v>Stallhaltung, Eimertränke</v>
      </c>
      <c r="B4707" s="2410" t="s">
        <v>3103</v>
      </c>
      <c r="C4707" s="2410" t="s">
        <v>7462</v>
      </c>
      <c r="D4707" s="2414" t="s">
        <v>10469</v>
      </c>
    </row>
    <row r="4708" spans="1:4" ht="12.75" customHeight="1">
      <c r="A4708" s="2410" t="str">
        <f t="shared" si="84"/>
        <v>Iglu-Haltung, Eimertränke</v>
      </c>
      <c r="B4708" s="2410" t="s">
        <v>3487</v>
      </c>
      <c r="C4708" s="2410" t="s">
        <v>7463</v>
      </c>
      <c r="D4708" s="2414" t="s">
        <v>10470</v>
      </c>
    </row>
    <row r="4709" spans="1:4" ht="12.75" customHeight="1">
      <c r="A4709" s="2410" t="str">
        <f t="shared" si="84"/>
        <v>Stall- oder Igluhaltung, Tränken am Automat</v>
      </c>
      <c r="B4709" s="2410" t="s">
        <v>1977</v>
      </c>
      <c r="C4709" s="2410" t="s">
        <v>7464</v>
      </c>
      <c r="D4709" s="2414" t="s">
        <v>10471</v>
      </c>
    </row>
    <row r="4710" spans="1:4" ht="12.75" customHeight="1">
      <c r="A4710" s="2410" t="str">
        <f t="shared" si="84"/>
        <v>20 Plätze</v>
      </c>
      <c r="B4710" s="2410" t="s">
        <v>3101</v>
      </c>
      <c r="C4710" s="2410" t="s">
        <v>4955</v>
      </c>
      <c r="D4710" s="2414" t="s">
        <v>815</v>
      </c>
    </row>
    <row r="4711" spans="1:4" ht="12.75" customHeight="1">
      <c r="A4711" s="2410" t="str">
        <f t="shared" si="84"/>
        <v>Stallhaltung, Eimertränke</v>
      </c>
      <c r="B4711" s="2410" t="s">
        <v>3103</v>
      </c>
      <c r="C4711" s="2410" t="s">
        <v>7462</v>
      </c>
      <c r="D4711" s="2414" t="s">
        <v>10469</v>
      </c>
    </row>
    <row r="4712" spans="1:4" ht="12.75" customHeight="1">
      <c r="A4712" s="2410" t="str">
        <f t="shared" si="84"/>
        <v>Iglu-Haltung, Eimertränke</v>
      </c>
      <c r="B4712" s="2410" t="s">
        <v>3487</v>
      </c>
      <c r="C4712" s="2410" t="s">
        <v>7463</v>
      </c>
      <c r="D4712" s="2414" t="s">
        <v>10470</v>
      </c>
    </row>
    <row r="4713" spans="1:4" ht="12.75" customHeight="1">
      <c r="A4713" s="2410" t="str">
        <f t="shared" si="84"/>
        <v>Stall- oder Igluhaltung, Tränken am Automat</v>
      </c>
      <c r="B4713" s="2410" t="s">
        <v>1977</v>
      </c>
      <c r="C4713" s="2410" t="s">
        <v>7464</v>
      </c>
      <c r="D4713" s="2414" t="s">
        <v>10471</v>
      </c>
    </row>
    <row r="4714" spans="1:4" ht="12.75" customHeight="1">
      <c r="A4714" s="2410" t="str">
        <f t="shared" si="84"/>
        <v>40 Plätze</v>
      </c>
      <c r="B4714" s="2410" t="s">
        <v>3102</v>
      </c>
      <c r="C4714" s="2410" t="s">
        <v>4956</v>
      </c>
      <c r="D4714" s="2414" t="s">
        <v>816</v>
      </c>
    </row>
    <row r="4715" spans="1:4" ht="12.75" customHeight="1">
      <c r="A4715" s="2410" t="str">
        <f t="shared" si="84"/>
        <v>Stallhaltung, Eimertränke</v>
      </c>
      <c r="B4715" s="2410" t="s">
        <v>3103</v>
      </c>
      <c r="C4715" s="2410" t="s">
        <v>7462</v>
      </c>
      <c r="D4715" s="2414" t="s">
        <v>10469</v>
      </c>
    </row>
    <row r="4716" spans="1:4" ht="12.75" customHeight="1">
      <c r="A4716" s="2410" t="str">
        <f t="shared" si="84"/>
        <v>Iglu-Haltung, Eimertränke</v>
      </c>
      <c r="B4716" s="2410" t="s">
        <v>3487</v>
      </c>
      <c r="C4716" s="2410" t="s">
        <v>7463</v>
      </c>
      <c r="D4716" s="2414" t="s">
        <v>10470</v>
      </c>
    </row>
    <row r="4717" spans="1:4" ht="12.75" customHeight="1">
      <c r="A4717" s="2410" t="str">
        <f t="shared" si="84"/>
        <v>Stall- oder Igluhaltung, Tränken am Automat</v>
      </c>
      <c r="B4717" s="2410" t="s">
        <v>1977</v>
      </c>
      <c r="C4717" s="2410" t="s">
        <v>7464</v>
      </c>
      <c r="D4717" s="2414" t="s">
        <v>10471</v>
      </c>
    </row>
    <row r="4718" spans="1:4" ht="12.75" customHeight="1">
      <c r="A4718" s="2410" t="str">
        <f t="shared" si="84"/>
        <v>Mutterkühe mit Kalb</v>
      </c>
      <c r="B4718" s="2410" t="s">
        <v>3852</v>
      </c>
      <c r="C4718" s="2410" t="s">
        <v>7125</v>
      </c>
      <c r="D4718" s="2414" t="s">
        <v>817</v>
      </c>
    </row>
    <row r="4719" spans="1:4" ht="12.75" customHeight="1">
      <c r="A4719" s="2410" t="str">
        <f t="shared" ref="A4719:A4796" si="85">IF($A$2=1,B4719,IF($A$2=2,C4719,IF($A$2=3,IF(D4719="",C4719,D4719),"")))</f>
        <v>10 Mutterkühe</v>
      </c>
      <c r="B4719" s="2410" t="s">
        <v>1978</v>
      </c>
      <c r="C4719" s="2410" t="s">
        <v>3247</v>
      </c>
      <c r="D4719" s="2414" t="s">
        <v>10472</v>
      </c>
    </row>
    <row r="4720" spans="1:4" ht="12.75" customHeight="1">
      <c r="A4720" s="2410" t="str">
        <f t="shared" si="85"/>
        <v>Winterfütterung von Hand, Entmistung teilmech.</v>
      </c>
      <c r="B4720" s="2410" t="s">
        <v>6794</v>
      </c>
      <c r="C4720" s="2410" t="s">
        <v>661</v>
      </c>
      <c r="D4720" s="2414" t="s">
        <v>10473</v>
      </c>
    </row>
    <row r="4721" spans="1:4" ht="12.75" customHeight="1">
      <c r="A4721" s="2410" t="str">
        <f t="shared" si="85"/>
        <v>Winterfütterung von Hand, Entmistung mobil</v>
      </c>
      <c r="B4721" s="2410" t="s">
        <v>5176</v>
      </c>
      <c r="C4721" s="2410" t="s">
        <v>4282</v>
      </c>
      <c r="D4721" s="2414" t="s">
        <v>10474</v>
      </c>
    </row>
    <row r="4722" spans="1:4" ht="12.75" customHeight="1">
      <c r="A4722" s="2410" t="str">
        <f t="shared" si="85"/>
        <v>20 Mutterkühe</v>
      </c>
      <c r="B4722" s="2410" t="s">
        <v>1979</v>
      </c>
      <c r="C4722" s="2410" t="s">
        <v>3248</v>
      </c>
      <c r="D4722" s="2414" t="s">
        <v>10475</v>
      </c>
    </row>
    <row r="4723" spans="1:4" ht="12.75" customHeight="1">
      <c r="A4723" s="2410" t="str">
        <f t="shared" si="85"/>
        <v>Winterfütterung von Hand, Entmistung teilmech.</v>
      </c>
      <c r="B4723" s="2410" t="s">
        <v>6794</v>
      </c>
      <c r="C4723" s="2410" t="s">
        <v>661</v>
      </c>
      <c r="D4723" s="2414" t="s">
        <v>10473</v>
      </c>
    </row>
    <row r="4724" spans="1:4" ht="12.75" customHeight="1">
      <c r="A4724" s="2410" t="str">
        <f t="shared" si="85"/>
        <v>Winterfütterung von Hand, Entmistung mobil</v>
      </c>
      <c r="B4724" s="2410" t="s">
        <v>5176</v>
      </c>
      <c r="C4724" s="2410" t="s">
        <v>4282</v>
      </c>
      <c r="D4724" s="2414" t="s">
        <v>10474</v>
      </c>
    </row>
    <row r="4725" spans="1:4" ht="12.75" customHeight="1">
      <c r="A4725" s="2410" t="str">
        <f t="shared" si="85"/>
        <v>Fütterung mech., Entmistung mobil</v>
      </c>
      <c r="B4725" s="2410" t="s">
        <v>3730</v>
      </c>
      <c r="C4725" s="2410" t="s">
        <v>5987</v>
      </c>
      <c r="D4725" s="2414" t="s">
        <v>10476</v>
      </c>
    </row>
    <row r="4726" spans="1:4" ht="12.75" customHeight="1">
      <c r="A4726" s="2410" t="str">
        <f t="shared" si="85"/>
        <v>30 Mutterkühe</v>
      </c>
      <c r="B4726" s="2410" t="s">
        <v>835</v>
      </c>
      <c r="C4726" s="2410" t="s">
        <v>4509</v>
      </c>
      <c r="D4726" s="2414" t="s">
        <v>10477</v>
      </c>
    </row>
    <row r="4727" spans="1:4" ht="12.75" customHeight="1">
      <c r="A4727" s="2410" t="str">
        <f t="shared" si="85"/>
        <v>Winterfütterung von Hand, Entmistung teilmech.</v>
      </c>
      <c r="B4727" s="2410" t="s">
        <v>6794</v>
      </c>
      <c r="C4727" s="2410" t="s">
        <v>661</v>
      </c>
      <c r="D4727" s="2414" t="s">
        <v>10473</v>
      </c>
    </row>
    <row r="4728" spans="1:4" ht="12.75" customHeight="1">
      <c r="A4728" s="2410" t="str">
        <f t="shared" si="85"/>
        <v>Winterfütterung von Hand, Entmistung mobil</v>
      </c>
      <c r="B4728" s="2410" t="s">
        <v>5176</v>
      </c>
      <c r="C4728" s="2410" t="s">
        <v>4282</v>
      </c>
      <c r="D4728" s="2414" t="s">
        <v>10474</v>
      </c>
    </row>
    <row r="4729" spans="1:4" ht="12.75" customHeight="1">
      <c r="A4729" s="2410" t="str">
        <f t="shared" si="85"/>
        <v>Fütterung mech., Entmistung mobil</v>
      </c>
      <c r="B4729" s="2410" t="s">
        <v>3730</v>
      </c>
      <c r="C4729" s="2410" t="s">
        <v>5987</v>
      </c>
      <c r="D4729" s="2414" t="s">
        <v>10476</v>
      </c>
    </row>
    <row r="4730" spans="1:4" ht="12.75" customHeight="1">
      <c r="A4730" s="2410" t="str">
        <f t="shared" si="85"/>
        <v>40 Mutterkühe</v>
      </c>
      <c r="B4730" s="2410" t="s">
        <v>1980</v>
      </c>
      <c r="C4730" s="2410" t="s">
        <v>3249</v>
      </c>
      <c r="D4730" s="2414" t="s">
        <v>10478</v>
      </c>
    </row>
    <row r="4731" spans="1:4" ht="12.75" customHeight="1">
      <c r="A4731" s="2410" t="str">
        <f t="shared" si="85"/>
        <v>Winterfütterung von Hand, Entmistung teilmech.</v>
      </c>
      <c r="B4731" s="2410" t="s">
        <v>6794</v>
      </c>
      <c r="C4731" s="2410" t="s">
        <v>661</v>
      </c>
      <c r="D4731" s="2414" t="s">
        <v>10473</v>
      </c>
    </row>
    <row r="4732" spans="1:4" ht="12.75" customHeight="1">
      <c r="A4732" s="2410" t="str">
        <f t="shared" si="85"/>
        <v>Winterfütterung von Hand, Entmistung mobil</v>
      </c>
      <c r="B4732" s="2410" t="s">
        <v>5176</v>
      </c>
      <c r="C4732" s="2410" t="s">
        <v>4282</v>
      </c>
      <c r="D4732" s="2414" t="s">
        <v>10474</v>
      </c>
    </row>
    <row r="4733" spans="1:4" ht="12.75" customHeight="1">
      <c r="A4733" s="2410" t="str">
        <f t="shared" si="85"/>
        <v>Fütterung mech., Entmistung mobil</v>
      </c>
      <c r="B4733" s="2410" t="s">
        <v>3730</v>
      </c>
      <c r="C4733" s="2410" t="s">
        <v>5987</v>
      </c>
      <c r="D4733" s="2414" t="s">
        <v>10476</v>
      </c>
    </row>
    <row r="4734" spans="1:4" ht="12.75" customHeight="1">
      <c r="A4734" s="2410" t="str">
        <f t="shared" si="85"/>
        <v>60 Mutterkühe</v>
      </c>
      <c r="B4734" s="2410" t="s">
        <v>3850</v>
      </c>
      <c r="C4734" s="2410" t="s">
        <v>5894</v>
      </c>
      <c r="D4734" s="2414" t="s">
        <v>10479</v>
      </c>
    </row>
    <row r="4735" spans="1:4" ht="12.75" customHeight="1">
      <c r="A4735" s="2410" t="str">
        <f t="shared" si="85"/>
        <v>Fütterung mech., Entmistung mobil</v>
      </c>
      <c r="B4735" s="2410" t="s">
        <v>3730</v>
      </c>
      <c r="C4735" s="2410" t="s">
        <v>5987</v>
      </c>
      <c r="D4735" s="2414" t="s">
        <v>10476</v>
      </c>
    </row>
    <row r="4736" spans="1:4" ht="12.75" customHeight="1">
      <c r="A4736" s="2410" t="str">
        <f t="shared" si="85"/>
        <v>100 Mutterkühe</v>
      </c>
      <c r="B4736" s="2410" t="s">
        <v>3851</v>
      </c>
      <c r="C4736" s="2410" t="s">
        <v>5895</v>
      </c>
      <c r="D4736" s="2414" t="s">
        <v>10480</v>
      </c>
    </row>
    <row r="4737" spans="1:4" ht="12.75" customHeight="1">
      <c r="A4737" s="2410" t="str">
        <f t="shared" si="85"/>
        <v>Fütterung mech., Entmistung mobil</v>
      </c>
      <c r="B4737" s="2410" t="s">
        <v>3730</v>
      </c>
      <c r="C4737" s="2410" t="s">
        <v>5987</v>
      </c>
      <c r="D4737" s="2414" t="s">
        <v>10476</v>
      </c>
    </row>
    <row r="4738" spans="1:4" ht="12.75" customHeight="1">
      <c r="A4738" s="2410" t="str">
        <f t="shared" si="85"/>
        <v>Rindviehmast intensiv, keine Weideh. im Sommer</v>
      </c>
      <c r="B4738" s="2410" t="s">
        <v>282</v>
      </c>
      <c r="C4738" s="2410" t="s">
        <v>7155</v>
      </c>
      <c r="D4738" s="2414" t="s">
        <v>10481</v>
      </c>
    </row>
    <row r="4739" spans="1:4" ht="12.75" customHeight="1">
      <c r="A4739" s="2410" t="str">
        <f t="shared" si="85"/>
        <v>10 Plätze</v>
      </c>
      <c r="B4739" s="2410" t="s">
        <v>3100</v>
      </c>
      <c r="C4739" s="2410" t="s">
        <v>3200</v>
      </c>
      <c r="D4739" s="2414" t="s">
        <v>814</v>
      </c>
    </row>
    <row r="4740" spans="1:4" ht="12.75" customHeight="1">
      <c r="A4740" s="2410" t="str">
        <f t="shared" si="85"/>
        <v>Tiefstreulaufstall, Fütterung von Hand</v>
      </c>
      <c r="B4740" s="2410" t="s">
        <v>7156</v>
      </c>
      <c r="C4740" s="2410" t="s">
        <v>7158</v>
      </c>
      <c r="D4740" s="2414" t="s">
        <v>10482</v>
      </c>
    </row>
    <row r="4741" spans="1:4" ht="12.75" customHeight="1">
      <c r="A4741" s="2410" t="str">
        <f t="shared" si="85"/>
        <v>20 Plätze</v>
      </c>
      <c r="B4741" s="2410" t="s">
        <v>3101</v>
      </c>
      <c r="C4741" s="2410" t="s">
        <v>3201</v>
      </c>
      <c r="D4741" s="2414" t="s">
        <v>815</v>
      </c>
    </row>
    <row r="4742" spans="1:4" ht="12.75" customHeight="1">
      <c r="A4742" s="2410" t="str">
        <f t="shared" si="85"/>
        <v>Tiefstreulaufstall, Fütterung von Hand</v>
      </c>
      <c r="B4742" s="2410" t="s">
        <v>7156</v>
      </c>
      <c r="C4742" s="2410" t="s">
        <v>7158</v>
      </c>
      <c r="D4742" s="2414" t="s">
        <v>10482</v>
      </c>
    </row>
    <row r="4743" spans="1:4" ht="12.75" customHeight="1">
      <c r="A4743" s="2410" t="str">
        <f t="shared" si="85"/>
        <v>30 Plätze</v>
      </c>
      <c r="B4743" s="2410" t="s">
        <v>3202</v>
      </c>
      <c r="C4743" s="2410" t="s">
        <v>3203</v>
      </c>
      <c r="D4743" s="2414" t="s">
        <v>1967</v>
      </c>
    </row>
    <row r="4744" spans="1:4" ht="12.75" customHeight="1">
      <c r="A4744" s="2410" t="str">
        <f t="shared" si="85"/>
        <v>Tiefstreulaufstall, Fütterung von Hand</v>
      </c>
      <c r="B4744" s="2410" t="s">
        <v>7156</v>
      </c>
      <c r="C4744" s="2410" t="s">
        <v>7158</v>
      </c>
      <c r="D4744" s="2414" t="s">
        <v>10482</v>
      </c>
    </row>
    <row r="4745" spans="1:4" ht="12.75" customHeight="1">
      <c r="A4745" s="2410" t="str">
        <f t="shared" si="85"/>
        <v>Tiefstreulaufstall, Fütterung mit Futtermischwagen</v>
      </c>
      <c r="B4745" s="2410" t="s">
        <v>7157</v>
      </c>
      <c r="C4745" s="2410" t="s">
        <v>7159</v>
      </c>
      <c r="D4745" s="2414" t="s">
        <v>10483</v>
      </c>
    </row>
    <row r="4746" spans="1:4" ht="12.75" customHeight="1">
      <c r="A4746" s="2410" t="str">
        <f t="shared" si="85"/>
        <v>50 Plätze</v>
      </c>
      <c r="B4746" s="2410" t="s">
        <v>629</v>
      </c>
      <c r="C4746" s="2410" t="s">
        <v>2648</v>
      </c>
      <c r="D4746" s="2414" t="s">
        <v>1968</v>
      </c>
    </row>
    <row r="4747" spans="1:4" ht="12.75" customHeight="1">
      <c r="A4747" s="2410" t="str">
        <f t="shared" si="85"/>
        <v>Tiefstreulaufstall, Fütterung von Hand</v>
      </c>
      <c r="B4747" s="2410" t="s">
        <v>7156</v>
      </c>
      <c r="C4747" s="2410" t="s">
        <v>7158</v>
      </c>
      <c r="D4747" s="2414" t="s">
        <v>10482</v>
      </c>
    </row>
    <row r="4748" spans="1:4" ht="12.75" customHeight="1">
      <c r="A4748" s="2410" t="str">
        <f t="shared" si="85"/>
        <v>Tiefstreulaufstall, Fütterung mit Futtermischwagen</v>
      </c>
      <c r="B4748" s="2410" t="s">
        <v>7157</v>
      </c>
      <c r="C4748" s="2410" t="s">
        <v>7159</v>
      </c>
      <c r="D4748" s="2414" t="s">
        <v>10483</v>
      </c>
    </row>
    <row r="4749" spans="1:4" ht="12.75" customHeight="1">
      <c r="A4749" s="2410" t="str">
        <f t="shared" si="85"/>
        <v>Spaltenbodenlaufstall, Fütterung mit Futtermischwagen</v>
      </c>
      <c r="B4749" s="2410" t="s">
        <v>5988</v>
      </c>
      <c r="C4749" s="2410" t="s">
        <v>5989</v>
      </c>
      <c r="D4749" s="2414" t="s">
        <v>10484</v>
      </c>
    </row>
    <row r="4750" spans="1:4" ht="12.75" customHeight="1">
      <c r="A4750" s="2410" t="str">
        <f t="shared" si="85"/>
        <v>100 Plätze</v>
      </c>
      <c r="B4750" s="2410" t="s">
        <v>4781</v>
      </c>
      <c r="C4750" s="2410" t="s">
        <v>4782</v>
      </c>
      <c r="D4750" s="2414" t="s">
        <v>1969</v>
      </c>
    </row>
    <row r="4751" spans="1:4" ht="12.75" customHeight="1">
      <c r="A4751" s="2410" t="str">
        <f t="shared" si="85"/>
        <v>Tiefstreulaufstall, Fütterung mit Futtermischwagen</v>
      </c>
      <c r="B4751" s="2410" t="s">
        <v>7157</v>
      </c>
      <c r="C4751" s="2410" t="s">
        <v>7159</v>
      </c>
      <c r="D4751" s="2414" t="s">
        <v>10483</v>
      </c>
    </row>
    <row r="4752" spans="1:4" ht="12.75" customHeight="1">
      <c r="A4752" s="2410" t="str">
        <f t="shared" si="85"/>
        <v>Spaltenbodenlaufstall, Fütterung mit Futtermischwagen</v>
      </c>
      <c r="B4752" s="2410" t="s">
        <v>5988</v>
      </c>
      <c r="C4752" s="2410" t="s">
        <v>5989</v>
      </c>
      <c r="D4752" s="2414" t="s">
        <v>10484</v>
      </c>
    </row>
    <row r="4753" spans="1:4" ht="12.75" customHeight="1">
      <c r="A4753" s="2410" t="str">
        <f t="shared" si="85"/>
        <v>Weidemast, keine Stallh. im Sommer</v>
      </c>
      <c r="B4753" s="2410" t="s">
        <v>283</v>
      </c>
      <c r="C4753" s="2410" t="s">
        <v>7154</v>
      </c>
      <c r="D4753" s="2414" t="s">
        <v>10485</v>
      </c>
    </row>
    <row r="4754" spans="1:4" ht="12.75" customHeight="1">
      <c r="A4754" s="2410" t="str">
        <f t="shared" si="85"/>
        <v>10 Plätze</v>
      </c>
      <c r="B4754" s="2410" t="s">
        <v>3100</v>
      </c>
      <c r="C4754" s="2410" t="s">
        <v>3200</v>
      </c>
      <c r="D4754" s="2414" t="s">
        <v>814</v>
      </c>
    </row>
    <row r="4755" spans="1:4" ht="12.75" customHeight="1">
      <c r="A4755" s="2410" t="str">
        <f t="shared" si="85"/>
        <v>Anbindestall, Fütterung von Hand</v>
      </c>
      <c r="B4755" s="2410" t="s">
        <v>4964</v>
      </c>
      <c r="C4755" s="2410" t="s">
        <v>7459</v>
      </c>
      <c r="D4755" s="2414" t="s">
        <v>10466</v>
      </c>
    </row>
    <row r="4756" spans="1:4" ht="12.75" customHeight="1">
      <c r="A4756" s="2410" t="str">
        <f t="shared" si="85"/>
        <v>Laufstall, Fütterung von Hand</v>
      </c>
      <c r="B4756" s="2410" t="s">
        <v>4965</v>
      </c>
      <c r="C4756" s="2410" t="s">
        <v>7460</v>
      </c>
      <c r="D4756" s="2414" t="s">
        <v>10467</v>
      </c>
    </row>
    <row r="4757" spans="1:4" ht="12.75" customHeight="1">
      <c r="A4757" s="2410" t="str">
        <f t="shared" si="85"/>
        <v>Laufstall, Fütterung mit Futtermischwagen</v>
      </c>
      <c r="B4757" s="2410" t="s">
        <v>2891</v>
      </c>
      <c r="C4757" s="2410" t="s">
        <v>7461</v>
      </c>
      <c r="D4757" s="2414" t="s">
        <v>10468</v>
      </c>
    </row>
    <row r="4758" spans="1:4" ht="12.75" customHeight="1">
      <c r="A4758" s="2410" t="str">
        <f t="shared" si="85"/>
        <v>20 Plätze</v>
      </c>
      <c r="B4758" s="2410" t="s">
        <v>3101</v>
      </c>
      <c r="C4758" s="2410" t="s">
        <v>3201</v>
      </c>
      <c r="D4758" s="2414" t="s">
        <v>815</v>
      </c>
    </row>
    <row r="4759" spans="1:4" ht="12.75" customHeight="1">
      <c r="A4759" s="2410" t="str">
        <f t="shared" si="85"/>
        <v>Anbindestall, Fütterung von Hand</v>
      </c>
      <c r="B4759" s="2410" t="s">
        <v>4964</v>
      </c>
      <c r="C4759" s="2410" t="s">
        <v>7459</v>
      </c>
      <c r="D4759" s="2414" t="s">
        <v>10466</v>
      </c>
    </row>
    <row r="4760" spans="1:4" ht="12.75" customHeight="1">
      <c r="A4760" s="2410" t="str">
        <f t="shared" si="85"/>
        <v>Laufstall, Fütterung von Hand</v>
      </c>
      <c r="B4760" s="2410" t="s">
        <v>4965</v>
      </c>
      <c r="C4760" s="2410" t="s">
        <v>7460</v>
      </c>
      <c r="D4760" s="2414" t="s">
        <v>10467</v>
      </c>
    </row>
    <row r="4761" spans="1:4" ht="12.75" customHeight="1">
      <c r="A4761" s="2410" t="str">
        <f t="shared" si="85"/>
        <v>Laufstall, Fütterung mit Futtermischwagen</v>
      </c>
      <c r="B4761" s="2410" t="s">
        <v>2891</v>
      </c>
      <c r="C4761" s="2410" t="s">
        <v>7461</v>
      </c>
      <c r="D4761" s="2414" t="s">
        <v>10468</v>
      </c>
    </row>
    <row r="4762" spans="1:4" ht="12.75" customHeight="1">
      <c r="A4762" s="2410" t="str">
        <f t="shared" si="85"/>
        <v>30 Plätze</v>
      </c>
      <c r="B4762" s="2410" t="s">
        <v>3202</v>
      </c>
      <c r="C4762" s="2410" t="s">
        <v>3203</v>
      </c>
      <c r="D4762" s="2414" t="s">
        <v>1967</v>
      </c>
    </row>
    <row r="4763" spans="1:4" ht="12.75" customHeight="1">
      <c r="A4763" s="2410" t="str">
        <f t="shared" si="85"/>
        <v>Anbindestall, Fütterung von Hand</v>
      </c>
      <c r="B4763" s="2410" t="s">
        <v>4964</v>
      </c>
      <c r="C4763" s="2410" t="s">
        <v>7459</v>
      </c>
      <c r="D4763" s="2414" t="s">
        <v>10466</v>
      </c>
    </row>
    <row r="4764" spans="1:4" ht="12.75" customHeight="1">
      <c r="A4764" s="2410" t="str">
        <f t="shared" si="85"/>
        <v>Laufstall, Fütterung von Hand</v>
      </c>
      <c r="B4764" s="2410" t="s">
        <v>4965</v>
      </c>
      <c r="C4764" s="2410" t="s">
        <v>7460</v>
      </c>
      <c r="D4764" s="2414" t="s">
        <v>10467</v>
      </c>
    </row>
    <row r="4765" spans="1:4" ht="12.75" customHeight="1">
      <c r="A4765" s="2410" t="str">
        <f t="shared" si="85"/>
        <v>Laufstall, Fütterung mit Futtermischwagen</v>
      </c>
      <c r="B4765" s="2410" t="s">
        <v>2891</v>
      </c>
      <c r="C4765" s="2410" t="s">
        <v>7461</v>
      </c>
      <c r="D4765" s="2414" t="s">
        <v>10468</v>
      </c>
    </row>
    <row r="4766" spans="1:4" ht="12.75" customHeight="1">
      <c r="A4766" s="2410" t="str">
        <f t="shared" si="85"/>
        <v>40 Plätze</v>
      </c>
      <c r="B4766" s="2410" t="s">
        <v>3102</v>
      </c>
      <c r="C4766" s="2410" t="s">
        <v>628</v>
      </c>
      <c r="D4766" s="2414" t="s">
        <v>816</v>
      </c>
    </row>
    <row r="4767" spans="1:4" ht="12.75" customHeight="1">
      <c r="A4767" s="2410" t="str">
        <f t="shared" si="85"/>
        <v>Anbindestall, Fütterung von Hand</v>
      </c>
      <c r="B4767" s="2410" t="s">
        <v>4964</v>
      </c>
      <c r="C4767" s="2410" t="s">
        <v>7459</v>
      </c>
      <c r="D4767" s="2414" t="s">
        <v>10466</v>
      </c>
    </row>
    <row r="4768" spans="1:4" ht="12.75" customHeight="1">
      <c r="A4768" s="2410" t="str">
        <f t="shared" si="85"/>
        <v>Laufstall, Fütterung von Hand</v>
      </c>
      <c r="B4768" s="2410" t="s">
        <v>4965</v>
      </c>
      <c r="C4768" s="2410" t="s">
        <v>7460</v>
      </c>
      <c r="D4768" s="2414" t="s">
        <v>10467</v>
      </c>
    </row>
    <row r="4769" spans="1:4" ht="12.75" customHeight="1">
      <c r="A4769" s="2410" t="str">
        <f t="shared" si="85"/>
        <v>Laufstall, Fütterung mit Futtermischwagen</v>
      </c>
      <c r="B4769" s="2410" t="s">
        <v>2891</v>
      </c>
      <c r="C4769" s="2410" t="s">
        <v>7461</v>
      </c>
      <c r="D4769" s="2414" t="s">
        <v>10468</v>
      </c>
    </row>
    <row r="4770" spans="1:4" ht="12.75" customHeight="1">
      <c r="A4770" s="2410" t="str">
        <f t="shared" si="85"/>
        <v>50 Plätze</v>
      </c>
      <c r="B4770" s="2410" t="s">
        <v>629</v>
      </c>
      <c r="C4770" s="2410" t="s">
        <v>2648</v>
      </c>
      <c r="D4770" s="2414" t="s">
        <v>1968</v>
      </c>
    </row>
    <row r="4771" spans="1:4" ht="12.75" customHeight="1">
      <c r="A4771" s="2410" t="str">
        <f t="shared" si="85"/>
        <v>Anbindestall, Fütterung von Hand</v>
      </c>
      <c r="B4771" s="2410" t="s">
        <v>4964</v>
      </c>
      <c r="C4771" s="2410" t="s">
        <v>7459</v>
      </c>
      <c r="D4771" s="2414" t="s">
        <v>10466</v>
      </c>
    </row>
    <row r="4772" spans="1:4" ht="12.75" customHeight="1">
      <c r="A4772" s="2410" t="str">
        <f t="shared" si="85"/>
        <v>Laufstall, Fütterung von Hand</v>
      </c>
      <c r="B4772" s="2410" t="s">
        <v>4965</v>
      </c>
      <c r="C4772" s="2410" t="s">
        <v>7460</v>
      </c>
      <c r="D4772" s="2414" t="s">
        <v>10467</v>
      </c>
    </row>
    <row r="4773" spans="1:4" ht="12.75" customHeight="1">
      <c r="A4773" s="2410" t="str">
        <f t="shared" si="85"/>
        <v>Laufstall, Fütterung mit Futtermischwagen</v>
      </c>
      <c r="B4773" s="2410" t="s">
        <v>2891</v>
      </c>
      <c r="C4773" s="2410" t="s">
        <v>7461</v>
      </c>
      <c r="D4773" s="2414" t="s">
        <v>10468</v>
      </c>
    </row>
    <row r="4774" spans="1:4" ht="12.75" customHeight="1">
      <c r="A4774" s="2410" t="str">
        <f t="shared" si="85"/>
        <v>Tiere der Pferdegattung</v>
      </c>
      <c r="B4774" s="2410" t="s">
        <v>5593</v>
      </c>
      <c r="C4774" s="2410" t="s">
        <v>59</v>
      </c>
      <c r="D4774" s="2414" t="s">
        <v>2219</v>
      </c>
    </row>
    <row r="4775" spans="1:4" ht="12.75" customHeight="1">
      <c r="A4775" s="2410" t="str">
        <f t="shared" si="85"/>
        <v>1 - 5 Tiere, Einzelboxen, Vollpension</v>
      </c>
      <c r="B4775" s="2410" t="s">
        <v>6612</v>
      </c>
      <c r="C4775" s="2410" t="s">
        <v>5083</v>
      </c>
      <c r="D4775" s="2414" t="s">
        <v>10486</v>
      </c>
    </row>
    <row r="4776" spans="1:4" ht="12.75" customHeight="1">
      <c r="A4776" s="2410" t="str">
        <f t="shared" si="85"/>
        <v>1 - 5 Tiere, Einzelboxen, Halbpension</v>
      </c>
      <c r="B4776" s="2410" t="s">
        <v>6613</v>
      </c>
      <c r="C4776" s="2410" t="s">
        <v>5084</v>
      </c>
      <c r="D4776" s="2414" t="s">
        <v>10487</v>
      </c>
    </row>
    <row r="4777" spans="1:4" ht="12.75" customHeight="1">
      <c r="A4777" s="2410" t="str">
        <f t="shared" ref="A4777:A4786" si="86">IF($A$2=1,B4777,IF($A$2=2,C4777,IF($A$2=3,IF(D4777="",C4777,D4777),"")))</f>
        <v>Milchschafe</v>
      </c>
      <c r="B4777" s="2410" t="s">
        <v>2893</v>
      </c>
      <c r="C4777" s="2410" t="s">
        <v>2894</v>
      </c>
      <c r="D4777" s="2414" t="s">
        <v>10493</v>
      </c>
    </row>
    <row r="4778" spans="1:4" ht="12.75" customHeight="1">
      <c r="A4778" s="2410" t="str">
        <f t="shared" si="86"/>
        <v>10 Tiere, inklusive Lämmerbetreuung</v>
      </c>
      <c r="B4778" s="2410" t="s">
        <v>5998</v>
      </c>
      <c r="C4778" s="2410" t="s">
        <v>5990</v>
      </c>
      <c r="D4778" s="2414" t="s">
        <v>12219</v>
      </c>
    </row>
    <row r="4779" spans="1:4" ht="12.75" customHeight="1">
      <c r="A4779" s="2410" t="str">
        <f t="shared" si="86"/>
        <v>50 Tiere, inklusive Lämmerbetreuung</v>
      </c>
      <c r="B4779" s="2410" t="s">
        <v>5999</v>
      </c>
      <c r="C4779" s="2410" t="s">
        <v>5991</v>
      </c>
      <c r="D4779" s="2414" t="s">
        <v>12220</v>
      </c>
    </row>
    <row r="4780" spans="1:4" ht="12.75" customHeight="1">
      <c r="A4780" s="2410" t="str">
        <f t="shared" si="86"/>
        <v>100 Tiere, inklusive Lämmerbetreuung</v>
      </c>
      <c r="B4780" s="2410" t="s">
        <v>6000</v>
      </c>
      <c r="C4780" s="2410" t="s">
        <v>5992</v>
      </c>
      <c r="D4780" s="2414" t="s">
        <v>12221</v>
      </c>
    </row>
    <row r="4781" spans="1:4" ht="12.75" customHeight="1">
      <c r="A4781" s="2410" t="str">
        <f t="shared" si="86"/>
        <v>200 Tiere, inklusive Lämmerbetreuung</v>
      </c>
      <c r="B4781" s="2410" t="s">
        <v>6001</v>
      </c>
      <c r="C4781" s="2410" t="s">
        <v>5993</v>
      </c>
      <c r="D4781" s="2414" t="s">
        <v>12222</v>
      </c>
    </row>
    <row r="4782" spans="1:4" ht="12.75" customHeight="1">
      <c r="A4782" s="2410" t="str">
        <f t="shared" si="86"/>
        <v>Fleischschafe</v>
      </c>
      <c r="B4782" s="3424" t="s">
        <v>12218</v>
      </c>
      <c r="C4782" s="3424" t="s">
        <v>12217</v>
      </c>
      <c r="D4782" s="3425" t="s">
        <v>12216</v>
      </c>
    </row>
    <row r="4783" spans="1:4" ht="12.75" customHeight="1">
      <c r="A4783" s="2410" t="str">
        <f t="shared" si="86"/>
        <v>10 Tiere, inklusive Lämmerbetreuung</v>
      </c>
      <c r="B4783" s="2410" t="s">
        <v>5998</v>
      </c>
      <c r="C4783" s="2410" t="s">
        <v>5990</v>
      </c>
      <c r="D4783" s="2414" t="s">
        <v>12219</v>
      </c>
    </row>
    <row r="4784" spans="1:4" ht="12.75" customHeight="1">
      <c r="A4784" s="2410" t="str">
        <f t="shared" si="86"/>
        <v>50 Tiere, inklusive Lämmerbetreuung</v>
      </c>
      <c r="B4784" s="2410" t="s">
        <v>5999</v>
      </c>
      <c r="C4784" s="2410" t="s">
        <v>5991</v>
      </c>
      <c r="D4784" s="2414" t="s">
        <v>12220</v>
      </c>
    </row>
    <row r="4785" spans="1:4" ht="12.75" customHeight="1">
      <c r="A4785" s="2410" t="str">
        <f t="shared" si="86"/>
        <v>100 Tiere, inklusive Lämmerbetreuung</v>
      </c>
      <c r="B4785" s="2410" t="s">
        <v>6000</v>
      </c>
      <c r="C4785" s="2410" t="s">
        <v>5992</v>
      </c>
      <c r="D4785" s="2414" t="s">
        <v>12221</v>
      </c>
    </row>
    <row r="4786" spans="1:4" ht="12.75" customHeight="1">
      <c r="A4786" s="2410" t="str">
        <f t="shared" si="86"/>
        <v>200 Tiere, inklusive Lämmerbetreuung</v>
      </c>
      <c r="B4786" s="2410" t="s">
        <v>6001</v>
      </c>
      <c r="C4786" s="2410" t="s">
        <v>5993</v>
      </c>
      <c r="D4786" s="2414" t="s">
        <v>12222</v>
      </c>
    </row>
    <row r="4787" spans="1:4" ht="12.75" customHeight="1">
      <c r="A4787" s="2410" t="str">
        <f t="shared" si="85"/>
        <v>Milchziegen</v>
      </c>
      <c r="B4787" s="2410" t="s">
        <v>2892</v>
      </c>
      <c r="C4787" s="2410" t="s">
        <v>2895</v>
      </c>
      <c r="D4787" s="2414" t="s">
        <v>10488</v>
      </c>
    </row>
    <row r="4788" spans="1:4" ht="12.75" customHeight="1">
      <c r="A4788" s="2410" t="str">
        <f t="shared" si="85"/>
        <v>10 Tiere, inklusive Gizzibetreuung</v>
      </c>
      <c r="B4788" s="2410" t="s">
        <v>12223</v>
      </c>
      <c r="C4788" s="2410" t="s">
        <v>12224</v>
      </c>
      <c r="D4788" s="2414" t="s">
        <v>10489</v>
      </c>
    </row>
    <row r="4789" spans="1:4" ht="12.75" customHeight="1">
      <c r="A4789" s="2410" t="str">
        <f t="shared" si="85"/>
        <v>50 Tiere, inklusive Gizzibetreuung</v>
      </c>
      <c r="B4789" s="2410" t="s">
        <v>12225</v>
      </c>
      <c r="C4789" s="2410" t="s">
        <v>12226</v>
      </c>
      <c r="D4789" s="2414" t="s">
        <v>10490</v>
      </c>
    </row>
    <row r="4790" spans="1:4" ht="12.75" customHeight="1">
      <c r="A4790" s="2410" t="str">
        <f t="shared" si="85"/>
        <v>100 Tiere, inklusive Gizzibetreuung</v>
      </c>
      <c r="B4790" s="2410" t="s">
        <v>12227</v>
      </c>
      <c r="C4790" s="2410" t="s">
        <v>12228</v>
      </c>
      <c r="D4790" s="2414" t="s">
        <v>10491</v>
      </c>
    </row>
    <row r="4791" spans="1:4" ht="12.75" customHeight="1">
      <c r="A4791" s="2410" t="str">
        <f t="shared" si="85"/>
        <v>200 Tiere, inklusive Gizzibetreuung</v>
      </c>
      <c r="B4791" s="2410" t="s">
        <v>12229</v>
      </c>
      <c r="C4791" s="2410" t="s">
        <v>12230</v>
      </c>
      <c r="D4791" s="2414" t="s">
        <v>10492</v>
      </c>
    </row>
    <row r="4792" spans="1:4" ht="12.75" customHeight="1">
      <c r="A4792" s="2410" t="str">
        <f t="shared" si="85"/>
        <v>Fleischziegen</v>
      </c>
      <c r="B4792" s="3424" t="s">
        <v>12213</v>
      </c>
      <c r="C4792" s="3424" t="s">
        <v>12214</v>
      </c>
      <c r="D4792" s="3425" t="s">
        <v>12215</v>
      </c>
    </row>
    <row r="4793" spans="1:4" ht="12.75" customHeight="1">
      <c r="A4793" s="2410" t="str">
        <f t="shared" si="85"/>
        <v>10 Tiere, inklusive Gizzibetreuung</v>
      </c>
      <c r="B4793" s="2410" t="s">
        <v>12223</v>
      </c>
      <c r="C4793" s="2410" t="s">
        <v>12224</v>
      </c>
      <c r="D4793" s="2414" t="s">
        <v>10489</v>
      </c>
    </row>
    <row r="4794" spans="1:4" ht="12.75" customHeight="1">
      <c r="A4794" s="2410" t="str">
        <f t="shared" si="85"/>
        <v>50 Tiere, inklusive Gizzibetreuung</v>
      </c>
      <c r="B4794" s="2410" t="s">
        <v>12225</v>
      </c>
      <c r="C4794" s="2410" t="s">
        <v>12226</v>
      </c>
      <c r="D4794" s="2414" t="s">
        <v>10490</v>
      </c>
    </row>
    <row r="4795" spans="1:4" ht="12.75" customHeight="1">
      <c r="A4795" s="2410" t="str">
        <f t="shared" si="85"/>
        <v>100 Tiere, inklusive Gizzibetreuung</v>
      </c>
      <c r="B4795" s="2410" t="s">
        <v>12227</v>
      </c>
      <c r="C4795" s="2410" t="s">
        <v>12228</v>
      </c>
      <c r="D4795" s="2414" t="s">
        <v>10491</v>
      </c>
    </row>
    <row r="4796" spans="1:4" ht="12.75" customHeight="1">
      <c r="A4796" s="2410" t="str">
        <f t="shared" si="85"/>
        <v>200 Tiere, inklusive Gizzibetreuung</v>
      </c>
      <c r="B4796" s="2410" t="s">
        <v>12229</v>
      </c>
      <c r="C4796" s="2410" t="s">
        <v>12230</v>
      </c>
      <c r="D4796" s="2414" t="s">
        <v>10492</v>
      </c>
    </row>
    <row r="4797" spans="1:4" ht="12.75" customHeight="1">
      <c r="A4797" s="2410" t="str">
        <f t="shared" ref="A4797:A4851" si="87">IF($A$2=1,B4797,IF($A$2=2,C4797,IF($A$2=3,IF(D4797="",C4797,D4797),"")))</f>
        <v>Bisons</v>
      </c>
      <c r="B4797" s="2410" t="s">
        <v>6615</v>
      </c>
      <c r="C4797" s="2410" t="s">
        <v>6615</v>
      </c>
      <c r="D4797" s="2414" t="s">
        <v>10494</v>
      </c>
    </row>
    <row r="4798" spans="1:4" ht="12.75" customHeight="1">
      <c r="A4798" s="2410" t="str">
        <f t="shared" si="87"/>
        <v>Hirsche</v>
      </c>
      <c r="B4798" s="2410" t="s">
        <v>6616</v>
      </c>
      <c r="C4798" s="2410" t="s">
        <v>2114</v>
      </c>
      <c r="D4798" s="2414" t="s">
        <v>10495</v>
      </c>
    </row>
    <row r="4799" spans="1:4" ht="12.75" customHeight="1">
      <c r="A4799" s="2410" t="str">
        <f t="shared" si="87"/>
        <v>Lamas und Alpakas</v>
      </c>
      <c r="B4799" s="2410" t="s">
        <v>6617</v>
      </c>
      <c r="C4799" s="2410" t="s">
        <v>4742</v>
      </c>
      <c r="D4799" s="2414" t="s">
        <v>1909</v>
      </c>
    </row>
    <row r="4800" spans="1:4" ht="12.75" customHeight="1">
      <c r="A4800" s="2410" t="str">
        <f t="shared" si="87"/>
        <v>Kaninchen, Zibben inkl. Jungtiere bis ca 35 Tage</v>
      </c>
      <c r="B4800" s="2410" t="s">
        <v>5995</v>
      </c>
      <c r="C4800" s="2410" t="s">
        <v>3220</v>
      </c>
      <c r="D4800" s="2414" t="s">
        <v>11304</v>
      </c>
    </row>
    <row r="4801" spans="1:4" ht="12.75" customHeight="1">
      <c r="A4801" s="2410" t="str">
        <f t="shared" si="87"/>
        <v>Kaninchen, Jungtiere ab ca. 35 Tagen</v>
      </c>
      <c r="B4801" s="2410" t="s">
        <v>1264</v>
      </c>
      <c r="C4801" s="2410" t="s">
        <v>3221</v>
      </c>
      <c r="D4801" s="2414" t="s">
        <v>11260</v>
      </c>
    </row>
    <row r="4802" spans="1:4" ht="12.75" customHeight="1">
      <c r="A4802" s="2410" t="str">
        <f t="shared" si="87"/>
        <v>Zuchtschweine, inkl. Ferkel</v>
      </c>
      <c r="B4802" s="2410" t="s">
        <v>5996</v>
      </c>
      <c r="C4802" s="2410" t="s">
        <v>1586</v>
      </c>
      <c r="D4802" s="2414" t="s">
        <v>11136</v>
      </c>
    </row>
    <row r="4803" spans="1:4" ht="12.75" customHeight="1">
      <c r="A4803" s="2410" t="str">
        <f t="shared" si="87"/>
        <v>100 Pl.</v>
      </c>
      <c r="B4803" s="2410" t="s">
        <v>5537</v>
      </c>
      <c r="C4803" s="2410" t="s">
        <v>5537</v>
      </c>
      <c r="D4803" s="2414" t="s">
        <v>8571</v>
      </c>
    </row>
    <row r="4804" spans="1:4" ht="12.75" customHeight="1">
      <c r="A4804" s="2410" t="str">
        <f t="shared" si="87"/>
        <v>20 Tiere</v>
      </c>
      <c r="B4804" s="2410" t="s">
        <v>4025</v>
      </c>
      <c r="C4804" s="2410" t="s">
        <v>4743</v>
      </c>
      <c r="D4804" s="2414" t="s">
        <v>747</v>
      </c>
    </row>
    <row r="4805" spans="1:4" ht="12.75" customHeight="1">
      <c r="A4805" s="2410" t="str">
        <f t="shared" si="87"/>
        <v>Label-Betrieb, viel Handarbeit</v>
      </c>
      <c r="B4805" s="2410" t="s">
        <v>6620</v>
      </c>
      <c r="C4805" s="2410" t="s">
        <v>2245</v>
      </c>
      <c r="D4805" s="2414" t="s">
        <v>10497</v>
      </c>
    </row>
    <row r="4806" spans="1:4" ht="12.75" customHeight="1">
      <c r="A4806" s="2410" t="str">
        <f t="shared" si="87"/>
        <v>Label-Betrieb, wenig Handarbeit</v>
      </c>
      <c r="B4806" s="2410" t="s">
        <v>6621</v>
      </c>
      <c r="C4806" s="2410" t="s">
        <v>2577</v>
      </c>
      <c r="D4806" s="2414" t="s">
        <v>10498</v>
      </c>
    </row>
    <row r="4807" spans="1:4" ht="12.75" customHeight="1">
      <c r="A4807" s="2410" t="str">
        <f t="shared" si="87"/>
        <v>Konventioneller Betrieb, viel Handarbeit</v>
      </c>
      <c r="B4807" s="2410" t="s">
        <v>1578</v>
      </c>
      <c r="C4807" s="2410" t="s">
        <v>5145</v>
      </c>
      <c r="D4807" s="2414" t="s">
        <v>10499</v>
      </c>
    </row>
    <row r="4808" spans="1:4" ht="12.75" customHeight="1">
      <c r="A4808" s="2410" t="str">
        <f t="shared" si="87"/>
        <v>Konventioneller Betrieb, wenig Handarbeit</v>
      </c>
      <c r="B4808" s="2410" t="s">
        <v>351</v>
      </c>
      <c r="C4808" s="2410" t="s">
        <v>432</v>
      </c>
      <c r="D4808" s="2414" t="s">
        <v>10500</v>
      </c>
    </row>
    <row r="4809" spans="1:4" ht="12.75" customHeight="1">
      <c r="A4809" s="2410" t="str">
        <f t="shared" si="87"/>
        <v>40 Tiere</v>
      </c>
      <c r="B4809" s="2410" t="s">
        <v>4026</v>
      </c>
      <c r="C4809" s="2410" t="s">
        <v>603</v>
      </c>
      <c r="D4809" s="2414" t="s">
        <v>749</v>
      </c>
    </row>
    <row r="4810" spans="1:4" ht="12.75" customHeight="1">
      <c r="A4810" s="2410" t="str">
        <f t="shared" si="87"/>
        <v>Label-Betrieb, viel Handarbeit</v>
      </c>
      <c r="B4810" s="2410" t="s">
        <v>6620</v>
      </c>
      <c r="C4810" s="2410" t="s">
        <v>2245</v>
      </c>
      <c r="D4810" s="2414" t="s">
        <v>10497</v>
      </c>
    </row>
    <row r="4811" spans="1:4" ht="12.75" customHeight="1">
      <c r="A4811" s="2410" t="str">
        <f t="shared" si="87"/>
        <v>Label-Betrieb, wenig Handarbeit</v>
      </c>
      <c r="B4811" s="2410" t="s">
        <v>6621</v>
      </c>
      <c r="C4811" s="2410" t="s">
        <v>2577</v>
      </c>
      <c r="D4811" s="2414" t="s">
        <v>10498</v>
      </c>
    </row>
    <row r="4812" spans="1:4" ht="12.75" customHeight="1">
      <c r="A4812" s="2410" t="str">
        <f t="shared" si="87"/>
        <v>Konventioneller Betrieb, viel Handarbeit</v>
      </c>
      <c r="B4812" s="2410" t="s">
        <v>1578</v>
      </c>
      <c r="C4812" s="2410" t="s">
        <v>5145</v>
      </c>
      <c r="D4812" s="2414" t="s">
        <v>10499</v>
      </c>
    </row>
    <row r="4813" spans="1:4" ht="12.75" customHeight="1">
      <c r="A4813" s="2410" t="str">
        <f t="shared" si="87"/>
        <v>Konventioneller Betrieb, wenig Handarbeit</v>
      </c>
      <c r="B4813" s="2410" t="s">
        <v>351</v>
      </c>
      <c r="C4813" s="2410" t="s">
        <v>432</v>
      </c>
      <c r="D4813" s="2414" t="s">
        <v>10500</v>
      </c>
    </row>
    <row r="4814" spans="1:4" ht="12.75" customHeight="1">
      <c r="A4814" s="2410" t="str">
        <f t="shared" si="87"/>
        <v>60 Tiere</v>
      </c>
      <c r="B4814" s="2410" t="s">
        <v>6618</v>
      </c>
      <c r="C4814" s="2410" t="s">
        <v>604</v>
      </c>
      <c r="D4814" s="2414" t="s">
        <v>1405</v>
      </c>
    </row>
    <row r="4815" spans="1:4" ht="12.75" customHeight="1">
      <c r="A4815" s="2410" t="str">
        <f t="shared" si="87"/>
        <v>Label-Betrieb, viel Handarbeit</v>
      </c>
      <c r="B4815" s="2410" t="s">
        <v>6620</v>
      </c>
      <c r="C4815" s="2410" t="s">
        <v>2245</v>
      </c>
      <c r="D4815" s="2414" t="s">
        <v>10497</v>
      </c>
    </row>
    <row r="4816" spans="1:4" ht="12.75" customHeight="1">
      <c r="A4816" s="2410" t="str">
        <f t="shared" si="87"/>
        <v>Label-Betrieb, wenig Handarbeit</v>
      </c>
      <c r="B4816" s="2410" t="s">
        <v>6621</v>
      </c>
      <c r="C4816" s="2410" t="s">
        <v>2577</v>
      </c>
      <c r="D4816" s="2414" t="s">
        <v>10498</v>
      </c>
    </row>
    <row r="4817" spans="1:4" ht="12.75" customHeight="1">
      <c r="A4817" s="2410" t="str">
        <f t="shared" si="87"/>
        <v>Konventioneller Betrieb, viel Handarbeit</v>
      </c>
      <c r="B4817" s="2410" t="s">
        <v>1578</v>
      </c>
      <c r="C4817" s="2410" t="s">
        <v>5145</v>
      </c>
      <c r="D4817" s="2414" t="s">
        <v>10499</v>
      </c>
    </row>
    <row r="4818" spans="1:4" ht="12.75" customHeight="1">
      <c r="A4818" s="2410" t="str">
        <f t="shared" si="87"/>
        <v>Konventioneller Betrieb, wenig Handarbeit</v>
      </c>
      <c r="B4818" s="2410" t="s">
        <v>351</v>
      </c>
      <c r="C4818" s="2410" t="s">
        <v>432</v>
      </c>
      <c r="D4818" s="2414" t="s">
        <v>10500</v>
      </c>
    </row>
    <row r="4819" spans="1:4" ht="12.75" customHeight="1">
      <c r="A4819" s="2410" t="str">
        <f t="shared" si="87"/>
        <v>100 Tiere</v>
      </c>
      <c r="B4819" s="2410" t="s">
        <v>6619</v>
      </c>
      <c r="C4819" s="2410" t="s">
        <v>1244</v>
      </c>
      <c r="D4819" s="2414" t="s">
        <v>1406</v>
      </c>
    </row>
    <row r="4820" spans="1:4" ht="12.75" customHeight="1">
      <c r="A4820" s="2410" t="str">
        <f t="shared" si="87"/>
        <v>Label-Betrieb, viel Handarbeit</v>
      </c>
      <c r="B4820" s="2410" t="s">
        <v>6620</v>
      </c>
      <c r="C4820" s="2410" t="s">
        <v>2245</v>
      </c>
      <c r="D4820" s="2414" t="s">
        <v>10497</v>
      </c>
    </row>
    <row r="4821" spans="1:4" ht="12.75" customHeight="1">
      <c r="A4821" s="2410" t="str">
        <f t="shared" si="87"/>
        <v>Label-Betrieb, wenig Handarbeit</v>
      </c>
      <c r="B4821" s="2410" t="s">
        <v>6621</v>
      </c>
      <c r="C4821" s="2410" t="s">
        <v>2577</v>
      </c>
      <c r="D4821" s="2414" t="s">
        <v>10498</v>
      </c>
    </row>
    <row r="4822" spans="1:4" ht="12.75" customHeight="1">
      <c r="A4822" s="2410" t="str">
        <f t="shared" si="87"/>
        <v>Konventioneller Betrieb, viel Handarbeit</v>
      </c>
      <c r="B4822" s="2410" t="s">
        <v>1578</v>
      </c>
      <c r="C4822" s="2410" t="s">
        <v>5145</v>
      </c>
      <c r="D4822" s="2414" t="s">
        <v>10499</v>
      </c>
    </row>
    <row r="4823" spans="1:4" ht="12.75" customHeight="1">
      <c r="A4823" s="2410" t="str">
        <f t="shared" si="87"/>
        <v>Konventioneller Betrieb, wenig Handarbeit</v>
      </c>
      <c r="B4823" s="2410" t="s">
        <v>351</v>
      </c>
      <c r="C4823" s="2410" t="s">
        <v>432</v>
      </c>
      <c r="D4823" s="2414" t="s">
        <v>10500</v>
      </c>
    </row>
    <row r="4824" spans="1:4" ht="12.75" customHeight="1">
      <c r="A4824" s="2410" t="str">
        <f t="shared" si="87"/>
        <v>Mastschweine, Remonten u. Ferkel</v>
      </c>
      <c r="B4824" s="2410" t="s">
        <v>3609</v>
      </c>
      <c r="C4824" s="2410" t="s">
        <v>5169</v>
      </c>
      <c r="D4824" s="2414" t="s">
        <v>11305</v>
      </c>
    </row>
    <row r="4825" spans="1:4" ht="12.75" customHeight="1">
      <c r="A4825" s="2410" t="str">
        <f t="shared" si="87"/>
        <v>60 Tiere</v>
      </c>
      <c r="B4825" s="2410" t="s">
        <v>6618</v>
      </c>
      <c r="C4825" s="2410" t="s">
        <v>604</v>
      </c>
      <c r="D4825" s="2414" t="s">
        <v>1405</v>
      </c>
    </row>
    <row r="4826" spans="1:4" ht="12.75" customHeight="1">
      <c r="A4826" s="2410" t="str">
        <f t="shared" si="87"/>
        <v>Label-Betrieb, viel Handarbeit</v>
      </c>
      <c r="B4826" s="2410" t="s">
        <v>6620</v>
      </c>
      <c r="C4826" s="2410" t="s">
        <v>2245</v>
      </c>
      <c r="D4826" s="2414" t="s">
        <v>10497</v>
      </c>
    </row>
    <row r="4827" spans="1:4" ht="12.75" customHeight="1">
      <c r="A4827" s="2410" t="str">
        <f t="shared" si="87"/>
        <v>Label-Betrieb, wenig Handarbeit</v>
      </c>
      <c r="B4827" s="2410" t="s">
        <v>6621</v>
      </c>
      <c r="C4827" s="2410" t="s">
        <v>2577</v>
      </c>
      <c r="D4827" s="2414" t="s">
        <v>10498</v>
      </c>
    </row>
    <row r="4828" spans="1:4" ht="12.75" customHeight="1">
      <c r="A4828" s="2410" t="str">
        <f t="shared" si="87"/>
        <v>Konventioneller Betrieb, viel Handarbeit</v>
      </c>
      <c r="B4828" s="2410" t="s">
        <v>1578</v>
      </c>
      <c r="C4828" s="2410" t="s">
        <v>5145</v>
      </c>
      <c r="D4828" s="2414" t="s">
        <v>10499</v>
      </c>
    </row>
    <row r="4829" spans="1:4" ht="12.75" customHeight="1">
      <c r="A4829" s="2410" t="str">
        <f t="shared" si="87"/>
        <v>Konventioneller Betrieb, wenig Handarbeit</v>
      </c>
      <c r="B4829" s="2410" t="s">
        <v>351</v>
      </c>
      <c r="C4829" s="2410" t="s">
        <v>432</v>
      </c>
      <c r="D4829" s="2414" t="s">
        <v>10500</v>
      </c>
    </row>
    <row r="4830" spans="1:4" ht="12.75" customHeight="1">
      <c r="A4830" s="2410" t="str">
        <f t="shared" si="87"/>
        <v>100 Tiere</v>
      </c>
      <c r="B4830" s="2410" t="s">
        <v>6619</v>
      </c>
      <c r="C4830" s="2410" t="s">
        <v>1244</v>
      </c>
      <c r="D4830" s="2414" t="s">
        <v>1406</v>
      </c>
    </row>
    <row r="4831" spans="1:4" ht="12.75" customHeight="1">
      <c r="A4831" s="2410" t="str">
        <f t="shared" si="87"/>
        <v>Label-Betrieb, viel Handarbeit</v>
      </c>
      <c r="B4831" s="2410" t="s">
        <v>6620</v>
      </c>
      <c r="C4831" s="2410" t="s">
        <v>2245</v>
      </c>
      <c r="D4831" s="2414" t="s">
        <v>10497</v>
      </c>
    </row>
    <row r="4832" spans="1:4" ht="12.75" customHeight="1">
      <c r="A4832" s="2410" t="str">
        <f t="shared" si="87"/>
        <v>Label-Betrieb, wenig Handarbeit</v>
      </c>
      <c r="B4832" s="2410" t="s">
        <v>6621</v>
      </c>
      <c r="C4832" s="2410" t="s">
        <v>2577</v>
      </c>
      <c r="D4832" s="2414" t="s">
        <v>10498</v>
      </c>
    </row>
    <row r="4833" spans="1:4" ht="12.75" customHeight="1">
      <c r="A4833" s="2410" t="str">
        <f t="shared" si="87"/>
        <v>Konventioneller Betrieb, viel Handarbeit</v>
      </c>
      <c r="B4833" s="2410" t="s">
        <v>1578</v>
      </c>
      <c r="C4833" s="2410" t="s">
        <v>5145</v>
      </c>
      <c r="D4833" s="2414" t="s">
        <v>10499</v>
      </c>
    </row>
    <row r="4834" spans="1:4" ht="12.75" customHeight="1">
      <c r="A4834" s="2410" t="str">
        <f t="shared" si="87"/>
        <v>Konventioneller Betrieb, wenig Handarbeit</v>
      </c>
      <c r="B4834" s="2410" t="s">
        <v>351</v>
      </c>
      <c r="C4834" s="2410" t="s">
        <v>432</v>
      </c>
      <c r="D4834" s="2414" t="s">
        <v>10500</v>
      </c>
    </row>
    <row r="4835" spans="1:4" ht="12.75" customHeight="1">
      <c r="A4835" s="2410" t="str">
        <f t="shared" si="87"/>
        <v>400 Tiere</v>
      </c>
      <c r="B4835" s="2410" t="s">
        <v>3081</v>
      </c>
      <c r="C4835" s="2410" t="s">
        <v>5170</v>
      </c>
      <c r="D4835" s="2414" t="s">
        <v>1407</v>
      </c>
    </row>
    <row r="4836" spans="1:4" ht="12.75" customHeight="1">
      <c r="A4836" s="2410" t="str">
        <f t="shared" si="87"/>
        <v>Label-Betrieb, viel Handarbeit</v>
      </c>
      <c r="B4836" s="2410" t="s">
        <v>6620</v>
      </c>
      <c r="C4836" s="2410" t="s">
        <v>2245</v>
      </c>
      <c r="D4836" s="2414" t="s">
        <v>10497</v>
      </c>
    </row>
    <row r="4837" spans="1:4" ht="12.75" customHeight="1">
      <c r="A4837" s="2410" t="str">
        <f t="shared" si="87"/>
        <v>Label-Betrieb, wenig Handarbeit</v>
      </c>
      <c r="B4837" s="2410" t="s">
        <v>6621</v>
      </c>
      <c r="C4837" s="2410" t="s">
        <v>2577</v>
      </c>
      <c r="D4837" s="2414" t="s">
        <v>10498</v>
      </c>
    </row>
    <row r="4838" spans="1:4" ht="12.75" customHeight="1">
      <c r="A4838" s="2410" t="str">
        <f t="shared" si="87"/>
        <v>Konventioneller Betrieb, viel Handarbeit</v>
      </c>
      <c r="B4838" s="2410" t="s">
        <v>1578</v>
      </c>
      <c r="C4838" s="2410" t="s">
        <v>5145</v>
      </c>
      <c r="D4838" s="2414" t="s">
        <v>10499</v>
      </c>
    </row>
    <row r="4839" spans="1:4" ht="12.75" customHeight="1">
      <c r="A4839" s="2410" t="str">
        <f t="shared" si="87"/>
        <v>Konventioneller Betrieb, wenig Handarbeit</v>
      </c>
      <c r="B4839" s="2410" t="s">
        <v>351</v>
      </c>
      <c r="C4839" s="2410" t="s">
        <v>432</v>
      </c>
      <c r="D4839" s="2414" t="s">
        <v>10500</v>
      </c>
    </row>
    <row r="4840" spans="1:4" ht="12.75" customHeight="1">
      <c r="A4840" s="2410" t="str">
        <f t="shared" si="87"/>
        <v>600 Tiere</v>
      </c>
      <c r="B4840" s="2410" t="s">
        <v>3608</v>
      </c>
      <c r="C4840" s="2410" t="s">
        <v>5171</v>
      </c>
      <c r="D4840" s="2414" t="s">
        <v>1408</v>
      </c>
    </row>
    <row r="4841" spans="1:4" ht="12.75" customHeight="1">
      <c r="A4841" s="2410" t="str">
        <f t="shared" si="87"/>
        <v>Label-Betrieb, viel Handarbeit</v>
      </c>
      <c r="B4841" s="2410" t="s">
        <v>6620</v>
      </c>
      <c r="C4841" s="2410" t="s">
        <v>2245</v>
      </c>
      <c r="D4841" s="2414" t="s">
        <v>10497</v>
      </c>
    </row>
    <row r="4842" spans="1:4" ht="12.75" customHeight="1">
      <c r="A4842" s="2410" t="str">
        <f t="shared" si="87"/>
        <v>Label-Betrieb, wenig Handarbeit</v>
      </c>
      <c r="B4842" s="2410" t="s">
        <v>6621</v>
      </c>
      <c r="C4842" s="2410" t="s">
        <v>2577</v>
      </c>
      <c r="D4842" s="2414" t="s">
        <v>10498</v>
      </c>
    </row>
    <row r="4843" spans="1:4" ht="12.75" customHeight="1">
      <c r="A4843" s="2410" t="str">
        <f t="shared" si="87"/>
        <v>Konventioneller Betrieb, viel Handarbeit</v>
      </c>
      <c r="B4843" s="2410" t="s">
        <v>1578</v>
      </c>
      <c r="C4843" s="2410" t="s">
        <v>5145</v>
      </c>
      <c r="D4843" s="2414" t="s">
        <v>10499</v>
      </c>
    </row>
    <row r="4844" spans="1:4" ht="12.75" customHeight="1">
      <c r="A4844" s="2410" t="str">
        <f t="shared" si="87"/>
        <v>Konventioneller Betrieb, wenig Handarbeit</v>
      </c>
      <c r="B4844" s="2410" t="s">
        <v>351</v>
      </c>
      <c r="C4844" s="2410" t="s">
        <v>432</v>
      </c>
      <c r="D4844" s="2414" t="s">
        <v>10500</v>
      </c>
    </row>
    <row r="4845" spans="1:4" ht="12.75" customHeight="1">
      <c r="A4845" s="2410" t="str">
        <f t="shared" si="87"/>
        <v>Lege- und Zuchthennen</v>
      </c>
      <c r="B4845" s="2410" t="s">
        <v>5536</v>
      </c>
      <c r="C4845" s="2410" t="s">
        <v>3958</v>
      </c>
      <c r="D4845" s="2414" t="s">
        <v>9026</v>
      </c>
    </row>
    <row r="4846" spans="1:4" ht="12.75" customHeight="1">
      <c r="A4846" s="2410" t="str">
        <f t="shared" si="87"/>
        <v>40 Tiere</v>
      </c>
      <c r="B4846" s="2410" t="s">
        <v>4026</v>
      </c>
      <c r="C4846" s="2410" t="s">
        <v>603</v>
      </c>
      <c r="D4846" s="2414" t="s">
        <v>749</v>
      </c>
    </row>
    <row r="4847" spans="1:4" ht="12.75" customHeight="1">
      <c r="A4847" s="2410" t="str">
        <f t="shared" si="87"/>
        <v>Bodenhaltung mit Kaltscharrraum, viel Handarbeit</v>
      </c>
      <c r="B4847" s="2410" t="s">
        <v>2797</v>
      </c>
      <c r="C4847" s="2410" t="s">
        <v>2472</v>
      </c>
      <c r="D4847" s="2414" t="s">
        <v>10501</v>
      </c>
    </row>
    <row r="4848" spans="1:4" ht="12.75" customHeight="1">
      <c r="A4848" s="2410" t="str">
        <f t="shared" si="87"/>
        <v>Bodenhaltung mit Kaltscharrraum, wenig Handarbeit</v>
      </c>
      <c r="B4848" s="2410" t="s">
        <v>2818</v>
      </c>
      <c r="C4848" s="2410" t="s">
        <v>2473</v>
      </c>
      <c r="D4848" s="2414" t="s">
        <v>10502</v>
      </c>
    </row>
    <row r="4849" spans="1:4" ht="12.75" customHeight="1">
      <c r="A4849" s="2410" t="str">
        <f t="shared" si="87"/>
        <v>Volierenhaltung mit Kaltscharrraum, viel Handarbeit</v>
      </c>
      <c r="B4849" s="2410" t="s">
        <v>4328</v>
      </c>
      <c r="C4849" s="2410" t="s">
        <v>493</v>
      </c>
      <c r="D4849" s="2414" t="s">
        <v>10503</v>
      </c>
    </row>
    <row r="4850" spans="1:4" ht="12.75" customHeight="1">
      <c r="A4850" s="2410" t="str">
        <f t="shared" si="87"/>
        <v>Volierenhaltung mit Kaltscharrraum, wenig Handarbeit</v>
      </c>
      <c r="B4850" s="2410" t="s">
        <v>2819</v>
      </c>
      <c r="C4850" s="2410" t="s">
        <v>494</v>
      </c>
      <c r="D4850" s="2414" t="s">
        <v>10504</v>
      </c>
    </row>
    <row r="4851" spans="1:4" ht="12.75" customHeight="1">
      <c r="A4851" s="2410" t="str">
        <f t="shared" si="87"/>
        <v>500 Tiere</v>
      </c>
      <c r="B4851" s="2410" t="s">
        <v>4329</v>
      </c>
      <c r="C4851" s="2410" t="s">
        <v>1897</v>
      </c>
      <c r="D4851" s="2414" t="s">
        <v>1409</v>
      </c>
    </row>
    <row r="4852" spans="1:4" ht="12.75" customHeight="1">
      <c r="A4852" s="2410" t="str">
        <f t="shared" ref="A4852:A4915" si="88">IF($A$2=1,B4852,IF($A$2=2,C4852,IF($A$2=3,IF(D4852="",C4852,D4852),"")))</f>
        <v>Bodenhaltung mit Kaltscharrraum, viel Handarbeit</v>
      </c>
      <c r="B4852" s="2410" t="s">
        <v>2797</v>
      </c>
      <c r="C4852" s="2410" t="s">
        <v>2472</v>
      </c>
      <c r="D4852" s="2414" t="s">
        <v>10501</v>
      </c>
    </row>
    <row r="4853" spans="1:4" ht="12.75" customHeight="1">
      <c r="A4853" s="2410" t="str">
        <f t="shared" si="88"/>
        <v>Bodenhaltung mit Kaltscharrraum, wenig Handarbeit</v>
      </c>
      <c r="B4853" s="2410" t="s">
        <v>2818</v>
      </c>
      <c r="C4853" s="2410" t="s">
        <v>2473</v>
      </c>
      <c r="D4853" s="2414" t="s">
        <v>10502</v>
      </c>
    </row>
    <row r="4854" spans="1:4" ht="12.75" customHeight="1">
      <c r="A4854" s="2410" t="str">
        <f t="shared" si="88"/>
        <v>Volierenhaltung mit Kaltscharrraum, viel Handarbeit</v>
      </c>
      <c r="B4854" s="2410" t="s">
        <v>4328</v>
      </c>
      <c r="C4854" s="2410" t="s">
        <v>493</v>
      </c>
      <c r="D4854" s="2414" t="s">
        <v>10503</v>
      </c>
    </row>
    <row r="4855" spans="1:4" ht="12.75" customHeight="1">
      <c r="A4855" s="2410" t="str">
        <f t="shared" si="88"/>
        <v>Volierenhaltung mit Kaltscharrraum, wenig Handarbeit</v>
      </c>
      <c r="B4855" s="2410" t="s">
        <v>2819</v>
      </c>
      <c r="C4855" s="2410" t="s">
        <v>494</v>
      </c>
      <c r="D4855" s="2414" t="s">
        <v>10504</v>
      </c>
    </row>
    <row r="4856" spans="1:4" ht="12.75" customHeight="1">
      <c r="A4856" s="2410" t="str">
        <f t="shared" si="88"/>
        <v>2000 Tiere</v>
      </c>
      <c r="B4856" s="2410" t="s">
        <v>5392</v>
      </c>
      <c r="C4856" s="2410" t="s">
        <v>1898</v>
      </c>
      <c r="D4856" s="2414" t="s">
        <v>10505</v>
      </c>
    </row>
    <row r="4857" spans="1:4" ht="12.75" customHeight="1">
      <c r="A4857" s="2410" t="str">
        <f t="shared" si="88"/>
        <v>Bodenhaltung mit Kaltscharrraum, viel Handarbeit</v>
      </c>
      <c r="B4857" s="2410" t="s">
        <v>2797</v>
      </c>
      <c r="C4857" s="2410" t="s">
        <v>2472</v>
      </c>
      <c r="D4857" s="2414" t="s">
        <v>10501</v>
      </c>
    </row>
    <row r="4858" spans="1:4" ht="12.75" customHeight="1">
      <c r="A4858" s="2410" t="str">
        <f t="shared" si="88"/>
        <v>Bodenhaltung mit Kaltscharrraum, wenig Handarbeit</v>
      </c>
      <c r="B4858" s="2410" t="s">
        <v>2818</v>
      </c>
      <c r="C4858" s="2410" t="s">
        <v>2473</v>
      </c>
      <c r="D4858" s="2414" t="s">
        <v>10502</v>
      </c>
    </row>
    <row r="4859" spans="1:4" ht="12.75" customHeight="1">
      <c r="A4859" s="2410" t="str">
        <f t="shared" si="88"/>
        <v>Volierenhaltung mit Kaltscharrraum, viel Handarbeit</v>
      </c>
      <c r="B4859" s="2410" t="s">
        <v>4328</v>
      </c>
      <c r="C4859" s="2410" t="s">
        <v>493</v>
      </c>
      <c r="D4859" s="2414" t="s">
        <v>10503</v>
      </c>
    </row>
    <row r="4860" spans="1:4" ht="12.75" customHeight="1">
      <c r="A4860" s="2410" t="str">
        <f t="shared" si="88"/>
        <v>Volierenhaltung mit Kaltscharrraum, wenig Handarbeit</v>
      </c>
      <c r="B4860" s="2410" t="s">
        <v>2819</v>
      </c>
      <c r="C4860" s="2410" t="s">
        <v>494</v>
      </c>
      <c r="D4860" s="2414" t="s">
        <v>10504</v>
      </c>
    </row>
    <row r="4861" spans="1:4" ht="12.75" customHeight="1">
      <c r="A4861" s="2410" t="str">
        <f t="shared" si="88"/>
        <v>5000 Tiere</v>
      </c>
      <c r="B4861" s="2410" t="s">
        <v>6803</v>
      </c>
      <c r="C4861" s="2410" t="s">
        <v>5595</v>
      </c>
      <c r="D4861" s="2414" t="s">
        <v>10506</v>
      </c>
    </row>
    <row r="4862" spans="1:4" ht="12.75" customHeight="1">
      <c r="A4862" s="2410" t="str">
        <f t="shared" si="88"/>
        <v>Bodenhaltung mit Kaltscharrraum, viel Handarbeit</v>
      </c>
      <c r="B4862" s="2410" t="s">
        <v>2797</v>
      </c>
      <c r="C4862" s="2410" t="s">
        <v>2472</v>
      </c>
      <c r="D4862" s="2414" t="s">
        <v>10501</v>
      </c>
    </row>
    <row r="4863" spans="1:4" ht="12.75" customHeight="1">
      <c r="A4863" s="2410" t="str">
        <f t="shared" si="88"/>
        <v>Bodenhaltung mit Kaltscharrraum, wenig Handarbeit</v>
      </c>
      <c r="B4863" s="2410" t="s">
        <v>2818</v>
      </c>
      <c r="C4863" s="2410" t="s">
        <v>2473</v>
      </c>
      <c r="D4863" s="2414" t="s">
        <v>10502</v>
      </c>
    </row>
    <row r="4864" spans="1:4" ht="12.75" customHeight="1">
      <c r="A4864" s="2410" t="str">
        <f t="shared" si="88"/>
        <v>Volierenhaltung mit Kaltscharrraum, viel Handarbeit</v>
      </c>
      <c r="B4864" s="2410" t="s">
        <v>4328</v>
      </c>
      <c r="C4864" s="2410" t="s">
        <v>493</v>
      </c>
      <c r="D4864" s="2414" t="s">
        <v>10503</v>
      </c>
    </row>
    <row r="4865" spans="1:4" ht="12.75" customHeight="1">
      <c r="A4865" s="2410" t="str">
        <f t="shared" si="88"/>
        <v>Volierenhaltung mit Kaltscharrraum, wenig Handarbeit</v>
      </c>
      <c r="B4865" s="2410" t="s">
        <v>2819</v>
      </c>
      <c r="C4865" s="2410" t="s">
        <v>494</v>
      </c>
      <c r="D4865" s="2414" t="s">
        <v>10504</v>
      </c>
    </row>
    <row r="4866" spans="1:4" ht="12.75" customHeight="1">
      <c r="A4866" s="2410" t="str">
        <f t="shared" si="88"/>
        <v>Junghennen</v>
      </c>
      <c r="B4866" s="2410" t="s">
        <v>5538</v>
      </c>
      <c r="C4866" s="2410" t="s">
        <v>3959</v>
      </c>
      <c r="D4866" s="2414" t="s">
        <v>9029</v>
      </c>
    </row>
    <row r="4867" spans="1:4" ht="12.75" customHeight="1">
      <c r="A4867" s="2410" t="str">
        <f t="shared" si="88"/>
        <v>Mastpoulets</v>
      </c>
      <c r="B4867" s="2410" t="s">
        <v>5539</v>
      </c>
      <c r="C4867" s="2410" t="s">
        <v>4864</v>
      </c>
      <c r="D4867" s="2414" t="s">
        <v>9030</v>
      </c>
    </row>
    <row r="4868" spans="1:4" ht="12.75" customHeight="1">
      <c r="A4868" s="2410" t="str">
        <f t="shared" si="88"/>
        <v>5000 Tiere</v>
      </c>
      <c r="B4868" s="2410" t="s">
        <v>6803</v>
      </c>
      <c r="C4868" s="2410" t="s">
        <v>5595</v>
      </c>
      <c r="D4868" s="2414" t="s">
        <v>10507</v>
      </c>
    </row>
    <row r="4869" spans="1:4" ht="12.75" customHeight="1">
      <c r="A4869" s="2410" t="str">
        <f t="shared" si="88"/>
        <v>Bodenhaltung</v>
      </c>
      <c r="B4869" s="2410" t="s">
        <v>5262</v>
      </c>
      <c r="C4869" s="2410" t="s">
        <v>2474</v>
      </c>
      <c r="D4869" s="2414" t="s">
        <v>10508</v>
      </c>
    </row>
    <row r="4870" spans="1:4" ht="12.75" customHeight="1">
      <c r="A4870" s="2410" t="str">
        <f t="shared" si="88"/>
        <v>Bodenhaltung mit Auslauf</v>
      </c>
      <c r="B4870" s="2410" t="s">
        <v>5263</v>
      </c>
      <c r="C4870" s="2410" t="s">
        <v>5394</v>
      </c>
      <c r="D4870" s="2414" t="s">
        <v>10509</v>
      </c>
    </row>
    <row r="4871" spans="1:4" ht="12.75" customHeight="1">
      <c r="A4871" s="2410" t="str">
        <f t="shared" si="88"/>
        <v>Bodenhaltung im Mobilstall</v>
      </c>
      <c r="B4871" s="2410" t="s">
        <v>2471</v>
      </c>
      <c r="C4871" s="2410" t="s">
        <v>492</v>
      </c>
      <c r="D4871" s="2414" t="s">
        <v>10510</v>
      </c>
    </row>
    <row r="4872" spans="1:4" ht="12.75" customHeight="1">
      <c r="A4872" s="2410" t="str">
        <f t="shared" si="88"/>
        <v>10000 Tiere</v>
      </c>
      <c r="B4872" s="2410" t="s">
        <v>5596</v>
      </c>
      <c r="C4872" s="2410" t="s">
        <v>3960</v>
      </c>
      <c r="D4872" s="2414" t="s">
        <v>10511</v>
      </c>
    </row>
    <row r="4873" spans="1:4" ht="12.75" customHeight="1">
      <c r="A4873" s="2410" t="str">
        <f t="shared" si="88"/>
        <v>Bodenhaltung</v>
      </c>
      <c r="B4873" s="2410" t="s">
        <v>5262</v>
      </c>
      <c r="C4873" s="2410" t="s">
        <v>2474</v>
      </c>
      <c r="D4873" s="2414" t="s">
        <v>10508</v>
      </c>
    </row>
    <row r="4874" spans="1:4" ht="12.75" customHeight="1">
      <c r="A4874" s="2410" t="str">
        <f t="shared" si="88"/>
        <v>Bodenhaltung mit Auslauf</v>
      </c>
      <c r="B4874" s="2410" t="s">
        <v>5263</v>
      </c>
      <c r="C4874" s="2410" t="s">
        <v>5394</v>
      </c>
      <c r="D4874" s="2414" t="s">
        <v>10509</v>
      </c>
    </row>
    <row r="4875" spans="1:4" ht="12.75" customHeight="1">
      <c r="A4875" s="2410" t="str">
        <f t="shared" si="88"/>
        <v>Bodenhaltung im Mobilstall</v>
      </c>
      <c r="B4875" s="2410" t="s">
        <v>2471</v>
      </c>
      <c r="C4875" s="2410" t="s">
        <v>492</v>
      </c>
      <c r="D4875" s="2414" t="s">
        <v>10510</v>
      </c>
    </row>
    <row r="4876" spans="1:4" ht="12.75" customHeight="1">
      <c r="A4876" s="2410" t="str">
        <f t="shared" si="88"/>
        <v>Masttruten</v>
      </c>
      <c r="B4876" s="2410" t="s">
        <v>5540</v>
      </c>
      <c r="C4876" s="2410" t="s">
        <v>3453</v>
      </c>
      <c r="D4876" s="2414" t="s">
        <v>9031</v>
      </c>
    </row>
    <row r="4877" spans="1:4" ht="12.75" customHeight="1">
      <c r="A4877" s="2410">
        <f t="shared" si="88"/>
        <v>0</v>
      </c>
      <c r="B4877" s="2410"/>
      <c r="C4877" s="2410"/>
      <c r="D4877" s="2414"/>
    </row>
    <row r="4878" spans="1:4" ht="12.75" customHeight="1">
      <c r="A4878" s="2410" t="str">
        <f t="shared" si="88"/>
        <v>Förderlimiten</v>
      </c>
      <c r="B4878" s="2410" t="s">
        <v>1846</v>
      </c>
      <c r="C4878" s="2410" t="s">
        <v>5584</v>
      </c>
      <c r="D4878" s="2424" t="s">
        <v>1297</v>
      </c>
    </row>
    <row r="4879" spans="1:4" ht="12.75" customHeight="1">
      <c r="A4879" s="2410" t="str">
        <f t="shared" si="88"/>
        <v>maximal GVE pro ha Grünland</v>
      </c>
      <c r="B4879" s="2410" t="s">
        <v>4346</v>
      </c>
      <c r="C4879" s="2410" t="s">
        <v>2705</v>
      </c>
      <c r="D4879" s="2424" t="s">
        <v>10512</v>
      </c>
    </row>
    <row r="4880" spans="1:4" ht="12.75" customHeight="1">
      <c r="A4880" s="2410" t="str">
        <f t="shared" si="88"/>
        <v>maximal GVE pro ha Mais oder Futterrüben</v>
      </c>
      <c r="B4880" s="2410" t="s">
        <v>7386</v>
      </c>
      <c r="C4880" s="2410" t="s">
        <v>433</v>
      </c>
      <c r="D4880" s="2424" t="s">
        <v>9406</v>
      </c>
    </row>
    <row r="4881" spans="1:4" ht="12.75" customHeight="1">
      <c r="A4881" s="2410" t="str">
        <f t="shared" si="88"/>
        <v>Hochstamm</v>
      </c>
      <c r="B4881" s="2410" t="s">
        <v>6997</v>
      </c>
      <c r="C4881" s="2410" t="s">
        <v>2706</v>
      </c>
      <c r="D4881" s="2424" t="s">
        <v>10513</v>
      </c>
    </row>
    <row r="4882" spans="1:4" ht="12.75" customHeight="1">
      <c r="A4882" s="2410" t="str">
        <f t="shared" si="88"/>
        <v>Feldobstbäume</v>
      </c>
      <c r="B4882" s="2410" t="s">
        <v>1483</v>
      </c>
      <c r="C4882" s="2410" t="s">
        <v>2707</v>
      </c>
      <c r="D4882" s="2424" t="s">
        <v>10514</v>
      </c>
    </row>
    <row r="4883" spans="1:4" ht="12.75" customHeight="1">
      <c r="A4883" s="2410" t="str">
        <f t="shared" si="88"/>
        <v>Extensiv</v>
      </c>
      <c r="B4883" s="2410" t="s">
        <v>7195</v>
      </c>
      <c r="C4883" s="2410" t="s">
        <v>5098</v>
      </c>
      <c r="D4883" s="2424" t="s">
        <v>10515</v>
      </c>
    </row>
    <row r="4884" spans="1:4" ht="12.75" customHeight="1">
      <c r="A4884" s="2410" t="str">
        <f t="shared" si="88"/>
        <v xml:space="preserve">genutzte Wiesen, Streue </v>
      </c>
      <c r="B4884" s="2410" t="s">
        <v>2023</v>
      </c>
      <c r="C4884" s="2410" t="s">
        <v>5311</v>
      </c>
      <c r="D4884" s="2424" t="s">
        <v>10516</v>
      </c>
    </row>
    <row r="4885" spans="1:4" ht="12.75" customHeight="1">
      <c r="A4885" s="2410" t="str">
        <f t="shared" si="88"/>
        <v xml:space="preserve">wenig intensiv </v>
      </c>
      <c r="B4885" s="2410" t="s">
        <v>6998</v>
      </c>
      <c r="C4885" s="2410" t="s">
        <v>5098</v>
      </c>
      <c r="D4885" s="2424" t="s">
        <v>9500</v>
      </c>
    </row>
    <row r="4886" spans="1:4" ht="12.75" customHeight="1">
      <c r="A4886" s="2410" t="str">
        <f t="shared" si="88"/>
        <v>genutzte Wiesen</v>
      </c>
      <c r="B4886" s="2410" t="s">
        <v>7387</v>
      </c>
      <c r="C4886" s="2410" t="s">
        <v>2708</v>
      </c>
      <c r="D4886" s="2424" t="s">
        <v>6354</v>
      </c>
    </row>
    <row r="4887" spans="1:4" ht="12.75" customHeight="1">
      <c r="A4887" s="2410" t="str">
        <f t="shared" si="88"/>
        <v>Hecken, Feld- und Ufergehölze</v>
      </c>
      <c r="B4887" s="2410" t="s">
        <v>5524</v>
      </c>
      <c r="C4887" s="2410" t="s">
        <v>6648</v>
      </c>
      <c r="D4887" s="2424" t="s">
        <v>10517</v>
      </c>
    </row>
    <row r="4888" spans="1:4" ht="12.75" customHeight="1">
      <c r="A4888" s="2410" t="str">
        <f t="shared" si="88"/>
        <v>mit Krautsaum</v>
      </c>
      <c r="B4888" s="2410" t="s">
        <v>2024</v>
      </c>
      <c r="C4888" s="2410" t="s">
        <v>6649</v>
      </c>
      <c r="D4888" s="2424" t="s">
        <v>10518</v>
      </c>
    </row>
    <row r="4889" spans="1:4" ht="12.75" customHeight="1">
      <c r="A4889" s="2410" t="str">
        <f t="shared" si="88"/>
        <v>Buntbrache</v>
      </c>
      <c r="B4889" s="2410" t="s">
        <v>2043</v>
      </c>
      <c r="C4889" s="2410" t="s">
        <v>902</v>
      </c>
      <c r="D4889" s="2424" t="s">
        <v>10519</v>
      </c>
    </row>
    <row r="4890" spans="1:4" ht="12.75" customHeight="1">
      <c r="A4890" s="2410">
        <f t="shared" si="88"/>
        <v>0</v>
      </c>
      <c r="B4890" s="2410"/>
      <c r="C4890" s="2410" t="s">
        <v>903</v>
      </c>
      <c r="D4890" s="2424" t="s">
        <v>10520</v>
      </c>
    </row>
    <row r="4891" spans="1:4" ht="12.75" customHeight="1">
      <c r="A4891" s="2410" t="str">
        <f t="shared" si="88"/>
        <v>Rotationsbrache</v>
      </c>
      <c r="B4891" s="2410" t="s">
        <v>6927</v>
      </c>
      <c r="C4891" s="2410" t="s">
        <v>902</v>
      </c>
      <c r="D4891" s="2424" t="s">
        <v>10519</v>
      </c>
    </row>
    <row r="4892" spans="1:4" ht="12.75" customHeight="1">
      <c r="A4892" s="2410">
        <f t="shared" si="88"/>
        <v>0</v>
      </c>
      <c r="B4892" s="2410"/>
      <c r="C4892" s="2410" t="s">
        <v>904</v>
      </c>
      <c r="D4892" s="2424" t="s">
        <v>10521</v>
      </c>
    </row>
    <row r="4893" spans="1:4" ht="12.75" customHeight="1">
      <c r="A4893" s="2410" t="str">
        <f t="shared" si="88"/>
        <v>Säume auf</v>
      </c>
      <c r="B4893" s="2410" t="s">
        <v>6999</v>
      </c>
      <c r="C4893" s="2410" t="s">
        <v>905</v>
      </c>
      <c r="D4893" s="2424" t="s">
        <v>10522</v>
      </c>
    </row>
    <row r="4894" spans="1:4" ht="12.75" customHeight="1">
      <c r="A4894" s="2410" t="str">
        <f t="shared" si="88"/>
        <v>Ackerfläche</v>
      </c>
      <c r="B4894" s="2410" t="s">
        <v>4684</v>
      </c>
      <c r="C4894" s="2410" t="s">
        <v>2973</v>
      </c>
      <c r="D4894" s="2424" t="s">
        <v>10523</v>
      </c>
    </row>
    <row r="4895" spans="1:4" ht="12.75" customHeight="1">
      <c r="A4895" s="2410" t="str">
        <f t="shared" si="88"/>
        <v>Ackerschon-</v>
      </c>
      <c r="B4895" s="2410" t="s">
        <v>7000</v>
      </c>
      <c r="C4895" s="2410" t="s">
        <v>2974</v>
      </c>
      <c r="D4895" s="2424" t="s">
        <v>10524</v>
      </c>
    </row>
    <row r="4896" spans="1:4" ht="12.75" customHeight="1">
      <c r="A4896" s="2410" t="str">
        <f t="shared" si="88"/>
        <v xml:space="preserve"> -streifen</v>
      </c>
      <c r="B4896" s="2410" t="s">
        <v>7388</v>
      </c>
      <c r="C4896" s="2410" t="s">
        <v>2975</v>
      </c>
      <c r="D4896" s="2424" t="s">
        <v>10525</v>
      </c>
    </row>
    <row r="4897" spans="1:4" ht="12.75" customHeight="1">
      <c r="A4897" s="2410" t="str">
        <f t="shared" si="88"/>
        <v>Extensoprod.</v>
      </c>
      <c r="B4897" s="2410" t="s">
        <v>7001</v>
      </c>
      <c r="C4897" s="2410" t="s">
        <v>3606</v>
      </c>
      <c r="D4897" s="2424" t="s">
        <v>11306</v>
      </c>
    </row>
    <row r="4898" spans="1:4" ht="12.75" customHeight="1">
      <c r="A4898" s="2410" t="str">
        <f t="shared" si="88"/>
        <v>Getreide und Raps</v>
      </c>
      <c r="B4898" s="2410" t="s">
        <v>4365</v>
      </c>
      <c r="C4898" s="2410" t="s">
        <v>2976</v>
      </c>
      <c r="D4898" s="2424" t="s">
        <v>8677</v>
      </c>
    </row>
    <row r="4899" spans="1:4" ht="12.75" customHeight="1">
      <c r="A4899" s="2410" t="str">
        <f t="shared" si="88"/>
        <v>Hangbeiträge</v>
      </c>
      <c r="B4899" s="2410" t="s">
        <v>7217</v>
      </c>
      <c r="C4899" s="2410" t="s">
        <v>6818</v>
      </c>
      <c r="D4899" s="2424" t="s">
        <v>10526</v>
      </c>
    </row>
    <row r="4900" spans="1:4" ht="12.75" customHeight="1">
      <c r="A4900" s="2410" t="str">
        <f t="shared" si="88"/>
        <v>Hangbeiträge für steile Rebflächen</v>
      </c>
      <c r="B4900" s="2410" t="s">
        <v>6762</v>
      </c>
      <c r="C4900" s="2410" t="s">
        <v>3901</v>
      </c>
      <c r="D4900" s="2424" t="s">
        <v>4230</v>
      </c>
    </row>
    <row r="4901" spans="1:4" ht="12.75" customHeight="1">
      <c r="A4901" s="2410" t="str">
        <f t="shared" si="88"/>
        <v>Anbaubeiträge</v>
      </c>
      <c r="B4901" s="2410" t="s">
        <v>6763</v>
      </c>
      <c r="C4901" s="2410" t="s">
        <v>2742</v>
      </c>
      <c r="D4901" s="2424" t="s">
        <v>10527</v>
      </c>
    </row>
    <row r="4902" spans="1:4" ht="12.75" customHeight="1">
      <c r="A4902" s="2410" t="str">
        <f t="shared" si="88"/>
        <v>Beiträge für die Haltung rauhfutterverzehrender Nutztiere</v>
      </c>
      <c r="B4902" s="2410" t="s">
        <v>5973</v>
      </c>
      <c r="C4902" s="2410" t="s">
        <v>2743</v>
      </c>
      <c r="D4902" s="2424" t="s">
        <v>10528</v>
      </c>
    </row>
    <row r="4903" spans="1:4" ht="12.75" customHeight="1">
      <c r="A4903" s="2410" t="str">
        <f t="shared" si="88"/>
        <v>Beiträge für Tierhaltung unter erschwerten Bedingungen in HZ und BG</v>
      </c>
      <c r="B4903" s="2410" t="s">
        <v>1320</v>
      </c>
      <c r="C4903" s="2410" t="s">
        <v>2744</v>
      </c>
      <c r="D4903" s="2424" t="s">
        <v>10529</v>
      </c>
    </row>
    <row r="4904" spans="1:4" ht="12.75" customHeight="1">
      <c r="A4904" s="2410">
        <f t="shared" si="88"/>
        <v>0</v>
      </c>
      <c r="B4904" s="2410"/>
      <c r="C4904" s="2410" t="s">
        <v>2745</v>
      </c>
      <c r="D4904" s="2424" t="s">
        <v>10530</v>
      </c>
    </row>
    <row r="4905" spans="1:4" ht="12.75" customHeight="1">
      <c r="A4905" s="2410" t="str">
        <f t="shared" si="88"/>
        <v>Familienzulagen</v>
      </c>
      <c r="B4905" s="2410" t="s">
        <v>5977</v>
      </c>
      <c r="C4905" s="2410" t="s">
        <v>6786</v>
      </c>
      <c r="D4905" s="2424" t="s">
        <v>9808</v>
      </c>
    </row>
    <row r="4906" spans="1:4" ht="12.75" customHeight="1">
      <c r="A4906" s="2410" t="str">
        <f t="shared" si="88"/>
        <v>Terrassen</v>
      </c>
      <c r="B4906" s="2410" t="s">
        <v>478</v>
      </c>
      <c r="C4906" s="2410" t="s">
        <v>2746</v>
      </c>
      <c r="D4906" s="2424" t="s">
        <v>10531</v>
      </c>
    </row>
    <row r="4907" spans="1:4" ht="12.75" customHeight="1">
      <c r="A4907" s="2410" t="str">
        <f t="shared" si="88"/>
        <v>Zuckerrüben</v>
      </c>
      <c r="B4907" s="2410" t="s">
        <v>4799</v>
      </c>
      <c r="C4907" s="2410" t="s">
        <v>1786</v>
      </c>
      <c r="D4907" s="2424" t="s">
        <v>8493</v>
      </c>
    </row>
    <row r="4908" spans="1:4" ht="12.75" customHeight="1">
      <c r="A4908" s="2410" t="str">
        <f t="shared" si="88"/>
        <v>Ackerbohnen, Eiweisserbsen, Lupinen</v>
      </c>
      <c r="B4908" s="2410" t="s">
        <v>479</v>
      </c>
      <c r="C4908" s="2410" t="s">
        <v>1877</v>
      </c>
      <c r="D4908" s="2424" t="s">
        <v>10532</v>
      </c>
    </row>
    <row r="4909" spans="1:4" ht="12.75" customHeight="1">
      <c r="A4909" s="2410" t="str">
        <f t="shared" si="88"/>
        <v>Raps, Soja, Sonnenblumen, Hanf und Lein</v>
      </c>
      <c r="B4909" s="2410" t="s">
        <v>3181</v>
      </c>
      <c r="C4909" s="2410" t="s">
        <v>2111</v>
      </c>
      <c r="D4909" s="2424" t="s">
        <v>10533</v>
      </c>
    </row>
    <row r="4910" spans="1:4" ht="12.75" customHeight="1">
      <c r="A4910" s="2410" t="str">
        <f t="shared" si="88"/>
        <v>Raps, Soja, Sonnenblumen und Lein</v>
      </c>
      <c r="B4910" s="2410" t="s">
        <v>4420</v>
      </c>
      <c r="C4910" s="2410" t="s">
        <v>2722</v>
      </c>
      <c r="D4910" s="2424" t="s">
        <v>10534</v>
      </c>
    </row>
    <row r="4911" spans="1:4" ht="12.75" customHeight="1">
      <c r="A4911" s="2410" t="str">
        <f t="shared" si="88"/>
        <v>Faserpflanzen ohne Hanf und Lein</v>
      </c>
      <c r="B4911" s="2410" t="s">
        <v>2723</v>
      </c>
      <c r="C4911" s="2410" t="s">
        <v>2718</v>
      </c>
      <c r="D4911" s="2424" t="s">
        <v>10535</v>
      </c>
    </row>
    <row r="4912" spans="1:4" ht="12.75" customHeight="1">
      <c r="A4912" s="2410" t="str">
        <f t="shared" si="88"/>
        <v>Faserpflanzen ohne Lein und Hanf</v>
      </c>
      <c r="B4912" s="2410" t="s">
        <v>2254</v>
      </c>
      <c r="C4912" s="2410" t="s">
        <v>2719</v>
      </c>
      <c r="D4912" s="2424" t="s">
        <v>10535</v>
      </c>
    </row>
    <row r="4913" spans="1:4" ht="12.75" customHeight="1">
      <c r="A4913" s="2410" t="str">
        <f t="shared" si="88"/>
        <v>Qualitätsbeiträge</v>
      </c>
      <c r="B4913" s="2410" t="s">
        <v>6165</v>
      </c>
      <c r="C4913" s="2410" t="s">
        <v>917</v>
      </c>
      <c r="D4913" s="2424" t="s">
        <v>10536</v>
      </c>
    </row>
    <row r="4914" spans="1:4" ht="12.75" customHeight="1">
      <c r="A4914" s="2410" t="str">
        <f t="shared" si="88"/>
        <v>Extensiv und wenig intensiv genutzte Wiesen, Streue</v>
      </c>
      <c r="B4914" s="2410" t="s">
        <v>1393</v>
      </c>
      <c r="C4914" s="2410" t="s">
        <v>4174</v>
      </c>
      <c r="D4914" s="2424" t="s">
        <v>10537</v>
      </c>
    </row>
    <row r="4915" spans="1:4" ht="12.75" customHeight="1">
      <c r="A4915" s="2410" t="str">
        <f t="shared" si="88"/>
        <v>Extensiv genutzte Weiden, Waldweiden</v>
      </c>
      <c r="B4915" s="2410" t="s">
        <v>5450</v>
      </c>
      <c r="C4915" s="2410" t="s">
        <v>5436</v>
      </c>
      <c r="D4915" s="2424" t="s">
        <v>10538</v>
      </c>
    </row>
    <row r="4916" spans="1:4" ht="12.75" customHeight="1">
      <c r="A4916" s="2410" t="str">
        <f t="shared" ref="A4916:A4980" si="89">IF($A$2=1,B4916,IF($A$2=2,C4916,IF($A$2=3,IF(D4916="",C4916,D4916),"")))</f>
        <v>Hochstamm-Feldobstbäume</v>
      </c>
      <c r="B4916" s="2410" t="s">
        <v>4514</v>
      </c>
      <c r="C4916" s="2410" t="s">
        <v>6990</v>
      </c>
      <c r="D4916" s="2424" t="s">
        <v>8435</v>
      </c>
    </row>
    <row r="4917" spans="1:4" ht="12.75" customHeight="1">
      <c r="A4917" s="2410" t="str">
        <f t="shared" si="89"/>
        <v>Hecken, Feld- und Ufergehölze</v>
      </c>
      <c r="B4917" s="2410" t="s">
        <v>5524</v>
      </c>
      <c r="C4917" s="2410" t="s">
        <v>3555</v>
      </c>
      <c r="D4917" s="2424" t="s">
        <v>8583</v>
      </c>
    </row>
    <row r="4918" spans="1:4" ht="12.75" customHeight="1">
      <c r="A4918" s="2410" t="str">
        <f t="shared" si="89"/>
        <v>Rebflächen mit natürlicher Artenvielfalt</v>
      </c>
      <c r="B4918" s="2410" t="s">
        <v>7536</v>
      </c>
      <c r="C4918" s="2410" t="s">
        <v>915</v>
      </c>
      <c r="D4918" s="2414" t="s">
        <v>9552</v>
      </c>
    </row>
    <row r="4919" spans="1:4" ht="12.75" customHeight="1">
      <c r="A4919" s="2410" t="str">
        <f t="shared" si="89"/>
        <v>je ha LN</v>
      </c>
      <c r="B4919" s="2410" t="s">
        <v>1481</v>
      </c>
      <c r="C4919" s="2410" t="s">
        <v>11084</v>
      </c>
      <c r="D4919" s="2414" t="s">
        <v>11084</v>
      </c>
    </row>
    <row r="4920" spans="1:4" ht="12.75" customHeight="1">
      <c r="A4920" s="2410" t="str">
        <f t="shared" si="89"/>
        <v>Vernetzungsbeiträge</v>
      </c>
      <c r="B4920" s="2410" t="s">
        <v>5451</v>
      </c>
      <c r="C4920" s="2410" t="s">
        <v>918</v>
      </c>
      <c r="D4920" s="2424" t="s">
        <v>2289</v>
      </c>
    </row>
    <row r="4921" spans="1:4" ht="12.75" customHeight="1">
      <c r="A4921" s="2410" t="str">
        <f t="shared" si="89"/>
        <v>Extensiv und wenig intensiv genutzte Wiesen, Streue</v>
      </c>
      <c r="B4921" s="2410" t="s">
        <v>1393</v>
      </c>
      <c r="C4921" s="2410" t="s">
        <v>4174</v>
      </c>
      <c r="D4921" s="2424" t="s">
        <v>10537</v>
      </c>
    </row>
    <row r="4922" spans="1:4" ht="12.75" customHeight="1">
      <c r="A4922" s="2410" t="str">
        <f t="shared" si="89"/>
        <v>Extensiv genutzte Weiden, Waldweiden</v>
      </c>
      <c r="B4922" s="2410" t="s">
        <v>5450</v>
      </c>
      <c r="C4922" s="2410" t="s">
        <v>5436</v>
      </c>
      <c r="D4922" s="2424" t="s">
        <v>10538</v>
      </c>
    </row>
    <row r="4923" spans="1:4" ht="12.75" customHeight="1">
      <c r="A4923" s="2410" t="str">
        <f t="shared" si="89"/>
        <v>Hochstamm-Feldobstbäume, standortgerechte Einzelbäume u. Alleen</v>
      </c>
      <c r="B4923" s="2410" t="s">
        <v>6273</v>
      </c>
      <c r="C4923" s="2410" t="s">
        <v>4960</v>
      </c>
      <c r="D4923" s="2424" t="s">
        <v>10539</v>
      </c>
    </row>
    <row r="4924" spans="1:4" ht="24" customHeight="1">
      <c r="A4924" s="2410" t="str">
        <f t="shared" si="89"/>
        <v>Hecken, Feld- und Ufergehölze, Rebfächen mit hoher Artenvielfalt, weitere BFF</v>
      </c>
      <c r="B4924" s="2410" t="s">
        <v>3466</v>
      </c>
      <c r="C4924" s="2410" t="s">
        <v>637</v>
      </c>
      <c r="D4924" s="2424" t="s">
        <v>10540</v>
      </c>
    </row>
    <row r="4925" spans="1:4" ht="24" customHeight="1">
      <c r="A4925" s="2410" t="str">
        <f t="shared" si="89"/>
        <v>Ackerschonstreifen, Bunt- u. Rotationsbrachen, Säume auf Ackerflächen</v>
      </c>
      <c r="B4925" s="2410" t="s">
        <v>3345</v>
      </c>
      <c r="C4925" s="2410" t="s">
        <v>5817</v>
      </c>
      <c r="D4925" s="2424" t="s">
        <v>10541</v>
      </c>
    </row>
    <row r="4926" spans="1:4" ht="12.75" customHeight="1">
      <c r="A4926" s="2410" t="str">
        <f t="shared" si="89"/>
        <v>Eine der eingebenen Flächen übersteigt die im Blatt "Kennz" deklarierte Fläche dieses Typs!</v>
      </c>
      <c r="B4926" s="2410" t="s">
        <v>1975</v>
      </c>
      <c r="C4926" s="2410" t="s">
        <v>719</v>
      </c>
      <c r="D4926" s="2424" t="s">
        <v>10542</v>
      </c>
    </row>
    <row r="4927" spans="1:4" ht="24" customHeight="1">
      <c r="A4927" s="2410" t="str">
        <f t="shared" si="89"/>
        <v>Eine eingebene Anzahl übersteigt die im Blatt "Kennz" deklarierte Anzahl Bäume!</v>
      </c>
      <c r="B4927" s="2410" t="s">
        <v>1414</v>
      </c>
      <c r="C4927" s="2410" t="s">
        <v>720</v>
      </c>
      <c r="D4927" s="2424" t="s">
        <v>10543</v>
      </c>
    </row>
    <row r="4928" spans="1:4" ht="24" customHeight="1">
      <c r="A4928" s="2410" t="str">
        <f t="shared" si="89"/>
        <v>Eine der eingebenen Flächen übersteigt die im Blatt "Fläche" deklarierte Fläche dieses Typs!</v>
      </c>
      <c r="B4928" s="2410" t="s">
        <v>1194</v>
      </c>
      <c r="C4928" s="2410" t="s">
        <v>719</v>
      </c>
      <c r="D4928" s="2424" t="s">
        <v>10544</v>
      </c>
    </row>
    <row r="4929" spans="1:4" ht="12.75" customHeight="1">
      <c r="A4929" s="2410" t="str">
        <f t="shared" si="89"/>
        <v>Eine eingebene Anzahl übersteigt die im Blatt "Fläche" deklarierte Anzahl Bäume!</v>
      </c>
      <c r="B4929" s="2410" t="s">
        <v>3563</v>
      </c>
      <c r="C4929" s="2410" t="s">
        <v>4336</v>
      </c>
      <c r="D4929" s="2424" t="s">
        <v>10545</v>
      </c>
    </row>
    <row r="4930" spans="1:4" ht="12.75" customHeight="1">
      <c r="A4930" s="2410" t="str">
        <f t="shared" si="89"/>
        <v>Rindvieh, Pferde, Bisons, Milchziegen, Milchschafe</v>
      </c>
      <c r="B4930" s="2410" t="s">
        <v>480</v>
      </c>
      <c r="C4930" s="2410" t="s">
        <v>2720</v>
      </c>
      <c r="D4930" s="2424" t="s">
        <v>10546</v>
      </c>
    </row>
    <row r="4931" spans="1:4" ht="12.75" customHeight="1">
      <c r="A4931" s="2410" t="str">
        <f t="shared" si="89"/>
        <v>Uebrige Ziegen u. Schafe, Hirsche, Lamas, Alpakas</v>
      </c>
      <c r="B4931" s="2410" t="s">
        <v>481</v>
      </c>
      <c r="C4931" s="2410" t="s">
        <v>6623</v>
      </c>
      <c r="D4931" s="2424" t="s">
        <v>10547</v>
      </c>
    </row>
    <row r="4932" spans="1:4" ht="12.75" customHeight="1">
      <c r="A4932" s="2410" t="str">
        <f t="shared" si="89"/>
        <v>Flächenziffer</v>
      </c>
      <c r="B4932" s="2410" t="s">
        <v>482</v>
      </c>
      <c r="C4932" s="2410" t="s">
        <v>6624</v>
      </c>
      <c r="D4932" s="2424" t="s">
        <v>10548</v>
      </c>
    </row>
    <row r="4933" spans="1:4" ht="12.75" customHeight="1">
      <c r="A4933" s="2410" t="str">
        <f t="shared" si="89"/>
        <v>1. und 2. Kind</v>
      </c>
      <c r="B4933" s="2410" t="s">
        <v>5978</v>
      </c>
      <c r="C4933" s="2410" t="s">
        <v>5065</v>
      </c>
      <c r="D4933" s="2424" t="s">
        <v>10549</v>
      </c>
    </row>
    <row r="4934" spans="1:4" ht="12.75" customHeight="1">
      <c r="A4934" s="2410" t="str">
        <f t="shared" si="89"/>
        <v>3. und weitere</v>
      </c>
      <c r="B4934" s="2410" t="s">
        <v>5979</v>
      </c>
      <c r="C4934" s="2410" t="s">
        <v>4009</v>
      </c>
      <c r="D4934" s="2424" t="s">
        <v>9812</v>
      </c>
    </row>
    <row r="4935" spans="1:4" ht="12.75" customHeight="1">
      <c r="A4935" s="2410" t="str">
        <f t="shared" si="89"/>
        <v>ab 2008</v>
      </c>
      <c r="B4935" s="2410" t="s">
        <v>5980</v>
      </c>
      <c r="C4935" s="2410" t="s">
        <v>6625</v>
      </c>
      <c r="D4935" s="2414" t="s">
        <v>10550</v>
      </c>
    </row>
    <row r="4936" spans="1:4" ht="12.75" customHeight="1">
      <c r="A4936" s="2410" t="str">
        <f t="shared" si="89"/>
        <v>Kinderzulage ab 2009</v>
      </c>
      <c r="B4936" s="2410" t="s">
        <v>1988</v>
      </c>
      <c r="C4936" s="2410" t="s">
        <v>5655</v>
      </c>
      <c r="D4936" s="2414" t="s">
        <v>10551</v>
      </c>
    </row>
    <row r="4937" spans="1:4" ht="12.75" customHeight="1">
      <c r="A4937" s="2410" t="str">
        <f t="shared" si="89"/>
        <v>Ausbildungszulage ab 2009</v>
      </c>
      <c r="B4937" s="2410" t="s">
        <v>5654</v>
      </c>
      <c r="C4937" s="2410" t="s">
        <v>3575</v>
      </c>
      <c r="D4937" s="2424" t="s">
        <v>10552</v>
      </c>
    </row>
    <row r="4938" spans="1:4" ht="12.75" customHeight="1">
      <c r="A4938" s="2410" t="str">
        <f t="shared" si="89"/>
        <v>Biodiversitätsbeitrag (Qualitätstufe 1)</v>
      </c>
      <c r="B4938" s="2410" t="s">
        <v>2859</v>
      </c>
      <c r="C4938" s="2410" t="s">
        <v>2425</v>
      </c>
      <c r="D4938" s="2424" t="s">
        <v>10553</v>
      </c>
    </row>
    <row r="4939" spans="1:4" ht="12.75" customHeight="1">
      <c r="A4939" s="2410" t="str">
        <f t="shared" si="89"/>
        <v>Biodiversitätsbeitrag (Qualitätstufe 2)</v>
      </c>
      <c r="B4939" s="2410" t="s">
        <v>4165</v>
      </c>
      <c r="C4939" s="2410" t="s">
        <v>4166</v>
      </c>
      <c r="D4939" s="2414" t="s">
        <v>10554</v>
      </c>
    </row>
    <row r="4940" spans="1:4" ht="12.75" customHeight="1">
      <c r="A4940" s="2410" t="str">
        <f t="shared" si="89"/>
        <v>extensiv genutzte Wiesen</v>
      </c>
      <c r="B4940" s="2410" t="s">
        <v>1140</v>
      </c>
      <c r="C4940" s="2410" t="s">
        <v>2381</v>
      </c>
      <c r="D4940" s="2414" t="s">
        <v>8772</v>
      </c>
    </row>
    <row r="4941" spans="1:4" ht="12.75" customHeight="1">
      <c r="A4941" s="2410" t="str">
        <f t="shared" si="89"/>
        <v>Streueflächen</v>
      </c>
      <c r="B4941" s="2410" t="s">
        <v>2095</v>
      </c>
      <c r="C4941" s="2410" t="s">
        <v>1139</v>
      </c>
      <c r="D4941" s="2414" t="s">
        <v>9542</v>
      </c>
    </row>
    <row r="4942" spans="1:4" ht="12.75" customHeight="1">
      <c r="A4942" s="2410" t="str">
        <f t="shared" si="89"/>
        <v>wenig intensiv genutzte Wiesen</v>
      </c>
      <c r="B4942" s="2410" t="s">
        <v>6131</v>
      </c>
      <c r="C4942" s="2410" t="s">
        <v>6132</v>
      </c>
      <c r="D4942" s="2414" t="s">
        <v>9543</v>
      </c>
    </row>
    <row r="4943" spans="1:4" ht="12.75" customHeight="1">
      <c r="A4943" s="2410" t="str">
        <f t="shared" si="89"/>
        <v>extensive Weiden und Waldweiden</v>
      </c>
      <c r="B4943" s="2410" t="s">
        <v>5854</v>
      </c>
      <c r="C4943" s="2410" t="s">
        <v>6796</v>
      </c>
      <c r="D4943" s="2414" t="s">
        <v>10555</v>
      </c>
    </row>
    <row r="4944" spans="1:4" ht="12.75" customHeight="1">
      <c r="A4944" s="2410" t="str">
        <f t="shared" si="89"/>
        <v>Hecken, Feld- und Ufergehölze</v>
      </c>
      <c r="B4944" s="2410" t="s">
        <v>5524</v>
      </c>
      <c r="C4944" s="2410" t="s">
        <v>1525</v>
      </c>
      <c r="D4944" s="2414" t="s">
        <v>8583</v>
      </c>
    </row>
    <row r="4945" spans="1:4" ht="12.75" customHeight="1">
      <c r="A4945" s="2410" t="str">
        <f t="shared" si="89"/>
        <v>Uferwiesen entlang von Fliessgewässern</v>
      </c>
      <c r="B4945" s="2410" t="s">
        <v>2816</v>
      </c>
      <c r="C4945" s="2410" t="s">
        <v>1474</v>
      </c>
      <c r="D4945" s="2414" t="s">
        <v>8546</v>
      </c>
    </row>
    <row r="4946" spans="1:4" ht="12.75" customHeight="1">
      <c r="A4946" s="2410" t="str">
        <f t="shared" si="89"/>
        <v>Hochstamm-Feldobstbäume</v>
      </c>
      <c r="B4946" s="2410" t="s">
        <v>4514</v>
      </c>
      <c r="C4946" s="2410" t="s">
        <v>923</v>
      </c>
      <c r="D4946" s="2424" t="s">
        <v>8435</v>
      </c>
    </row>
    <row r="4947" spans="1:4" ht="12.75" customHeight="1">
      <c r="A4947" s="2410" t="str">
        <f t="shared" si="89"/>
        <v>Buntbrache</v>
      </c>
      <c r="B4947" s="2410" t="s">
        <v>2043</v>
      </c>
      <c r="C4947" s="2410" t="s">
        <v>4248</v>
      </c>
      <c r="D4947" s="2424" t="s">
        <v>801</v>
      </c>
    </row>
    <row r="4948" spans="1:4" ht="12.75" customHeight="1">
      <c r="A4948" s="2410" t="str">
        <f t="shared" si="89"/>
        <v>Rotationsbrache</v>
      </c>
      <c r="B4948" s="2410" t="s">
        <v>6927</v>
      </c>
      <c r="C4948" s="2410" t="s">
        <v>2153</v>
      </c>
      <c r="D4948" s="2424" t="s">
        <v>800</v>
      </c>
    </row>
    <row r="4949" spans="1:4" ht="12.75" customHeight="1">
      <c r="A4949" s="2410" t="str">
        <f t="shared" si="89"/>
        <v>Ackerschonstreifen</v>
      </c>
      <c r="B4949" s="2410" t="s">
        <v>3140</v>
      </c>
      <c r="C4949" s="2410" t="s">
        <v>2991</v>
      </c>
      <c r="D4949" s="2424" t="s">
        <v>8553</v>
      </c>
    </row>
    <row r="4950" spans="1:4" ht="12.75" customHeight="1">
      <c r="A4950" s="2410" t="str">
        <f t="shared" si="89"/>
        <v>Nützlingsstreifen</v>
      </c>
      <c r="B4950" s="2781" t="s">
        <v>11424</v>
      </c>
      <c r="C4950" s="2781" t="s">
        <v>11848</v>
      </c>
      <c r="D4950" s="2783" t="s">
        <v>11851</v>
      </c>
    </row>
    <row r="4951" spans="1:4" ht="12.75" customHeight="1">
      <c r="A4951" s="2410" t="str">
        <f t="shared" si="89"/>
        <v>Saum auf Ackerfläche</v>
      </c>
      <c r="B4951" s="2410" t="s">
        <v>5531</v>
      </c>
      <c r="C4951" s="2410" t="s">
        <v>2991</v>
      </c>
      <c r="D4951" s="2424" t="s">
        <v>8517</v>
      </c>
    </row>
    <row r="4952" spans="1:4" ht="12.75" customHeight="1">
      <c r="A4952" s="2410" t="str">
        <f t="shared" si="89"/>
        <v>Rebflächen mit natürlicher Artenvielfalt</v>
      </c>
      <c r="B4952" s="2410" t="s">
        <v>7536</v>
      </c>
      <c r="C4952" s="2410" t="s">
        <v>1412</v>
      </c>
      <c r="D4952" s="2414" t="s">
        <v>9552</v>
      </c>
    </row>
    <row r="4953" spans="1:4" ht="12.75" customHeight="1">
      <c r="A4953" s="2410" t="str">
        <f t="shared" si="89"/>
        <v>Artenr. Grün- und Streuefl. im SömGeb.</v>
      </c>
      <c r="B4953" s="2410" t="s">
        <v>7535</v>
      </c>
      <c r="C4953" s="2410" t="s">
        <v>7534</v>
      </c>
      <c r="D4953" s="2414" t="s">
        <v>10556</v>
      </c>
    </row>
    <row r="4954" spans="1:4" ht="12.75" customHeight="1">
      <c r="A4954" s="2410" t="str">
        <f t="shared" si="89"/>
        <v>Zoneneinteilung</v>
      </c>
      <c r="B4954" s="2410" t="s">
        <v>1820</v>
      </c>
      <c r="C4954" s="2410" t="s">
        <v>6626</v>
      </c>
      <c r="D4954" s="2424" t="s">
        <v>2928</v>
      </c>
    </row>
    <row r="4955" spans="1:4" ht="12.75" customHeight="1">
      <c r="A4955" s="2410" t="str">
        <f t="shared" si="89"/>
        <v>31 Talzone</v>
      </c>
      <c r="B4955" s="2410" t="s">
        <v>483</v>
      </c>
      <c r="C4955" s="2410" t="s">
        <v>1477</v>
      </c>
      <c r="D4955" s="2414" t="s">
        <v>7126</v>
      </c>
    </row>
    <row r="4956" spans="1:4" ht="12.75" customHeight="1">
      <c r="A4956" s="2410" t="str">
        <f t="shared" si="89"/>
        <v>41 Hügelzone</v>
      </c>
      <c r="B4956" s="2410" t="s">
        <v>1482</v>
      </c>
      <c r="C4956" s="2410" t="s">
        <v>6023</v>
      </c>
      <c r="D4956" s="2414" t="s">
        <v>7127</v>
      </c>
    </row>
    <row r="4957" spans="1:4" ht="12.75" customHeight="1">
      <c r="A4957" s="2410" t="str">
        <f t="shared" si="89"/>
        <v>51 Bergzone I</v>
      </c>
      <c r="B4957" s="2410" t="s">
        <v>5719</v>
      </c>
      <c r="C4957" s="2410" t="s">
        <v>6024</v>
      </c>
      <c r="D4957" s="2414" t="s">
        <v>10557</v>
      </c>
    </row>
    <row r="4958" spans="1:4" ht="12.75" customHeight="1">
      <c r="A4958" s="2410" t="str">
        <f t="shared" si="89"/>
        <v>52 Bergzone II</v>
      </c>
      <c r="B4958" s="2410" t="s">
        <v>5720</v>
      </c>
      <c r="C4958" s="2410" t="s">
        <v>3686</v>
      </c>
      <c r="D4958" s="2414" t="s">
        <v>10558</v>
      </c>
    </row>
    <row r="4959" spans="1:4" ht="12.75" customHeight="1">
      <c r="A4959" s="2410" t="str">
        <f t="shared" si="89"/>
        <v>53 Bergzone III</v>
      </c>
      <c r="B4959" s="2410" t="s">
        <v>5710</v>
      </c>
      <c r="C4959" s="2410" t="s">
        <v>3656</v>
      </c>
      <c r="D4959" s="2414" t="s">
        <v>10559</v>
      </c>
    </row>
    <row r="4960" spans="1:4" ht="12.75" customHeight="1">
      <c r="A4960" s="2410" t="str">
        <f t="shared" si="89"/>
        <v>54 Bergzone IV</v>
      </c>
      <c r="B4960" s="2410" t="s">
        <v>5711</v>
      </c>
      <c r="C4960" s="2410" t="s">
        <v>3525</v>
      </c>
      <c r="D4960" s="2414" t="s">
        <v>10560</v>
      </c>
    </row>
    <row r="4961" spans="1:4" ht="12.75" customHeight="1">
      <c r="A4961" s="2410" t="str">
        <f t="shared" si="89"/>
        <v>Tabellarische Koeffizienten</v>
      </c>
      <c r="B4961" s="2410" t="s">
        <v>1737</v>
      </c>
      <c r="C4961" s="2410" t="s">
        <v>6764</v>
      </c>
      <c r="D4961" s="2424" t="s">
        <v>10561</v>
      </c>
    </row>
    <row r="4962" spans="1:4" ht="12.75" customHeight="1">
      <c r="A4962" s="2410" t="str">
        <f t="shared" si="89"/>
        <v>Anbaumethode</v>
      </c>
      <c r="B4962" s="2410" t="s">
        <v>1738</v>
      </c>
      <c r="C4962" s="2410" t="s">
        <v>6765</v>
      </c>
      <c r="D4962" s="2424" t="s">
        <v>8436</v>
      </c>
    </row>
    <row r="4963" spans="1:4" ht="12.75" customHeight="1">
      <c r="A4963" s="2410" t="str">
        <f t="shared" si="89"/>
        <v>Ökonachweis: nicht erfüllt</v>
      </c>
      <c r="B4963" s="2410" t="s">
        <v>7266</v>
      </c>
      <c r="C4963" s="2410" t="s">
        <v>5586</v>
      </c>
      <c r="D4963" s="2414" t="s">
        <v>9317</v>
      </c>
    </row>
    <row r="4964" spans="1:4" ht="12.75" customHeight="1">
      <c r="A4964" s="2410" t="str">
        <f t="shared" si="89"/>
        <v>Ökonachweis: erfüllt</v>
      </c>
      <c r="B4964" s="2410" t="s">
        <v>1819</v>
      </c>
      <c r="C4964" s="2410" t="s">
        <v>7060</v>
      </c>
      <c r="D4964" s="2414" t="s">
        <v>9318</v>
      </c>
    </row>
    <row r="4965" spans="1:4" ht="12.75" customHeight="1">
      <c r="A4965" s="2410" t="str">
        <f t="shared" si="89"/>
        <v>Biologischer Landbau</v>
      </c>
      <c r="B4965" s="2410" t="s">
        <v>2697</v>
      </c>
      <c r="C4965" s="2410" t="s">
        <v>7061</v>
      </c>
      <c r="D4965" s="2414" t="s">
        <v>1746</v>
      </c>
    </row>
    <row r="4966" spans="1:4" ht="12.75" customHeight="1">
      <c r="A4966" s="2410" t="str">
        <f t="shared" si="89"/>
        <v>Tabellarische Koeffizienten</v>
      </c>
      <c r="B4966" s="2410" t="s">
        <v>1737</v>
      </c>
      <c r="C4966" s="2410" t="s">
        <v>6764</v>
      </c>
      <c r="D4966" s="2424" t="s">
        <v>10561</v>
      </c>
    </row>
    <row r="4967" spans="1:4" ht="12.75" customHeight="1">
      <c r="A4967" s="2410" t="str">
        <f t="shared" si="89"/>
        <v>Spezialkulturen</v>
      </c>
      <c r="B4967" s="2410" t="s">
        <v>4498</v>
      </c>
      <c r="C4967" s="2410" t="s">
        <v>2464</v>
      </c>
      <c r="D4967" s="2424" t="s">
        <v>9593</v>
      </c>
    </row>
    <row r="4968" spans="1:4" ht="12.75" customHeight="1">
      <c r="A4968" s="2410" t="str">
        <f t="shared" si="89"/>
        <v>übrige offene
Ackerflächen</v>
      </c>
      <c r="B4968" s="2410" t="s">
        <v>4499</v>
      </c>
      <c r="C4968" s="2410" t="s">
        <v>2465</v>
      </c>
      <c r="D4968" s="2424" t="s">
        <v>10562</v>
      </c>
    </row>
    <row r="4969" spans="1:4" ht="12.75" customHeight="1">
      <c r="A4969" s="2410" t="str">
        <f t="shared" si="89"/>
        <v>übrige LN</v>
      </c>
      <c r="B4969" s="2410" t="s">
        <v>4500</v>
      </c>
      <c r="C4969" s="2410" t="s">
        <v>6399</v>
      </c>
      <c r="D4969" s="2424" t="s">
        <v>10563</v>
      </c>
    </row>
    <row r="4970" spans="1:4" ht="12.75" customHeight="1">
      <c r="A4970" s="2410" t="str">
        <f t="shared" si="89"/>
        <v>Flächenbeitrag</v>
      </c>
      <c r="B4970" s="2410" t="s">
        <v>4501</v>
      </c>
      <c r="C4970" s="2410" t="s">
        <v>329</v>
      </c>
      <c r="D4970" s="2424" t="s">
        <v>10564</v>
      </c>
    </row>
    <row r="4971" spans="1:4" ht="12.75" customHeight="1">
      <c r="A4971" s="2410" t="str">
        <f t="shared" si="89"/>
        <v>Beitrag für oAF und Dauerkulturen</v>
      </c>
      <c r="B4971" s="2410" t="s">
        <v>2419</v>
      </c>
      <c r="C4971" s="2410" t="s">
        <v>6441</v>
      </c>
      <c r="D4971" s="2424" t="s">
        <v>10565</v>
      </c>
    </row>
    <row r="4972" spans="1:4" ht="12.75" customHeight="1">
      <c r="A4972" s="2410" t="str">
        <f t="shared" si="89"/>
        <v>Anspruch auf übrige DZ</v>
      </c>
      <c r="B4972" s="2410" t="s">
        <v>4362</v>
      </c>
      <c r="C4972" s="2410" t="s">
        <v>1712</v>
      </c>
      <c r="D4972" s="2424" t="s">
        <v>10566</v>
      </c>
    </row>
    <row r="4973" spans="1:4" ht="12.75" customHeight="1">
      <c r="A4973" s="2410" t="str">
        <f t="shared" si="89"/>
        <v>Zuschlag SAK</v>
      </c>
      <c r="B4973" s="2410" t="s">
        <v>4363</v>
      </c>
      <c r="C4973" s="2410" t="s">
        <v>1713</v>
      </c>
      <c r="D4973" s="2424" t="s">
        <v>10567</v>
      </c>
    </row>
    <row r="4974" spans="1:4" ht="12.75" customHeight="1">
      <c r="A4974" s="2410" t="str">
        <f t="shared" si="89"/>
        <v>Mehrarbeit AK-Bilanz</v>
      </c>
      <c r="B4974" s="2410" t="s">
        <v>4364</v>
      </c>
      <c r="C4974" s="2410" t="s">
        <v>2686</v>
      </c>
      <c r="D4974" s="2424" t="s">
        <v>10568</v>
      </c>
    </row>
    <row r="4975" spans="1:4" ht="12.75" customHeight="1">
      <c r="A4975" s="2410" t="str">
        <f t="shared" si="89"/>
        <v>Flächengrenze</v>
      </c>
      <c r="B4975" s="2410" t="s">
        <v>2916</v>
      </c>
      <c r="C4975" s="2410" t="s">
        <v>1046</v>
      </c>
      <c r="D4975" s="2424" t="s">
        <v>10569</v>
      </c>
    </row>
    <row r="4976" spans="1:4" ht="12.75" customHeight="1">
      <c r="A4976" s="2410" t="str">
        <f t="shared" si="89"/>
        <v>Tiergrenze</v>
      </c>
      <c r="B4976" s="2410" t="s">
        <v>2885</v>
      </c>
      <c r="C4976" s="2410" t="s">
        <v>1047</v>
      </c>
      <c r="D4976" s="2424" t="s">
        <v>10570</v>
      </c>
    </row>
    <row r="4977" spans="1:4" ht="12.75" customHeight="1">
      <c r="A4977" s="2410" t="str">
        <f t="shared" si="89"/>
        <v>Limite Kostenbeitrag</v>
      </c>
      <c r="B4977" s="2410" t="s">
        <v>6372</v>
      </c>
      <c r="C4977" s="2410" t="s">
        <v>4357</v>
      </c>
      <c r="D4977" s="2424" t="s">
        <v>10571</v>
      </c>
    </row>
    <row r="4978" spans="1:4" ht="12.75" customHeight="1">
      <c r="A4978" s="2410" t="str">
        <f t="shared" si="89"/>
        <v>Beitragsstufen</v>
      </c>
      <c r="B4978" s="2410" t="s">
        <v>6373</v>
      </c>
      <c r="C4978" s="2410" t="s">
        <v>4550</v>
      </c>
      <c r="D4978" s="2424" t="s">
        <v>10572</v>
      </c>
    </row>
    <row r="4979" spans="1:4" ht="12.75" customHeight="1">
      <c r="A4979" s="2410" t="str">
        <f t="shared" si="89"/>
        <v>Fläche in ha</v>
      </c>
      <c r="B4979" s="2410" t="s">
        <v>6374</v>
      </c>
      <c r="C4979" s="2410" t="s">
        <v>4551</v>
      </c>
      <c r="D4979" s="2424" t="s">
        <v>1267</v>
      </c>
    </row>
    <row r="4980" spans="1:4" ht="12.75" customHeight="1">
      <c r="A4980" s="2410" t="str">
        <f t="shared" si="89"/>
        <v>Tierbestand, GVE</v>
      </c>
      <c r="B4980" s="2410" t="s">
        <v>5546</v>
      </c>
      <c r="C4980" s="2410" t="s">
        <v>4552</v>
      </c>
      <c r="D4980" s="2424" t="s">
        <v>10573</v>
      </c>
    </row>
    <row r="4981" spans="1:4" ht="12.75" customHeight="1">
      <c r="A4981" s="2410" t="str">
        <f t="shared" ref="A4981:A5051" si="90">IF($A$2=1,B4981,IF($A$2=2,C4981,IF($A$2=3,IF(D4981="",C4981,D4981),"")))</f>
        <v>Ansatz</v>
      </c>
      <c r="B4981" s="2410" t="s">
        <v>1484</v>
      </c>
      <c r="C4981" s="2410" t="s">
        <v>4553</v>
      </c>
      <c r="D4981" s="2424" t="s">
        <v>8282</v>
      </c>
    </row>
    <row r="4982" spans="1:4" ht="12.75" customHeight="1">
      <c r="A4982" s="2410" t="str">
        <f t="shared" si="90"/>
        <v>Flächenstufen</v>
      </c>
      <c r="B4982" s="2410" t="s">
        <v>5547</v>
      </c>
      <c r="C4982" s="2410" t="s">
        <v>434</v>
      </c>
      <c r="D4982" s="2424" t="s">
        <v>10574</v>
      </c>
    </row>
    <row r="4983" spans="1:4" ht="12.75" customHeight="1">
      <c r="A4983" s="2410" t="str">
        <f t="shared" si="90"/>
        <v>Stufen-Quotient Fläche</v>
      </c>
      <c r="B4983" s="2410" t="s">
        <v>2548</v>
      </c>
      <c r="C4983" s="2410" t="s">
        <v>435</v>
      </c>
      <c r="D4983" s="2424" t="s">
        <v>10575</v>
      </c>
    </row>
    <row r="4984" spans="1:4" ht="12.75" customHeight="1">
      <c r="A4984" s="2410" t="str">
        <f t="shared" si="90"/>
        <v>Tierstufen</v>
      </c>
      <c r="B4984" s="2410" t="s">
        <v>2549</v>
      </c>
      <c r="C4984" s="2410" t="s">
        <v>436</v>
      </c>
      <c r="D4984" s="2424" t="s">
        <v>10576</v>
      </c>
    </row>
    <row r="4985" spans="1:4" ht="12.75" customHeight="1">
      <c r="A4985" s="2410" t="str">
        <f t="shared" si="90"/>
        <v>Stufen-Quotient Tiere</v>
      </c>
      <c r="B4985" s="2410" t="s">
        <v>2585</v>
      </c>
      <c r="C4985" s="2410" t="s">
        <v>7131</v>
      </c>
      <c r="D4985" s="2424" t="s">
        <v>10577</v>
      </c>
    </row>
    <row r="4986" spans="1:4" ht="12.75" customHeight="1">
      <c r="A4986" s="2410" t="str">
        <f t="shared" si="90"/>
        <v>Beiträge für die Haltung rauhfutterverzehrender Nutztiere</v>
      </c>
      <c r="B4986" s="2410" t="s">
        <v>5973</v>
      </c>
      <c r="C4986" s="2410" t="s">
        <v>2743</v>
      </c>
      <c r="D4986" s="2424" t="s">
        <v>10528</v>
      </c>
    </row>
    <row r="4987" spans="1:4" ht="12.75" customHeight="1">
      <c r="A4987" s="2410" t="str">
        <f t="shared" si="90"/>
        <v>Rindvieh, Pferde, Bisons, Milchziegen, Milchschafe</v>
      </c>
      <c r="B4987" s="2410" t="s">
        <v>480</v>
      </c>
      <c r="C4987" s="2410" t="s">
        <v>2720</v>
      </c>
      <c r="D4987" s="2424" t="s">
        <v>10546</v>
      </c>
    </row>
    <row r="4988" spans="1:4" ht="12.75" customHeight="1">
      <c r="A4988" s="2410" t="str">
        <f t="shared" si="90"/>
        <v>Uebrige Ziegen u. Schafe, Hirsche, Lamas, Alpakas</v>
      </c>
      <c r="B4988" s="2410" t="s">
        <v>481</v>
      </c>
      <c r="C4988" s="2410" t="s">
        <v>6623</v>
      </c>
      <c r="D4988" s="2424" t="s">
        <v>10547</v>
      </c>
    </row>
    <row r="4989" spans="1:4" ht="12.75" customHeight="1">
      <c r="A4989" s="2410" t="str">
        <f t="shared" si="90"/>
        <v>RGVE mit Abzug für abgelieferte Milch</v>
      </c>
      <c r="B4989" s="2410" t="s">
        <v>7264</v>
      </c>
      <c r="C4989" s="2410" t="s">
        <v>7570</v>
      </c>
      <c r="D4989" s="2424" t="s">
        <v>10578</v>
      </c>
    </row>
    <row r="4990" spans="1:4" ht="12.75" customHeight="1">
      <c r="A4990" s="2410" t="str">
        <f t="shared" si="90"/>
        <v>Flächenbeitrag</v>
      </c>
      <c r="B4990" s="2410" t="s">
        <v>4501</v>
      </c>
      <c r="C4990" s="2410" t="s">
        <v>329</v>
      </c>
      <c r="D4990" s="2424" t="s">
        <v>10579</v>
      </c>
    </row>
    <row r="4991" spans="1:4" ht="12.75" customHeight="1">
      <c r="A4991" s="2410" t="str">
        <f t="shared" si="90"/>
        <v>Beitrag für oAF und Dauerkulturen</v>
      </c>
      <c r="B4991" s="2410" t="s">
        <v>2419</v>
      </c>
      <c r="C4991" s="2410" t="s">
        <v>6441</v>
      </c>
      <c r="D4991" s="2424" t="s">
        <v>10565</v>
      </c>
    </row>
    <row r="4992" spans="1:4" ht="12.75" customHeight="1">
      <c r="A4992" s="2410" t="str">
        <f t="shared" si="90"/>
        <v>Kürzung der Direktzahlungen in %</v>
      </c>
      <c r="B4992" s="2410" t="s">
        <v>7265</v>
      </c>
      <c r="C4992" s="2410" t="s">
        <v>7022</v>
      </c>
      <c r="D4992" s="2424" t="s">
        <v>10580</v>
      </c>
    </row>
    <row r="4993" spans="1:4" ht="12.75" customHeight="1">
      <c r="A4993" s="2410" t="str">
        <f t="shared" si="90"/>
        <v>Regelmässiger Auslauf im Freien</v>
      </c>
      <c r="B4993" s="2410" t="s">
        <v>6082</v>
      </c>
      <c r="C4993" s="2410" t="s">
        <v>2141</v>
      </c>
      <c r="D4993" s="2424" t="s">
        <v>10581</v>
      </c>
    </row>
    <row r="4994" spans="1:4" ht="12.75" customHeight="1">
      <c r="A4994" s="2410" t="str">
        <f t="shared" si="90"/>
        <v>Rinder, Pferde, Bisons, Schafe, Ziegen, Hirsche, Kaninchen</v>
      </c>
      <c r="B4994" s="2410" t="s">
        <v>5632</v>
      </c>
      <c r="C4994" s="2410" t="s">
        <v>4572</v>
      </c>
      <c r="D4994" s="2424" t="s">
        <v>10582</v>
      </c>
    </row>
    <row r="4995" spans="1:4" ht="12.75" customHeight="1">
      <c r="A4995" s="2410" t="str">
        <f t="shared" si="90"/>
        <v>Rinder u. Wasserbüffel, Tiere der Pferdegattung, Schafe u. Ziegen &gt; 1 Jahr, Weidelämmer, Kaninchen</v>
      </c>
      <c r="B4995" s="2410" t="s">
        <v>3197</v>
      </c>
      <c r="C4995" s="2410" t="s">
        <v>118</v>
      </c>
      <c r="D4995" s="2424" t="s">
        <v>10583</v>
      </c>
    </row>
    <row r="4996" spans="1:4" ht="12.75" customHeight="1">
      <c r="A4996" s="2410" t="str">
        <f t="shared" si="90"/>
        <v>Zuchtsauen, nicht säugend</v>
      </c>
      <c r="B4996" s="2410" t="s">
        <v>3905</v>
      </c>
      <c r="C4996" s="2410" t="s">
        <v>1716</v>
      </c>
      <c r="D4996" s="2424" t="s">
        <v>11223</v>
      </c>
    </row>
    <row r="4997" spans="1:4" ht="12.75" customHeight="1">
      <c r="A4997" s="2410" t="str">
        <f t="shared" si="90"/>
        <v>Schweine</v>
      </c>
      <c r="B4997" s="2410" t="s">
        <v>2279</v>
      </c>
      <c r="C4997" s="2410" t="s">
        <v>1585</v>
      </c>
      <c r="D4997" s="2424" t="s">
        <v>1918</v>
      </c>
    </row>
    <row r="4998" spans="1:4" ht="12.75" customHeight="1">
      <c r="A4998" s="2410" t="str">
        <f t="shared" si="90"/>
        <v>Übrige Schweine ohne Saugferkel</v>
      </c>
      <c r="B4998" s="2410" t="s">
        <v>1747</v>
      </c>
      <c r="C4998" s="2410" t="s">
        <v>6639</v>
      </c>
      <c r="D4998" s="2424" t="s">
        <v>9603</v>
      </c>
    </row>
    <row r="4999" spans="1:4" ht="12.75" customHeight="1">
      <c r="A4999" s="2410" t="str">
        <f t="shared" si="90"/>
        <v>Lege-, Jung- u. Zuchthennen, Mastpoulets und Truten</v>
      </c>
      <c r="B4999" s="2410" t="s">
        <v>3223</v>
      </c>
      <c r="C4999" s="2410" t="s">
        <v>7437</v>
      </c>
      <c r="D4999" s="2424" t="s">
        <v>10584</v>
      </c>
    </row>
    <row r="5000" spans="1:4" ht="12.75" customHeight="1">
      <c r="A5000" s="2410" t="str">
        <f t="shared" si="90"/>
        <v>Begrenzung nach SAK</v>
      </c>
      <c r="B5000" s="2410" t="s">
        <v>6083</v>
      </c>
      <c r="C5000" s="2410" t="s">
        <v>4573</v>
      </c>
      <c r="D5000" s="2424" t="s">
        <v>10585</v>
      </c>
    </row>
    <row r="5001" spans="1:4" ht="12.75" customHeight="1">
      <c r="A5001" s="2410" t="str">
        <f t="shared" si="90"/>
        <v>Einkommensabzug Veheiratete</v>
      </c>
      <c r="B5001" s="2410" t="s">
        <v>6719</v>
      </c>
      <c r="C5001" s="2410" t="s">
        <v>3126</v>
      </c>
      <c r="D5001" s="2424" t="s">
        <v>10586</v>
      </c>
    </row>
    <row r="5002" spans="1:4" ht="12.75" customHeight="1">
      <c r="A5002" s="2410" t="str">
        <f t="shared" si="90"/>
        <v>Vermögensabzug Veheiratete</v>
      </c>
      <c r="B5002" s="2410" t="s">
        <v>5551</v>
      </c>
      <c r="C5002" s="2410" t="s">
        <v>3127</v>
      </c>
      <c r="D5002" s="2424" t="s">
        <v>10587</v>
      </c>
    </row>
    <row r="5003" spans="1:4" ht="12.75" customHeight="1">
      <c r="A5003" s="2410" t="str">
        <f t="shared" si="90"/>
        <v>Vermögensabzug SAK</v>
      </c>
      <c r="B5003" s="2410" t="s">
        <v>5552</v>
      </c>
      <c r="C5003" s="2410" t="s">
        <v>7360</v>
      </c>
      <c r="D5003" s="2424" t="s">
        <v>10588</v>
      </c>
    </row>
    <row r="5004" spans="1:4" ht="12.75" customHeight="1">
      <c r="A5004" s="2410" t="str">
        <f t="shared" si="90"/>
        <v>Besonders tierfreundliche Stallhaltungssysteme</v>
      </c>
      <c r="B5004" s="2410" t="s">
        <v>5553</v>
      </c>
      <c r="C5004" s="2410" t="s">
        <v>4884</v>
      </c>
      <c r="D5004" s="2424" t="s">
        <v>10589</v>
      </c>
    </row>
    <row r="5005" spans="1:4" ht="12.75" customHeight="1">
      <c r="A5005" s="2410" t="str">
        <f t="shared" si="90"/>
        <v>Tiere der Rindergattung ohne Kälber, Ziegen und Kaninchen</v>
      </c>
      <c r="B5005" s="2410" t="s">
        <v>5583</v>
      </c>
      <c r="C5005" s="2410" t="s">
        <v>2900</v>
      </c>
      <c r="D5005" s="2424" t="s">
        <v>10590</v>
      </c>
    </row>
    <row r="5006" spans="1:4" ht="12.75" customHeight="1">
      <c r="A5006" s="2410" t="str">
        <f t="shared" si="90"/>
        <v>Rinder u. Wasserbüffel &gt; 4 Mte., Tiere der Pferdegattung &gt; 30 Mte., Ziegen  &gt; 1 Jahr</v>
      </c>
      <c r="B5006" s="2410" t="s">
        <v>4182</v>
      </c>
      <c r="C5006" s="2410" t="s">
        <v>5428</v>
      </c>
      <c r="D5006" s="2424" t="s">
        <v>10591</v>
      </c>
    </row>
    <row r="5007" spans="1:4" ht="12.75" customHeight="1">
      <c r="A5007" s="2410" t="str">
        <f t="shared" si="90"/>
        <v>Schweine</v>
      </c>
      <c r="B5007" s="2410" t="s">
        <v>2279</v>
      </c>
      <c r="C5007" s="2410" t="s">
        <v>1585</v>
      </c>
      <c r="D5007" s="2424" t="s">
        <v>1918</v>
      </c>
    </row>
    <row r="5008" spans="1:4" ht="12.75" customHeight="1">
      <c r="A5008" s="2410" t="str">
        <f t="shared" si="90"/>
        <v>Schweine ohne Saugferkel</v>
      </c>
      <c r="B5008" s="2410" t="s">
        <v>3253</v>
      </c>
      <c r="C5008" s="2410" t="s">
        <v>2901</v>
      </c>
      <c r="D5008" s="2424" t="s">
        <v>9372</v>
      </c>
    </row>
    <row r="5009" spans="1:4" ht="12.75" customHeight="1">
      <c r="A5009" s="2410" t="str">
        <f t="shared" si="90"/>
        <v>Lege-, Jung- u. Zuchthennen</v>
      </c>
      <c r="B5009" s="2410" t="s">
        <v>2390</v>
      </c>
      <c r="C5009" s="2410" t="s">
        <v>3679</v>
      </c>
      <c r="D5009" s="2424" t="s">
        <v>10592</v>
      </c>
    </row>
    <row r="5010" spans="1:4" ht="12.75" customHeight="1">
      <c r="A5010" s="2410" t="str">
        <f t="shared" si="90"/>
        <v>Mastpoulets, Truten und Kaninchen</v>
      </c>
      <c r="B5010" s="2410" t="s">
        <v>3222</v>
      </c>
      <c r="C5010" s="2410" t="s">
        <v>6820</v>
      </c>
      <c r="D5010" s="2424" t="s">
        <v>10593</v>
      </c>
    </row>
    <row r="5011" spans="1:4" ht="12.75" customHeight="1">
      <c r="A5011" s="2410" t="str">
        <f t="shared" si="90"/>
        <v>Beiträge für Sömmerungs-, Hirten- und Gemeinschaftsweidebetriebe</v>
      </c>
      <c r="B5011" s="2410" t="s">
        <v>1273</v>
      </c>
      <c r="C5011" s="2410" t="s">
        <v>3680</v>
      </c>
      <c r="D5011" s="2424" t="s">
        <v>10594</v>
      </c>
    </row>
    <row r="5012" spans="1:4" ht="12.75" customHeight="1">
      <c r="A5012" s="2410" t="str">
        <f t="shared" si="90"/>
        <v>gemolkene Kühe, Milchschafe und Milchziegen</v>
      </c>
      <c r="B5012" s="2410" t="s">
        <v>4447</v>
      </c>
      <c r="C5012" s="2410" t="s">
        <v>3681</v>
      </c>
      <c r="D5012" s="2424" t="s">
        <v>10595</v>
      </c>
    </row>
    <row r="5013" spans="1:4" ht="12.75" customHeight="1">
      <c r="A5013" s="2410" t="str">
        <f t="shared" si="90"/>
        <v>Schafe ohne Milchschafe</v>
      </c>
      <c r="B5013" s="2410" t="s">
        <v>3902</v>
      </c>
      <c r="C5013" s="2410" t="s">
        <v>69</v>
      </c>
      <c r="D5013" s="2424" t="s">
        <v>9487</v>
      </c>
    </row>
    <row r="5014" spans="1:4" ht="12.75" customHeight="1">
      <c r="A5014" s="2410" t="str">
        <f t="shared" si="90"/>
        <v>übrige Raufutter verzehrende Tiere</v>
      </c>
      <c r="B5014" s="2410" t="s">
        <v>4589</v>
      </c>
      <c r="C5014" s="2410" t="s">
        <v>1332</v>
      </c>
      <c r="D5014" s="2424" t="s">
        <v>9018</v>
      </c>
    </row>
    <row r="5015" spans="1:4" ht="12.75" customHeight="1">
      <c r="A5015" s="2410" t="str">
        <f t="shared" si="90"/>
        <v>CHF /Normalstoss bzw. RGVE</v>
      </c>
      <c r="B5015" s="2410" t="s">
        <v>1131</v>
      </c>
      <c r="C5015" s="2410" t="s">
        <v>1681</v>
      </c>
      <c r="D5015" s="2424" t="s">
        <v>10596</v>
      </c>
    </row>
    <row r="5016" spans="1:4" ht="12.75" customHeight="1">
      <c r="A5016" s="2410" t="str">
        <f t="shared" si="90"/>
        <v>Ständige Behirtung</v>
      </c>
      <c r="B5016" s="2410" t="s">
        <v>6540</v>
      </c>
      <c r="C5016" s="2410" t="s">
        <v>888</v>
      </c>
      <c r="D5016" s="2424" t="s">
        <v>10597</v>
      </c>
    </row>
    <row r="5017" spans="1:4" ht="12.75" customHeight="1">
      <c r="A5017" s="2410" t="str">
        <f t="shared" si="90"/>
        <v>Umtriebsweide</v>
      </c>
      <c r="B5017" s="2410" t="s">
        <v>6545</v>
      </c>
      <c r="C5017" s="2410" t="s">
        <v>2014</v>
      </c>
      <c r="D5017" s="2424" t="s">
        <v>10598</v>
      </c>
    </row>
    <row r="5018" spans="1:4" ht="12.75" customHeight="1">
      <c r="A5018" s="2410" t="str">
        <f t="shared" si="90"/>
        <v>Übrige Weiden</v>
      </c>
      <c r="B5018" s="2410" t="s">
        <v>2226</v>
      </c>
      <c r="C5018" s="2410" t="s">
        <v>2015</v>
      </c>
      <c r="D5018" s="2424" t="s">
        <v>10599</v>
      </c>
    </row>
    <row r="5019" spans="1:4" ht="12.75" customHeight="1">
      <c r="A5019" s="2410" t="str">
        <f t="shared" si="90"/>
        <v>Jahrliste1</v>
      </c>
      <c r="B5019" s="2410" t="s">
        <v>4367</v>
      </c>
      <c r="C5019" s="2410" t="s">
        <v>2016</v>
      </c>
      <c r="D5019" s="2424" t="s">
        <v>10600</v>
      </c>
    </row>
    <row r="5020" spans="1:4" ht="12.75" customHeight="1">
      <c r="A5020" s="2410" t="str">
        <f t="shared" si="90"/>
        <v>Jahrliste2</v>
      </c>
      <c r="B5020" s="2410" t="s">
        <v>1178</v>
      </c>
      <c r="C5020" s="2410" t="s">
        <v>2017</v>
      </c>
      <c r="D5020" s="2424" t="s">
        <v>10601</v>
      </c>
    </row>
    <row r="5021" spans="1:4" ht="12.75" customHeight="1">
      <c r="A5021" s="2410" t="str">
        <f t="shared" si="90"/>
        <v>Jährliche Veränderung der flüssigen Mittel (Werte)</v>
      </c>
      <c r="B5021" s="2410" t="s">
        <v>1179</v>
      </c>
      <c r="C5021" s="2410" t="s">
        <v>2018</v>
      </c>
      <c r="D5021" s="2424" t="s">
        <v>9948</v>
      </c>
    </row>
    <row r="5022" spans="1:4" ht="12.75" customHeight="1">
      <c r="A5022" s="2410" t="str">
        <f t="shared" si="90"/>
        <v xml:space="preserve">Werte in der gewählten Spanne </v>
      </c>
      <c r="B5022" s="2410" t="s">
        <v>1180</v>
      </c>
      <c r="C5022" s="2410" t="s">
        <v>2019</v>
      </c>
      <c r="D5022" s="2424" t="s">
        <v>10602</v>
      </c>
    </row>
    <row r="5023" spans="1:4" ht="12.75" customHeight="1">
      <c r="A5023" s="2410" t="str">
        <f t="shared" si="90"/>
        <v>Planungsjahr 1</v>
      </c>
      <c r="B5023" s="2410" t="s">
        <v>4448</v>
      </c>
      <c r="C5023" s="2410" t="s">
        <v>2020</v>
      </c>
      <c r="D5023" s="2424" t="s">
        <v>10603</v>
      </c>
    </row>
    <row r="5024" spans="1:4" ht="12.75" customHeight="1">
      <c r="A5024" s="2410" t="str">
        <f t="shared" si="90"/>
        <v>Planungsjahr 2</v>
      </c>
      <c r="B5024" s="2410" t="s">
        <v>6541</v>
      </c>
      <c r="C5024" s="2410" t="s">
        <v>2021</v>
      </c>
      <c r="D5024" s="2424" t="s">
        <v>10604</v>
      </c>
    </row>
    <row r="5025" spans="1:4" ht="12.75" customHeight="1">
      <c r="A5025" s="2410" t="str">
        <f t="shared" si="90"/>
        <v>Planungsjahr 3</v>
      </c>
      <c r="B5025" s="2410" t="s">
        <v>2225</v>
      </c>
      <c r="C5025" s="2410" t="s">
        <v>4880</v>
      </c>
      <c r="D5025" s="2424" t="s">
        <v>10605</v>
      </c>
    </row>
    <row r="5026" spans="1:4" ht="12.75" customHeight="1">
      <c r="A5026" s="2410" t="str">
        <f t="shared" si="90"/>
        <v>Planungsjahr 4</v>
      </c>
      <c r="B5026" s="2410" t="s">
        <v>2227</v>
      </c>
      <c r="C5026" s="2410" t="s">
        <v>5653</v>
      </c>
      <c r="D5026" s="2424" t="s">
        <v>10606</v>
      </c>
    </row>
    <row r="5027" spans="1:4" ht="12.75" customHeight="1">
      <c r="A5027" s="2410" t="str">
        <f t="shared" si="90"/>
        <v>Planungsjahr 5</v>
      </c>
      <c r="B5027" s="2410" t="s">
        <v>1725</v>
      </c>
      <c r="C5027" s="2410" t="s">
        <v>2650</v>
      </c>
      <c r="D5027" s="2424" t="s">
        <v>10607</v>
      </c>
    </row>
    <row r="5028" spans="1:4" ht="12.75" customHeight="1">
      <c r="A5028" s="2410" t="str">
        <f t="shared" si="90"/>
        <v>Planungsjahr 6</v>
      </c>
      <c r="B5028" s="2410" t="s">
        <v>4590</v>
      </c>
      <c r="C5028" s="2410" t="s">
        <v>2651</v>
      </c>
      <c r="D5028" s="2424" t="s">
        <v>10608</v>
      </c>
    </row>
    <row r="5029" spans="1:4" ht="12.75" customHeight="1">
      <c r="A5029" s="2410" t="str">
        <f t="shared" si="90"/>
        <v>Gewählte Jahre</v>
      </c>
      <c r="B5029" s="2410" t="s">
        <v>1953</v>
      </c>
      <c r="C5029" s="2410" t="s">
        <v>2652</v>
      </c>
      <c r="D5029" s="2424" t="s">
        <v>10609</v>
      </c>
    </row>
    <row r="5030" spans="1:4" ht="12.75" customHeight="1">
      <c r="A5030" s="2410" t="str">
        <f t="shared" si="90"/>
        <v>Mittelwert</v>
      </c>
      <c r="B5030" s="2410" t="s">
        <v>6073</v>
      </c>
      <c r="C5030" s="2410" t="s">
        <v>4390</v>
      </c>
      <c r="D5030" s="2424" t="s">
        <v>10610</v>
      </c>
    </row>
    <row r="5031" spans="1:4" ht="12.75" customHeight="1">
      <c r="A5031" s="2410" t="str">
        <f t="shared" si="90"/>
        <v>Dünger-Einheiten (SB2)</v>
      </c>
      <c r="B5031" s="2410" t="s">
        <v>6542</v>
      </c>
      <c r="C5031" s="2410" t="s">
        <v>3733</v>
      </c>
      <c r="D5031" s="2424" t="s">
        <v>10611</v>
      </c>
    </row>
    <row r="5032" spans="1:4" ht="12.75" customHeight="1">
      <c r="A5032" s="2410" t="str">
        <f t="shared" si="90"/>
        <v>dt</v>
      </c>
      <c r="B5032" s="2410" t="s">
        <v>345</v>
      </c>
      <c r="C5032" s="2410" t="s">
        <v>345</v>
      </c>
      <c r="D5032" s="2424" t="s">
        <v>8277</v>
      </c>
    </row>
    <row r="5033" spans="1:4" ht="12.75" customHeight="1">
      <c r="A5033" s="2410" t="str">
        <f t="shared" si="90"/>
        <v>Typ 0</v>
      </c>
      <c r="B5033" s="2410" t="s">
        <v>2228</v>
      </c>
      <c r="C5033" s="2410" t="s">
        <v>2228</v>
      </c>
      <c r="D5033" s="2424" t="s">
        <v>11051</v>
      </c>
    </row>
    <row r="5034" spans="1:4" ht="12.75" customHeight="1">
      <c r="A5034" s="2410" t="str">
        <f t="shared" si="90"/>
        <v>Typ 50</v>
      </c>
      <c r="B5034" s="2410" t="s">
        <v>11050</v>
      </c>
      <c r="C5034" s="2410" t="s">
        <v>11050</v>
      </c>
      <c r="D5034" s="2424" t="s">
        <v>11052</v>
      </c>
    </row>
    <row r="5035" spans="1:4" ht="12.75" customHeight="1">
      <c r="A5035" s="2410" t="str">
        <f t="shared" si="90"/>
        <v>Typ 100</v>
      </c>
      <c r="B5035" s="2410" t="s">
        <v>660</v>
      </c>
      <c r="C5035" s="2410" t="s">
        <v>660</v>
      </c>
      <c r="D5035" s="2424" t="s">
        <v>11049</v>
      </c>
    </row>
    <row r="5036" spans="1:4" ht="12.75" customHeight="1">
      <c r="A5036" s="2410" t="str">
        <f t="shared" si="90"/>
        <v>Typ 50/100</v>
      </c>
      <c r="B5036" s="2410" t="s">
        <v>4588</v>
      </c>
      <c r="C5036" s="2410" t="s">
        <v>4588</v>
      </c>
      <c r="D5036" s="2424" t="s">
        <v>11048</v>
      </c>
    </row>
    <row r="5037" spans="1:4" ht="12.75" customHeight="1">
      <c r="A5037" s="2410" t="str">
        <f t="shared" si="90"/>
        <v>Blaue Zellen</v>
      </c>
      <c r="B5037" s="2410" t="s">
        <v>11053</v>
      </c>
      <c r="C5037" s="2410" t="s">
        <v>11055</v>
      </c>
      <c r="D5037" s="2424" t="s">
        <v>11054</v>
      </c>
    </row>
    <row r="5038" spans="1:4" ht="12.75" customHeight="1">
      <c r="A5038" s="2410" t="str">
        <f>IF($A$2=1,B5038,IF($A$2=2,C5037,IF($A$2=3,IF(D5038="",C5037,D5038),"")))</f>
        <v>Blaue Zelle</v>
      </c>
      <c r="B5038" s="2410" t="s">
        <v>11057</v>
      </c>
      <c r="C5038" s="2410" t="s">
        <v>11056</v>
      </c>
      <c r="D5038" s="2424" t="s">
        <v>11058</v>
      </c>
    </row>
    <row r="5039" spans="1:4" ht="12.75" customHeight="1">
      <c r="A5039" s="2410" t="str">
        <f t="shared" si="90"/>
        <v>Vollmistsysteme 1</v>
      </c>
      <c r="B5039" s="2410" t="s">
        <v>6543</v>
      </c>
      <c r="C5039" s="2410" t="s">
        <v>3734</v>
      </c>
      <c r="D5039" s="2424" t="s">
        <v>10612</v>
      </c>
    </row>
    <row r="5040" spans="1:4" ht="12.75" customHeight="1">
      <c r="A5040" s="2410" t="str">
        <f t="shared" si="90"/>
        <v>Vollmistsysteme 2</v>
      </c>
      <c r="B5040" s="2410" t="s">
        <v>6544</v>
      </c>
      <c r="C5040" s="2410" t="s">
        <v>3735</v>
      </c>
      <c r="D5040" s="2424" t="s">
        <v>10613</v>
      </c>
    </row>
    <row r="5041" spans="1:4" ht="12.75" customHeight="1">
      <c r="A5041" s="2410" t="str">
        <f t="shared" si="90"/>
        <v>Freilandschweine</v>
      </c>
      <c r="B5041" s="2410" t="s">
        <v>3526</v>
      </c>
      <c r="C5041" s="2410" t="s">
        <v>7399</v>
      </c>
      <c r="D5041" s="2424" t="s">
        <v>10614</v>
      </c>
    </row>
    <row r="5042" spans="1:4" ht="12.75" customHeight="1">
      <c r="A5042" s="2410" t="str">
        <f t="shared" si="90"/>
        <v>Stallhaltung</v>
      </c>
      <c r="B5042" s="2410" t="s">
        <v>4710</v>
      </c>
      <c r="C5042" s="2410" t="s">
        <v>151</v>
      </c>
      <c r="D5042" s="2414" t="s">
        <v>10615</v>
      </c>
    </row>
    <row r="5043" spans="1:4" ht="12.75" customHeight="1">
      <c r="A5043" s="2410" t="str">
        <f t="shared" si="90"/>
        <v>Freilandhaltung</v>
      </c>
      <c r="B5043" s="2410" t="s">
        <v>7319</v>
      </c>
      <c r="C5043" s="2410" t="s">
        <v>152</v>
      </c>
      <c r="D5043" s="2414" t="s">
        <v>10282</v>
      </c>
    </row>
    <row r="5044" spans="1:4" ht="12.75" customHeight="1">
      <c r="A5044" s="2410" t="str">
        <f t="shared" si="90"/>
        <v>Ja/Nein</v>
      </c>
      <c r="B5044" s="2410" t="s">
        <v>446</v>
      </c>
      <c r="C5044" s="2410" t="s">
        <v>153</v>
      </c>
      <c r="D5044" s="2414" t="s">
        <v>1617</v>
      </c>
    </row>
    <row r="5045" spans="1:4" ht="12.75" customHeight="1">
      <c r="A5045" s="2410" t="str">
        <f t="shared" si="90"/>
        <v>Ja</v>
      </c>
      <c r="B5045" s="2410" t="s">
        <v>447</v>
      </c>
      <c r="C5045" s="2410" t="s">
        <v>154</v>
      </c>
      <c r="D5045" s="2414" t="s">
        <v>1741</v>
      </c>
    </row>
    <row r="5046" spans="1:4" ht="12.75" customHeight="1">
      <c r="A5046" s="2410" t="str">
        <f t="shared" si="90"/>
        <v>Nein</v>
      </c>
      <c r="B5046" s="2410" t="s">
        <v>448</v>
      </c>
      <c r="C5046" s="2410" t="s">
        <v>155</v>
      </c>
      <c r="D5046" s="2414" t="s">
        <v>1744</v>
      </c>
    </row>
    <row r="5047" spans="1:4" ht="12.75" customHeight="1">
      <c r="A5047" s="2410" t="str">
        <f t="shared" si="90"/>
        <v>Anzahl Teilflächen (Bsi-Kultur)</v>
      </c>
      <c r="B5047" s="2410" t="s">
        <v>452</v>
      </c>
      <c r="C5047" s="2410" t="s">
        <v>156</v>
      </c>
      <c r="D5047" s="2424" t="s">
        <v>11307</v>
      </c>
    </row>
    <row r="5048" spans="1:4" ht="12.75" customHeight="1">
      <c r="A5048" s="2410" t="str">
        <f t="shared" si="90"/>
        <v xml:space="preserve">1 Teilfläche  </v>
      </c>
      <c r="B5048" s="2410" t="s">
        <v>453</v>
      </c>
      <c r="C5048" s="2410" t="s">
        <v>415</v>
      </c>
      <c r="D5048" s="2424" t="s">
        <v>10616</v>
      </c>
    </row>
    <row r="5049" spans="1:4" ht="12.75" customHeight="1">
      <c r="A5049" s="2410" t="str">
        <f t="shared" si="90"/>
        <v>2 Teilflächen</v>
      </c>
      <c r="B5049" s="2410" t="s">
        <v>625</v>
      </c>
      <c r="C5049" s="2410" t="s">
        <v>7254</v>
      </c>
      <c r="D5049" s="2424" t="s">
        <v>10617</v>
      </c>
    </row>
    <row r="5050" spans="1:4" ht="12.75" customHeight="1">
      <c r="A5050" s="2410" t="str">
        <f t="shared" si="90"/>
        <v>3 Teilflächen</v>
      </c>
      <c r="B5050" s="2410" t="s">
        <v>5657</v>
      </c>
      <c r="C5050" s="2410" t="s">
        <v>7255</v>
      </c>
      <c r="D5050" s="2424" t="s">
        <v>10618</v>
      </c>
    </row>
    <row r="5051" spans="1:4" ht="12.75" customHeight="1">
      <c r="A5051" s="2410" t="str">
        <f t="shared" si="90"/>
        <v>4 Teilflächen</v>
      </c>
      <c r="B5051" s="2410" t="s">
        <v>5658</v>
      </c>
      <c r="C5051" s="2410" t="s">
        <v>3570</v>
      </c>
      <c r="D5051" s="2424" t="s">
        <v>10619</v>
      </c>
    </row>
    <row r="5052" spans="1:4" ht="12.75" customHeight="1">
      <c r="A5052" s="2410" t="str">
        <f t="shared" ref="A5052:A5116" si="91">IF($A$2=1,B5052,IF($A$2=2,C5052,IF($A$2=3,IF(D5052="",C5052,D5052),"")))</f>
        <v>5 Teilflächen</v>
      </c>
      <c r="B5052" s="2410" t="s">
        <v>5628</v>
      </c>
      <c r="C5052" s="2410" t="s">
        <v>4617</v>
      </c>
      <c r="D5052" s="2424" t="s">
        <v>10620</v>
      </c>
    </row>
    <row r="5053" spans="1:4" ht="12.75" customHeight="1">
      <c r="A5053" s="2410" t="str">
        <f t="shared" si="91"/>
        <v>6 Teilflächen</v>
      </c>
      <c r="B5053" s="2410" t="s">
        <v>1758</v>
      </c>
      <c r="C5053" s="2410" t="s">
        <v>4618</v>
      </c>
      <c r="D5053" s="2424" t="s">
        <v>10621</v>
      </c>
    </row>
    <row r="5054" spans="1:4" ht="12.75" customHeight="1">
      <c r="A5054" s="2410" t="str">
        <f t="shared" si="91"/>
        <v>7 Teilflächen</v>
      </c>
      <c r="B5054" s="2410" t="s">
        <v>2666</v>
      </c>
      <c r="C5054" s="2410" t="s">
        <v>4619</v>
      </c>
      <c r="D5054" s="2424" t="s">
        <v>10622</v>
      </c>
    </row>
    <row r="5055" spans="1:4" ht="12.75" customHeight="1">
      <c r="A5055" s="2410" t="str">
        <f t="shared" si="91"/>
        <v>8 Teilflächen</v>
      </c>
      <c r="B5055" s="2410" t="s">
        <v>2667</v>
      </c>
      <c r="C5055" s="2410" t="s">
        <v>1760</v>
      </c>
      <c r="D5055" s="2424" t="s">
        <v>10623</v>
      </c>
    </row>
    <row r="5056" spans="1:4" ht="12.75" customHeight="1">
      <c r="A5056" s="2410" t="str">
        <f t="shared" si="91"/>
        <v>9 Teilflächen</v>
      </c>
      <c r="B5056" s="2410" t="s">
        <v>2668</v>
      </c>
      <c r="C5056" s="2410" t="s">
        <v>1761</v>
      </c>
      <c r="D5056" s="2424" t="s">
        <v>10624</v>
      </c>
    </row>
    <row r="5057" spans="1:4" ht="12.75" customHeight="1">
      <c r="A5057" s="2410" t="str">
        <f t="shared" si="91"/>
        <v>Parzellengrösse Ackerbau</v>
      </c>
      <c r="B5057" s="2410" t="s">
        <v>450</v>
      </c>
      <c r="C5057" s="2410" t="s">
        <v>2902</v>
      </c>
      <c r="D5057" s="2424" t="s">
        <v>10625</v>
      </c>
    </row>
    <row r="5058" spans="1:4" ht="12.75" customHeight="1">
      <c r="A5058" s="2410" t="str">
        <f t="shared" si="91"/>
        <v>Parzellengrösse Futterbau</v>
      </c>
      <c r="B5058" s="2410" t="s">
        <v>451</v>
      </c>
      <c r="C5058" s="2410" t="s">
        <v>1487</v>
      </c>
      <c r="D5058" s="2424" t="s">
        <v>10626</v>
      </c>
    </row>
    <row r="5059" spans="1:4" ht="12.75" customHeight="1">
      <c r="A5059" s="2410" t="str">
        <f t="shared" si="91"/>
        <v>Gemeinschaft</v>
      </c>
      <c r="B5059" s="2410" t="s">
        <v>607</v>
      </c>
      <c r="C5059" s="2410" t="s">
        <v>3388</v>
      </c>
      <c r="D5059" s="2424" t="s">
        <v>5795</v>
      </c>
    </row>
    <row r="5060" spans="1:4" ht="12.75" customHeight="1">
      <c r="A5060" s="2410" t="str">
        <f t="shared" si="91"/>
        <v>keine</v>
      </c>
      <c r="B5060" s="2410" t="s">
        <v>7267</v>
      </c>
      <c r="C5060" s="2410" t="s">
        <v>1485</v>
      </c>
      <c r="D5060" s="2414" t="s">
        <v>3997</v>
      </c>
    </row>
    <row r="5061" spans="1:4" ht="12.75" customHeight="1">
      <c r="A5061" s="2410" t="str">
        <f t="shared" si="91"/>
        <v>Gemeinschaft / ein Betrieb</v>
      </c>
      <c r="B5061" s="2410" t="s">
        <v>3468</v>
      </c>
      <c r="C5061" s="2410" t="s">
        <v>1488</v>
      </c>
      <c r="D5061" s="2414" t="s">
        <v>11204</v>
      </c>
    </row>
    <row r="5062" spans="1:4" ht="12.75" customHeight="1">
      <c r="A5062" s="2410" t="str">
        <f t="shared" si="91"/>
        <v>mit 2 Betrieben</v>
      </c>
      <c r="B5062" s="2410" t="s">
        <v>6196</v>
      </c>
      <c r="C5062" s="2410" t="s">
        <v>1486</v>
      </c>
      <c r="D5062" s="2414" t="s">
        <v>11308</v>
      </c>
    </row>
    <row r="5063" spans="1:4" ht="12.75" customHeight="1">
      <c r="A5063" s="2410" t="str">
        <f t="shared" si="91"/>
        <v>mit 3 Betrieben</v>
      </c>
      <c r="B5063" s="2410" t="s">
        <v>2698</v>
      </c>
      <c r="C5063" s="2410" t="s">
        <v>2886</v>
      </c>
      <c r="D5063" s="2414" t="s">
        <v>11309</v>
      </c>
    </row>
    <row r="5064" spans="1:4" ht="12.75" customHeight="1">
      <c r="A5064" s="2410" t="str">
        <f t="shared" si="91"/>
        <v>mit 4 Betrieben</v>
      </c>
      <c r="B5064" s="2410" t="s">
        <v>2699</v>
      </c>
      <c r="C5064" s="2410" t="s">
        <v>4640</v>
      </c>
      <c r="D5064" s="2414" t="s">
        <v>11310</v>
      </c>
    </row>
    <row r="5065" spans="1:4" ht="12.75" customHeight="1">
      <c r="A5065" s="2410" t="str">
        <f t="shared" si="91"/>
        <v>AS/LS</v>
      </c>
      <c r="B5065" s="2410" t="s">
        <v>1766</v>
      </c>
      <c r="C5065" s="2410" t="s">
        <v>1762</v>
      </c>
      <c r="D5065" s="2424" t="s">
        <v>10627</v>
      </c>
    </row>
    <row r="5066" spans="1:4" ht="12.75" customHeight="1">
      <c r="A5066" s="2410" t="str">
        <f t="shared" si="91"/>
        <v>AS</v>
      </c>
      <c r="B5066" s="2410" t="s">
        <v>319</v>
      </c>
      <c r="C5066" s="2410" t="s">
        <v>5530</v>
      </c>
      <c r="D5066" s="2414" t="s">
        <v>10628</v>
      </c>
    </row>
    <row r="5067" spans="1:4" ht="12.75" customHeight="1">
      <c r="A5067" s="2410" t="str">
        <f t="shared" si="91"/>
        <v>LS</v>
      </c>
      <c r="B5067" s="2410" t="s">
        <v>2077</v>
      </c>
      <c r="C5067" s="2410" t="s">
        <v>2627</v>
      </c>
      <c r="D5067" s="2414" t="s">
        <v>10629</v>
      </c>
    </row>
    <row r="5068" spans="1:4" ht="12.75" customHeight="1">
      <c r="A5068" s="2410" t="str">
        <f t="shared" si="91"/>
        <v>behornt/unbehornt</v>
      </c>
      <c r="B5068" s="2410" t="s">
        <v>2078</v>
      </c>
      <c r="C5068" s="2410" t="s">
        <v>2628</v>
      </c>
      <c r="D5068" s="2424" t="s">
        <v>10630</v>
      </c>
    </row>
    <row r="5069" spans="1:4" ht="12.75" customHeight="1">
      <c r="A5069" s="2410" t="str">
        <f t="shared" si="91"/>
        <v>behornt</v>
      </c>
      <c r="B5069" s="2410" t="s">
        <v>2079</v>
      </c>
      <c r="C5069" s="2410" t="s">
        <v>2629</v>
      </c>
      <c r="D5069" s="2414" t="s">
        <v>7340</v>
      </c>
    </row>
    <row r="5070" spans="1:4" ht="12.75" customHeight="1">
      <c r="A5070" s="2410" t="str">
        <f t="shared" si="91"/>
        <v>unbehornt</v>
      </c>
      <c r="B5070" s="2410" t="s">
        <v>2080</v>
      </c>
      <c r="C5070" s="2410" t="s">
        <v>3432</v>
      </c>
      <c r="D5070" s="2414" t="s">
        <v>7341</v>
      </c>
    </row>
    <row r="5071" spans="1:4" ht="12.75" customHeight="1">
      <c r="A5071" s="2410" t="str">
        <f t="shared" si="91"/>
        <v>Standard-Arbeitskräfte</v>
      </c>
      <c r="B5071" s="2410" t="s">
        <v>2081</v>
      </c>
      <c r="C5071" s="2410" t="s">
        <v>4909</v>
      </c>
      <c r="D5071" s="2424" t="s">
        <v>10631</v>
      </c>
    </row>
    <row r="5072" spans="1:4" ht="12.75" customHeight="1">
      <c r="A5072" s="2410" t="str">
        <f t="shared" si="91"/>
        <v>SAK pro Enheit</v>
      </c>
      <c r="B5072" s="2410" t="s">
        <v>6484</v>
      </c>
      <c r="C5072" s="2410" t="s">
        <v>3368</v>
      </c>
      <c r="D5072" s="2424" t="s">
        <v>10632</v>
      </c>
    </row>
    <row r="5073" spans="1:4" ht="12.75" customHeight="1">
      <c r="A5073" s="2410" t="str">
        <f t="shared" si="91"/>
        <v>Landw. Nutzfläche ohne Spezialkulturen</v>
      </c>
      <c r="B5073" s="2410" t="s">
        <v>5521</v>
      </c>
      <c r="C5073" s="2410" t="s">
        <v>1378</v>
      </c>
      <c r="D5073" s="2424" t="s">
        <v>2656</v>
      </c>
    </row>
    <row r="5074" spans="1:4" ht="12.75" customHeight="1">
      <c r="A5074" s="2410" t="str">
        <f t="shared" si="91"/>
        <v>Spezialkulturen ohne Rebflächen in Steillagen</v>
      </c>
      <c r="B5074" s="2410" t="s">
        <v>4858</v>
      </c>
      <c r="C5074" s="2410" t="s">
        <v>4205</v>
      </c>
      <c r="D5074" s="2424" t="s">
        <v>10633</v>
      </c>
    </row>
    <row r="5075" spans="1:4" ht="12.75" customHeight="1">
      <c r="A5075" s="2410" t="str">
        <f t="shared" si="91"/>
        <v>Rebflächen in Steil- und Terrassenlagen</v>
      </c>
      <c r="B5075" s="2410" t="s">
        <v>5956</v>
      </c>
      <c r="C5075" s="2410" t="s">
        <v>4206</v>
      </c>
      <c r="D5075" s="2424" t="s">
        <v>9670</v>
      </c>
    </row>
    <row r="5076" spans="1:4" ht="12.75" customHeight="1">
      <c r="A5076" s="2410" t="str">
        <f t="shared" si="91"/>
        <v>Hanglagen im Berggebiet und in der Hügelzone</v>
      </c>
      <c r="B5076" s="2410" t="s">
        <v>1200</v>
      </c>
      <c r="C5076" s="2410" t="s">
        <v>4207</v>
      </c>
      <c r="D5076" s="2424" t="s">
        <v>10634</v>
      </c>
    </row>
    <row r="5077" spans="1:4" ht="12.75" customHeight="1">
      <c r="A5077" s="2410" t="str">
        <f t="shared" si="91"/>
        <v>Steillagen im Berggebiet und in der Hügelzone</v>
      </c>
      <c r="B5077" s="2410" t="s">
        <v>6164</v>
      </c>
      <c r="C5077" s="2410" t="s">
        <v>4208</v>
      </c>
      <c r="D5077" s="2424" t="s">
        <v>10635</v>
      </c>
    </row>
    <row r="5078" spans="1:4" ht="12.75" customHeight="1">
      <c r="A5078" s="2410" t="str">
        <f t="shared" si="91"/>
        <v>Hochstamm-Feldobstbäume</v>
      </c>
      <c r="B5078" s="2410" t="s">
        <v>4514</v>
      </c>
      <c r="C5078" s="2410" t="s">
        <v>721</v>
      </c>
      <c r="D5078" s="2424" t="s">
        <v>8435</v>
      </c>
    </row>
    <row r="5079" spans="1:4" ht="12.75" customHeight="1">
      <c r="A5079" s="2410" t="str">
        <f t="shared" si="91"/>
        <v>Milchkühe, Milchschafe, Milchziegen</v>
      </c>
      <c r="B5079" s="2410" t="s">
        <v>4641</v>
      </c>
      <c r="C5079" s="2410" t="s">
        <v>3558</v>
      </c>
      <c r="D5079" s="2424" t="s">
        <v>10636</v>
      </c>
    </row>
    <row r="5080" spans="1:4" ht="12.75" customHeight="1">
      <c r="A5080" s="2410" t="str">
        <f t="shared" si="91"/>
        <v>Mastschweine, Remonten und abges. Ferkel</v>
      </c>
      <c r="B5080" s="2410" t="s">
        <v>2120</v>
      </c>
      <c r="C5080" s="2410" t="s">
        <v>2805</v>
      </c>
      <c r="D5080" s="2424" t="s">
        <v>11311</v>
      </c>
    </row>
    <row r="5081" spans="1:4" ht="12.75" customHeight="1">
      <c r="A5081" s="2410" t="str">
        <f t="shared" si="91"/>
        <v>Zuchtschweine</v>
      </c>
      <c r="B5081" s="2410" t="s">
        <v>6035</v>
      </c>
      <c r="C5081" s="2410" t="s">
        <v>3559</v>
      </c>
      <c r="D5081" s="2424" t="s">
        <v>9672</v>
      </c>
    </row>
    <row r="5082" spans="1:4" ht="12.75" customHeight="1">
      <c r="A5082" s="2410" t="str">
        <f t="shared" si="91"/>
        <v>Andere Nutztiere</v>
      </c>
      <c r="B5082" s="2410" t="s">
        <v>675</v>
      </c>
      <c r="C5082" s="2410" t="s">
        <v>3560</v>
      </c>
      <c r="D5082" s="2424" t="s">
        <v>9673</v>
      </c>
    </row>
    <row r="5083" spans="1:4" ht="12.75" customHeight="1">
      <c r="A5083" s="2410" t="str">
        <f t="shared" si="91"/>
        <v>Kartoffeln</v>
      </c>
      <c r="B5083" s="2410" t="s">
        <v>5700</v>
      </c>
      <c r="C5083" s="2410" t="s">
        <v>4856</v>
      </c>
      <c r="D5083" s="2424" t="s">
        <v>8667</v>
      </c>
    </row>
    <row r="5084" spans="1:4" ht="12.75" customHeight="1">
      <c r="A5084" s="2410" t="str">
        <f t="shared" si="91"/>
        <v>Beeren, Heil- u. Gewürzpflanzen</v>
      </c>
      <c r="B5084" s="2410" t="s">
        <v>6822</v>
      </c>
      <c r="C5084" s="2410" t="s">
        <v>6731</v>
      </c>
      <c r="D5084" s="2424" t="s">
        <v>10638</v>
      </c>
    </row>
    <row r="5085" spans="1:4" ht="12.75" customHeight="1">
      <c r="A5085" s="2410" t="str">
        <f t="shared" si="91"/>
        <v>Christbaumkulturen</v>
      </c>
      <c r="B5085" s="2410" t="s">
        <v>6823</v>
      </c>
      <c r="C5085" s="2410" t="s">
        <v>6704</v>
      </c>
      <c r="D5085" s="2414" t="s">
        <v>8526</v>
      </c>
    </row>
    <row r="5086" spans="1:4" ht="12.75" customHeight="1">
      <c r="A5086" s="2410" t="str">
        <f t="shared" si="91"/>
        <v>Rebbau m. eigener Kelterei</v>
      </c>
      <c r="B5086" s="2410" t="s">
        <v>6824</v>
      </c>
      <c r="C5086" s="2410" t="s">
        <v>6705</v>
      </c>
      <c r="D5086" s="2424" t="s">
        <v>1813</v>
      </c>
    </row>
    <row r="5087" spans="1:4" ht="12.75" customHeight="1">
      <c r="A5087" s="2410" t="str">
        <f t="shared" si="91"/>
        <v>Gewächshaus mit festem Fundament</v>
      </c>
      <c r="B5087" s="2410" t="s">
        <v>6825</v>
      </c>
      <c r="C5087" s="2410" t="s">
        <v>1489</v>
      </c>
      <c r="D5087" s="2424" t="s">
        <v>924</v>
      </c>
    </row>
    <row r="5088" spans="1:4" ht="12.75" customHeight="1">
      <c r="A5088" s="2410" t="str">
        <f t="shared" si="91"/>
        <v>Hochtunnel, Treibbeet</v>
      </c>
      <c r="B5088" s="2410" t="s">
        <v>6826</v>
      </c>
      <c r="C5088" s="2410" t="s">
        <v>6021</v>
      </c>
      <c r="D5088" s="2424" t="s">
        <v>10639</v>
      </c>
    </row>
    <row r="5089" spans="1:4" ht="12.75" customHeight="1">
      <c r="A5089" s="2410" t="str">
        <f t="shared" si="91"/>
        <v>Pilzproduktion</v>
      </c>
      <c r="B5089" s="2410" t="s">
        <v>7071</v>
      </c>
      <c r="C5089" s="2410" t="s">
        <v>2239</v>
      </c>
      <c r="D5089" s="2414" t="s">
        <v>10640</v>
      </c>
    </row>
    <row r="5090" spans="1:4" ht="12.75" customHeight="1">
      <c r="A5090" s="2410" t="str">
        <f t="shared" si="91"/>
        <v>Champignonproduktion</v>
      </c>
      <c r="B5090" s="2410" t="s">
        <v>7072</v>
      </c>
      <c r="C5090" s="2410" t="s">
        <v>2239</v>
      </c>
      <c r="D5090" s="2414" t="s">
        <v>10641</v>
      </c>
    </row>
    <row r="5091" spans="1:4" ht="12.75" customHeight="1">
      <c r="A5091" s="2410" t="str">
        <f t="shared" si="91"/>
        <v>Brüsselerproduktion</v>
      </c>
      <c r="B5091" s="2410" t="s">
        <v>7073</v>
      </c>
      <c r="C5091" s="2410" t="s">
        <v>2240</v>
      </c>
      <c r="D5091" s="2414" t="s">
        <v>10642</v>
      </c>
    </row>
    <row r="5092" spans="1:4" ht="12.75" customHeight="1">
      <c r="A5092" s="2410" t="str">
        <f t="shared" si="91"/>
        <v>Sprossenproduktion</v>
      </c>
      <c r="B5092" s="2410" t="s">
        <v>2242</v>
      </c>
      <c r="C5092" s="2410" t="s">
        <v>2241</v>
      </c>
      <c r="D5092" s="2414" t="s">
        <v>10643</v>
      </c>
    </row>
    <row r="5093" spans="1:4" ht="12.75" customHeight="1">
      <c r="A5093" s="2410" t="str">
        <f t="shared" si="91"/>
        <v>Produzierender Gartenbau</v>
      </c>
      <c r="B5093" s="2410" t="s">
        <v>7074</v>
      </c>
      <c r="C5093" s="2410" t="s">
        <v>7075</v>
      </c>
      <c r="D5093" s="2414" t="s">
        <v>10644</v>
      </c>
    </row>
    <row r="5094" spans="1:4" ht="12.75" customHeight="1">
      <c r="A5094" s="2410" t="str">
        <f t="shared" si="91"/>
        <v>Selbstprodroduzierte landwirtschaftliche Erzeugnisse</v>
      </c>
      <c r="B5094" s="2410" t="s">
        <v>7070</v>
      </c>
      <c r="C5094" s="2410" t="s">
        <v>1623</v>
      </c>
      <c r="D5094" s="2414" t="s">
        <v>10645</v>
      </c>
    </row>
    <row r="5095" spans="1:4" ht="12.75" customHeight="1">
      <c r="A5095" s="2410" t="str">
        <f t="shared" si="91"/>
        <v>Landwirtschaftsnahe Tätigkeiten</v>
      </c>
      <c r="B5095" s="2410" t="s">
        <v>7068</v>
      </c>
      <c r="C5095" s="2410" t="s">
        <v>7069</v>
      </c>
      <c r="D5095" s="2414" t="s">
        <v>10646</v>
      </c>
    </row>
    <row r="5096" spans="1:4" ht="12.75" customHeight="1">
      <c r="A5096" s="2410" t="str">
        <f t="shared" si="91"/>
        <v>Betriebseigener Wald</v>
      </c>
      <c r="B5096" s="2410" t="s">
        <v>2612</v>
      </c>
      <c r="C5096" s="2410" t="s">
        <v>6029</v>
      </c>
      <c r="D5096" s="2424" t="s">
        <v>7087</v>
      </c>
    </row>
    <row r="5097" spans="1:4" ht="12.75" customHeight="1">
      <c r="A5097" s="2410" t="str">
        <f t="shared" si="91"/>
        <v>Milchkühe auf Sömmerungsbetrieb</v>
      </c>
      <c r="B5097" s="2410" t="s">
        <v>2309</v>
      </c>
      <c r="C5097" s="2410" t="s">
        <v>4837</v>
      </c>
      <c r="D5097" s="2424" t="s">
        <v>9680</v>
      </c>
    </row>
    <row r="5098" spans="1:4" ht="12.75" customHeight="1">
      <c r="A5098" s="2410" t="str">
        <f t="shared" si="91"/>
        <v>Nutztiere auf Sömmerungsbetrieb</v>
      </c>
      <c r="B5098" s="2410" t="s">
        <v>2310</v>
      </c>
      <c r="C5098" s="2410" t="s">
        <v>4838</v>
      </c>
      <c r="D5098" s="2424" t="s">
        <v>9681</v>
      </c>
    </row>
    <row r="5099" spans="1:4" ht="12.75" customHeight="1">
      <c r="A5099" s="2410" t="str">
        <f t="shared" si="91"/>
        <v>Bio%</v>
      </c>
      <c r="B5099" s="2410" t="s">
        <v>7221</v>
      </c>
      <c r="C5099" s="2410" t="s">
        <v>7221</v>
      </c>
      <c r="D5099" s="2414" t="s">
        <v>7221</v>
      </c>
    </row>
    <row r="5100" spans="1:4" ht="12.75" customHeight="1">
      <c r="A5100" s="2410" t="str">
        <f t="shared" si="91"/>
        <v>Unterkategorien für Suisse-Bilanz</v>
      </c>
      <c r="B5100" s="2410" t="s">
        <v>1673</v>
      </c>
      <c r="C5100" s="2410" t="s">
        <v>921</v>
      </c>
      <c r="D5100" s="2424" t="s">
        <v>10647</v>
      </c>
    </row>
    <row r="5101" spans="1:4" ht="12.75" customHeight="1">
      <c r="A5101" s="2410" t="str">
        <f t="shared" si="91"/>
        <v>Mutterkühe</v>
      </c>
      <c r="B5101" s="2410" t="s">
        <v>5441</v>
      </c>
      <c r="C5101" s="2410" t="s">
        <v>5904</v>
      </c>
      <c r="D5101" s="2414" t="s">
        <v>8996</v>
      </c>
    </row>
    <row r="5102" spans="1:4" ht="12.75" customHeight="1">
      <c r="A5102" s="2410" t="str">
        <f t="shared" si="91"/>
        <v>M'kühe &gt; 700kg</v>
      </c>
      <c r="B5102" s="2410" t="s">
        <v>4614</v>
      </c>
      <c r="C5102" s="2410" t="s">
        <v>4615</v>
      </c>
      <c r="D5102" s="2414" t="s">
        <v>2436</v>
      </c>
    </row>
    <row r="5103" spans="1:4" ht="12.75" customHeight="1">
      <c r="A5103" s="2410" t="str">
        <f t="shared" si="91"/>
        <v>M'kühe 600-700kg</v>
      </c>
      <c r="B5103" s="2410" t="s">
        <v>1735</v>
      </c>
      <c r="C5103" s="2410" t="s">
        <v>1736</v>
      </c>
      <c r="D5103" s="2414" t="s">
        <v>2437</v>
      </c>
    </row>
    <row r="5104" spans="1:4" ht="12.75" customHeight="1">
      <c r="A5104" s="2410" t="str">
        <f t="shared" si="91"/>
        <v>M'kühe &lt; 600kg</v>
      </c>
      <c r="B5104" s="2410" t="s">
        <v>1733</v>
      </c>
      <c r="C5104" s="2410" t="s">
        <v>1734</v>
      </c>
      <c r="D5104" s="2414" t="s">
        <v>2438</v>
      </c>
    </row>
    <row r="5105" spans="1:4" ht="12.75" customHeight="1">
      <c r="A5105" s="2410" t="str">
        <f t="shared" si="91"/>
        <v>Ammenkühe</v>
      </c>
      <c r="B5105" s="2410" t="s">
        <v>7298</v>
      </c>
      <c r="C5105" s="2410" t="s">
        <v>922</v>
      </c>
      <c r="D5105" s="2414" t="s">
        <v>10648</v>
      </c>
    </row>
    <row r="5106" spans="1:4" ht="12.75" customHeight="1">
      <c r="A5106" s="2410" t="str">
        <f t="shared" si="91"/>
        <v>Mutterkuhkälber</v>
      </c>
      <c r="B5106" s="2410" t="s">
        <v>5252</v>
      </c>
      <c r="C5106" s="2410" t="s">
        <v>1347</v>
      </c>
      <c r="D5106" s="2414" t="s">
        <v>10649</v>
      </c>
    </row>
    <row r="5107" spans="1:4" ht="12.75" customHeight="1">
      <c r="A5107" s="2410" t="str">
        <f t="shared" si="91"/>
        <v>bis 200 kg SG</v>
      </c>
      <c r="B5107" s="2410" t="s">
        <v>7710</v>
      </c>
      <c r="C5107" s="2410" t="s">
        <v>8312</v>
      </c>
      <c r="D5107" s="2414" t="s">
        <v>8313</v>
      </c>
    </row>
    <row r="5108" spans="1:4" ht="12.75" customHeight="1">
      <c r="A5108" s="2410" t="str">
        <f t="shared" si="91"/>
        <v>200-250 kg SG</v>
      </c>
      <c r="B5108" s="2410" t="s">
        <v>7831</v>
      </c>
      <c r="C5108" s="2410" t="s">
        <v>8314</v>
      </c>
      <c r="D5108" s="2414" t="s">
        <v>8314</v>
      </c>
    </row>
    <row r="5109" spans="1:4" ht="12.75" customHeight="1">
      <c r="A5109" s="2410" t="str">
        <f t="shared" si="91"/>
        <v>über 250 kg SG</v>
      </c>
      <c r="B5109" s="2410" t="s">
        <v>7711</v>
      </c>
      <c r="C5109" s="2410" t="s">
        <v>8315</v>
      </c>
      <c r="D5109" s="2414" t="s">
        <v>8315</v>
      </c>
    </row>
    <row r="5110" spans="1:4" ht="12.75" customHeight="1">
      <c r="A5110" s="2410" t="str">
        <f t="shared" si="91"/>
        <v>Stuten</v>
      </c>
      <c r="B5110" s="2410" t="s">
        <v>3210</v>
      </c>
      <c r="C5110" s="2410" t="s">
        <v>3837</v>
      </c>
      <c r="D5110" s="2414" t="s">
        <v>10650</v>
      </c>
    </row>
    <row r="5111" spans="1:4" ht="12.75" customHeight="1">
      <c r="A5111" s="2410" t="str">
        <f t="shared" si="91"/>
        <v>normal</v>
      </c>
      <c r="B5111" s="2410" t="s">
        <v>3211</v>
      </c>
      <c r="C5111" s="2410" t="s">
        <v>3211</v>
      </c>
      <c r="D5111" s="2414" t="s">
        <v>5768</v>
      </c>
    </row>
    <row r="5112" spans="1:4" ht="12.75" customHeight="1">
      <c r="A5112" s="2410" t="str">
        <f t="shared" si="91"/>
        <v>nur Hafer als KF</v>
      </c>
      <c r="B5112" s="2410" t="s">
        <v>6821</v>
      </c>
      <c r="C5112" s="2410" t="s">
        <v>3838</v>
      </c>
      <c r="D5112" s="2414" t="s">
        <v>10651</v>
      </c>
    </row>
    <row r="5113" spans="1:4" ht="12.75" customHeight="1">
      <c r="A5113" s="2410" t="str">
        <f t="shared" si="91"/>
        <v>Lege- und Zuchthennen</v>
      </c>
      <c r="B5113" s="2410" t="s">
        <v>5536</v>
      </c>
      <c r="C5113" s="2410" t="s">
        <v>3958</v>
      </c>
      <c r="D5113" s="2414" t="s">
        <v>9026</v>
      </c>
    </row>
    <row r="5114" spans="1:4" ht="12.75" customHeight="1">
      <c r="A5114" s="2410" t="str">
        <f t="shared" si="91"/>
        <v>Kotband</v>
      </c>
      <c r="B5114" s="2410" t="s">
        <v>7421</v>
      </c>
      <c r="C5114" s="2410" t="s">
        <v>2224</v>
      </c>
      <c r="D5114" s="2414" t="s">
        <v>10652</v>
      </c>
    </row>
    <row r="5115" spans="1:4" ht="12.75" customHeight="1">
      <c r="A5115" s="2410" t="str">
        <f t="shared" si="91"/>
        <v>Bodenhaltung, Kotgrube</v>
      </c>
      <c r="B5115" s="2410" t="s">
        <v>7420</v>
      </c>
      <c r="C5115" s="2410" t="s">
        <v>7097</v>
      </c>
      <c r="D5115" s="2414" t="s">
        <v>10653</v>
      </c>
    </row>
    <row r="5116" spans="1:4" ht="12.75" customHeight="1">
      <c r="A5116" s="2410" t="str">
        <f t="shared" si="91"/>
        <v>Schafe</v>
      </c>
      <c r="B5116" s="2410" t="s">
        <v>4857</v>
      </c>
      <c r="C5116" s="2410" t="s">
        <v>3839</v>
      </c>
      <c r="D5116" s="2414" t="s">
        <v>10654</v>
      </c>
    </row>
    <row r="5117" spans="1:4" ht="12.75" customHeight="1">
      <c r="A5117" s="2410" t="str">
        <f t="shared" ref="A5117:A5186" si="92">IF($A$2=1,B5117,IF($A$2=2,C5117,IF($A$2=3,IF(D5117="",C5117,D5117),"")))</f>
        <v>intensiv</v>
      </c>
      <c r="B5117" s="2410" t="s">
        <v>4660</v>
      </c>
      <c r="C5117" s="2410" t="s">
        <v>5951</v>
      </c>
      <c r="D5117" s="2414" t="s">
        <v>6356</v>
      </c>
    </row>
    <row r="5118" spans="1:4" ht="12.75" customHeight="1">
      <c r="A5118" s="2410" t="str">
        <f t="shared" si="92"/>
        <v>extensiv</v>
      </c>
      <c r="B5118" s="2410" t="s">
        <v>4266</v>
      </c>
      <c r="C5118" s="2410" t="s">
        <v>2682</v>
      </c>
      <c r="D5118" s="2414" t="s">
        <v>6353</v>
      </c>
    </row>
    <row r="5119" spans="1:4" ht="12.75" customHeight="1">
      <c r="A5119" s="2410" t="str">
        <f t="shared" si="92"/>
        <v>Rindviehmast</v>
      </c>
      <c r="B5119" s="2410" t="s">
        <v>4242</v>
      </c>
      <c r="C5119" s="2410" t="s">
        <v>3840</v>
      </c>
      <c r="D5119" s="2414" t="s">
        <v>8854</v>
      </c>
    </row>
    <row r="5120" spans="1:4" ht="12.75" customHeight="1">
      <c r="A5120" s="2410" t="str">
        <f t="shared" si="92"/>
        <v>Intensivmast</v>
      </c>
      <c r="B5120" s="2410" t="s">
        <v>4243</v>
      </c>
      <c r="C5120" s="2410" t="s">
        <v>3841</v>
      </c>
      <c r="D5120" s="2414" t="s">
        <v>5769</v>
      </c>
    </row>
    <row r="5121" spans="1:4" ht="12.75" customHeight="1">
      <c r="A5121" s="2410" t="str">
        <f t="shared" si="92"/>
        <v>Weidemast</v>
      </c>
      <c r="B5121" s="2410" t="s">
        <v>2238</v>
      </c>
      <c r="C5121" s="2410" t="s">
        <v>3842</v>
      </c>
      <c r="D5121" s="2414" t="s">
        <v>3738</v>
      </c>
    </row>
    <row r="5122" spans="1:4" ht="12.75" customHeight="1">
      <c r="A5122" s="2410" t="str">
        <f t="shared" si="92"/>
        <v>Tiere der Rindergattung und Wasserbüffel</v>
      </c>
      <c r="B5122" s="2410" t="s">
        <v>218</v>
      </c>
      <c r="C5122" s="2410" t="s">
        <v>713</v>
      </c>
      <c r="D5122" s="2414" t="s">
        <v>3739</v>
      </c>
    </row>
    <row r="5123" spans="1:4" ht="12.75" customHeight="1">
      <c r="A5123" s="2410" t="str">
        <f t="shared" si="92"/>
        <v>Einheit</v>
      </c>
      <c r="B5123" s="2410" t="s">
        <v>6392</v>
      </c>
      <c r="C5123" s="2410" t="s">
        <v>6215</v>
      </c>
      <c r="D5123" s="2414" t="s">
        <v>1418</v>
      </c>
    </row>
    <row r="5124" spans="1:4" ht="12.75" customHeight="1">
      <c r="A5124" s="2410" t="str">
        <f t="shared" si="92"/>
        <v>GVE-Faktoren</v>
      </c>
      <c r="B5124" s="2410" t="s">
        <v>3527</v>
      </c>
      <c r="C5124" s="2410" t="s">
        <v>3843</v>
      </c>
      <c r="D5124" s="2414" t="s">
        <v>10655</v>
      </c>
    </row>
    <row r="5125" spans="1:4" ht="12.75" customHeight="1">
      <c r="A5125" s="2410" t="str">
        <f t="shared" si="92"/>
        <v>bis 2008</v>
      </c>
      <c r="B5125" s="2410" t="s">
        <v>774</v>
      </c>
      <c r="C5125" s="2410" t="s">
        <v>716</v>
      </c>
      <c r="D5125" s="2414" t="s">
        <v>3740</v>
      </c>
    </row>
    <row r="5126" spans="1:4" ht="12.75" customHeight="1">
      <c r="A5126" s="2410" t="str">
        <f t="shared" si="92"/>
        <v>ab 2009</v>
      </c>
      <c r="B5126" s="2410" t="s">
        <v>229</v>
      </c>
      <c r="C5126" s="2410" t="s">
        <v>717</v>
      </c>
      <c r="D5126" s="2414" t="s">
        <v>3741</v>
      </c>
    </row>
    <row r="5127" spans="1:4" ht="12.75" customHeight="1">
      <c r="A5127" s="2410" t="str">
        <f t="shared" si="92"/>
        <v>ab 2014</v>
      </c>
      <c r="B5127" s="2410" t="s">
        <v>1622</v>
      </c>
      <c r="C5127" s="2410" t="s">
        <v>2374</v>
      </c>
      <c r="D5127" s="2414" t="s">
        <v>3742</v>
      </c>
    </row>
    <row r="5128" spans="1:4" ht="12.75" customHeight="1">
      <c r="A5128" s="2410" t="str">
        <f t="shared" si="92"/>
        <v>umgerechnet ab 2009</v>
      </c>
      <c r="B5128" s="2410" t="s">
        <v>5690</v>
      </c>
      <c r="C5128" s="2410" t="s">
        <v>1436</v>
      </c>
      <c r="D5128" s="2424" t="s">
        <v>10656</v>
      </c>
    </row>
    <row r="5129" spans="1:4" ht="12.75" customHeight="1">
      <c r="A5129" s="2410" t="str">
        <f>IF($A$2=1,B5129,IF($A$2=2,C5129,IF($A$2=3,IF(D5129="",C5129,D5129),"")))</f>
        <v>umgerechnet ab 2014</v>
      </c>
      <c r="B5129" s="2410" t="s">
        <v>170</v>
      </c>
      <c r="C5129" s="2410" t="s">
        <v>4861</v>
      </c>
      <c r="D5129" s="2424" t="s">
        <v>10657</v>
      </c>
    </row>
    <row r="5130" spans="1:4" ht="12.75" customHeight="1">
      <c r="A5130" s="2410" t="str">
        <f>IF($A$2=1,B5130,IF($A$2=2,C5130,IF($A$2=3,IF(D5130="",C5130,D5130),"")))</f>
        <v>umgerechnet ab 2018</v>
      </c>
      <c r="B5130" s="2410" t="s">
        <v>4380</v>
      </c>
      <c r="C5130" s="2410" t="s">
        <v>4379</v>
      </c>
      <c r="D5130" s="2424" t="s">
        <v>10658</v>
      </c>
    </row>
    <row r="5131" spans="1:4" ht="12.75" customHeight="1">
      <c r="A5131" s="2410" t="str">
        <f t="shared" si="92"/>
        <v>jahrabhängiger Faktor</v>
      </c>
      <c r="B5131" s="2410" t="s">
        <v>5691</v>
      </c>
      <c r="C5131" s="2410" t="s">
        <v>1437</v>
      </c>
      <c r="D5131" s="2424" t="s">
        <v>10659</v>
      </c>
    </row>
    <row r="5132" spans="1:4" ht="12.75" customHeight="1">
      <c r="A5132" s="2410" t="str">
        <f t="shared" si="92"/>
        <v>Kategorien ab 2020</v>
      </c>
      <c r="B5132" s="2410" t="s">
        <v>7770</v>
      </c>
      <c r="C5132" s="2410" t="s">
        <v>7771</v>
      </c>
      <c r="D5132" s="2424" t="s">
        <v>10660</v>
      </c>
    </row>
    <row r="5133" spans="1:4" ht="12.75" customHeight="1">
      <c r="A5133" s="2410" t="str">
        <f t="shared" si="92"/>
        <v>Kategorien bis 2018</v>
      </c>
      <c r="B5133" s="2410" t="s">
        <v>1599</v>
      </c>
      <c r="C5133" s="2410" t="s">
        <v>1600</v>
      </c>
      <c r="D5133" s="2424" t="s">
        <v>10661</v>
      </c>
    </row>
    <row r="5134" spans="1:4" ht="12.75" customHeight="1">
      <c r="A5134" s="2410" t="str">
        <f t="shared" si="92"/>
        <v>Milchkühe</v>
      </c>
      <c r="B5134" s="2410" t="str">
        <f>B390</f>
        <v>Milchkühe</v>
      </c>
      <c r="C5134" s="2410" t="s">
        <v>709</v>
      </c>
      <c r="D5134" s="2414" t="s">
        <v>8572</v>
      </c>
    </row>
    <row r="5135" spans="1:4" ht="12.75" customHeight="1">
      <c r="A5135" s="2410" t="str">
        <f t="shared" si="92"/>
        <v>Galt- oder Ausmastkühe</v>
      </c>
      <c r="B5135" s="2410" t="str">
        <f>B391</f>
        <v>Galt- oder Ausmastkühe</v>
      </c>
      <c r="C5135" s="2410" t="s">
        <v>8316</v>
      </c>
      <c r="D5135" s="2414" t="s">
        <v>11131</v>
      </c>
    </row>
    <row r="5136" spans="1:4" ht="12.75" customHeight="1">
      <c r="A5136" s="2410">
        <f t="shared" si="92"/>
        <v>0</v>
      </c>
      <c r="B5136" s="2410"/>
      <c r="C5136" s="2410"/>
      <c r="D5136" s="2424"/>
    </row>
    <row r="5137" spans="1:4" ht="12.75" customHeight="1">
      <c r="A5137" s="2410">
        <f t="shared" si="92"/>
        <v>0</v>
      </c>
      <c r="B5137" s="2410"/>
      <c r="C5137" s="2410"/>
      <c r="D5137" s="2424"/>
    </row>
    <row r="5138" spans="1:4" ht="12.75" customHeight="1">
      <c r="A5138" s="2410" t="str">
        <f t="shared" si="92"/>
        <v>Jungvieh 1 bis 2-jährig</v>
      </c>
      <c r="B5138" s="2410" t="s">
        <v>7777</v>
      </c>
      <c r="C5138" s="2410" t="s">
        <v>7773</v>
      </c>
      <c r="D5138" s="2414" t="s">
        <v>8992</v>
      </c>
    </row>
    <row r="5139" spans="1:4" ht="12.75" customHeight="1">
      <c r="A5139" s="2410" t="str">
        <f t="shared" si="92"/>
        <v>Jungvieh über 2-jährig</v>
      </c>
      <c r="B5139" s="2410" t="s">
        <v>7776</v>
      </c>
      <c r="C5139" s="2410" t="s">
        <v>8168</v>
      </c>
      <c r="D5139" s="2414" t="s">
        <v>8993</v>
      </c>
    </row>
    <row r="5140" spans="1:4" ht="12.75" customHeight="1">
      <c r="A5140" s="2410" t="str">
        <f t="shared" si="92"/>
        <v>Stiere 1 bis 2-jährig</v>
      </c>
      <c r="B5140" s="2410" t="s">
        <v>5737</v>
      </c>
      <c r="C5140" s="2410" t="s">
        <v>6217</v>
      </c>
      <c r="D5140" s="2414" t="s">
        <v>8994</v>
      </c>
    </row>
    <row r="5141" spans="1:4" ht="12.75" customHeight="1">
      <c r="A5141" s="2410" t="str">
        <f t="shared" si="92"/>
        <v>Stiere über 2-jährig</v>
      </c>
      <c r="B5141" s="2410" t="s">
        <v>5738</v>
      </c>
      <c r="C5141" s="2410" t="s">
        <v>8169</v>
      </c>
      <c r="D5141" s="2414" t="s">
        <v>10082</v>
      </c>
    </row>
    <row r="5142" spans="1:4" ht="12.75" customHeight="1">
      <c r="A5142" s="2410" t="str">
        <f t="shared" si="92"/>
        <v xml:space="preserve">Mutterkühe </v>
      </c>
      <c r="B5142" s="2410" t="s">
        <v>5903</v>
      </c>
      <c r="C5142" s="2410" t="s">
        <v>5904</v>
      </c>
      <c r="D5142" s="2414" t="s">
        <v>8996</v>
      </c>
    </row>
    <row r="5143" spans="1:4" ht="12.75" customHeight="1">
      <c r="A5143" s="2410" t="str">
        <f t="shared" si="92"/>
        <v xml:space="preserve">Mutterkuhkälber zur Mast </v>
      </c>
      <c r="B5143" s="2410" t="s">
        <v>4937</v>
      </c>
      <c r="C5143" s="2410" t="s">
        <v>540</v>
      </c>
      <c r="D5143" s="2414" t="s">
        <v>11312</v>
      </c>
    </row>
    <row r="5144" spans="1:4" ht="12.75" customHeight="1">
      <c r="A5144" s="2410" t="str">
        <f t="shared" si="92"/>
        <v>Mastkälber (50-200 kg)</v>
      </c>
      <c r="B5144" s="2410" t="s">
        <v>4866</v>
      </c>
      <c r="C5144" s="2410" t="s">
        <v>2807</v>
      </c>
      <c r="D5144" s="2414" t="s">
        <v>9003</v>
      </c>
    </row>
    <row r="5145" spans="1:4" ht="12.75" customHeight="1">
      <c r="A5145" s="2410" t="str">
        <f t="shared" si="92"/>
        <v>Mastkälber (50-200 kg) pro Jahr</v>
      </c>
      <c r="B5145" s="2410" t="s">
        <v>2716</v>
      </c>
      <c r="C5145" s="2410" t="s">
        <v>5893</v>
      </c>
      <c r="D5145" s="2414" t="s">
        <v>10662</v>
      </c>
    </row>
    <row r="5146" spans="1:4" ht="12.75" customHeight="1">
      <c r="A5146" s="2410" t="str">
        <f t="shared" si="92"/>
        <v>Rindviehmast &lt; 160 Tage</v>
      </c>
      <c r="B5146" s="2410" t="s">
        <v>5426</v>
      </c>
      <c r="C5146" s="2410" t="s">
        <v>5427</v>
      </c>
      <c r="D5146" s="2414" t="s">
        <v>9347</v>
      </c>
    </row>
    <row r="5147" spans="1:4" ht="12.75" customHeight="1">
      <c r="A5147" s="2410" t="str">
        <f t="shared" si="92"/>
        <v>Rindviehmast intensiv &gt; 160 Tage</v>
      </c>
      <c r="B5147" s="2410" t="s">
        <v>5424</v>
      </c>
      <c r="C5147" s="2410" t="s">
        <v>8194</v>
      </c>
      <c r="D5147" s="2414" t="s">
        <v>9348</v>
      </c>
    </row>
    <row r="5148" spans="1:4" ht="12.75" customHeight="1">
      <c r="A5148" s="2410" t="str">
        <f t="shared" si="92"/>
        <v>Rindviehmast Weide &gt; 160 Tage</v>
      </c>
      <c r="B5148" s="2410" t="s">
        <v>5442</v>
      </c>
      <c r="C5148" s="2410" t="s">
        <v>8195</v>
      </c>
      <c r="D5148" s="2414" t="s">
        <v>9349</v>
      </c>
    </row>
    <row r="5149" spans="1:4" ht="12.75" customHeight="1">
      <c r="A5149" s="2410" t="str">
        <f t="shared" si="92"/>
        <v>Rindviehmast intensiv &gt; 65 kg, &lt;= 520 kg</v>
      </c>
      <c r="B5149" s="2410" t="s">
        <v>6970</v>
      </c>
      <c r="C5149" s="2410" t="s">
        <v>4378</v>
      </c>
      <c r="D5149" s="2414" t="s">
        <v>10663</v>
      </c>
    </row>
    <row r="5150" spans="1:4" ht="12.75" customHeight="1">
      <c r="A5150" s="2410" t="str">
        <f t="shared" si="92"/>
        <v>Rindviehmast, intensive Ausmast ab ca. 300 kg LG</v>
      </c>
      <c r="B5150" s="2410" t="s">
        <v>4376</v>
      </c>
      <c r="C5150" s="2410" t="s">
        <v>4377</v>
      </c>
      <c r="D5150" s="2414" t="s">
        <v>10664</v>
      </c>
    </row>
    <row r="5151" spans="1:4" ht="12.75" customHeight="1">
      <c r="A5151" s="2410" t="str">
        <f>IF($A$2=1,B5151,IF($A$2=2,C5151,IF($A$2=3,IF(D5151="",C5151,D5151),"")))</f>
        <v>Kategorien bis 2008</v>
      </c>
      <c r="B5151" s="2410" t="s">
        <v>773</v>
      </c>
      <c r="C5151" s="2410" t="s">
        <v>4948</v>
      </c>
      <c r="D5151" s="2424" t="s">
        <v>10665</v>
      </c>
    </row>
    <row r="5152" spans="1:4" ht="12.75" customHeight="1">
      <c r="A5152" s="2410" t="str">
        <f t="shared" si="92"/>
        <v>Kategorien ab 2009</v>
      </c>
      <c r="B5152" s="2410" t="s">
        <v>2263</v>
      </c>
      <c r="C5152" s="2410" t="s">
        <v>4949</v>
      </c>
      <c r="D5152" s="2424" t="s">
        <v>10666</v>
      </c>
    </row>
    <row r="5153" spans="1:4" ht="12.75" customHeight="1">
      <c r="A5153" s="2410" t="str">
        <f t="shared" si="92"/>
        <v>Milchkühe</v>
      </c>
      <c r="B5153" s="2410" t="s">
        <v>2350</v>
      </c>
      <c r="C5153" s="2410" t="s">
        <v>709</v>
      </c>
      <c r="D5153" s="2414" t="s">
        <v>8572</v>
      </c>
    </row>
    <row r="5154" spans="1:4" ht="12.75" customHeight="1">
      <c r="A5154" s="2410" t="str">
        <f t="shared" si="92"/>
        <v>andere Kühe</v>
      </c>
      <c r="B5154" s="2410" t="s">
        <v>1470</v>
      </c>
      <c r="C5154" s="2410" t="s">
        <v>2028</v>
      </c>
      <c r="D5154" s="2414" t="s">
        <v>9338</v>
      </c>
    </row>
    <row r="5155" spans="1:4" ht="12.75" customHeight="1">
      <c r="A5155" s="2410" t="str">
        <f>IF($A$2=1,B5155,IF($A$2=2,C5155,IF($A$2=3,IF(D5155="",C5155,D5155),"")))</f>
        <v>Jungvieh zur Zucht  0 bis 1-jährig</v>
      </c>
      <c r="B5155" s="2410" t="s">
        <v>1469</v>
      </c>
      <c r="C5155" s="2410" t="s">
        <v>4790</v>
      </c>
      <c r="D5155" s="2414" t="s">
        <v>8991</v>
      </c>
    </row>
    <row r="5156" spans="1:4" ht="12.75" customHeight="1">
      <c r="A5156" s="2410" t="str">
        <f t="shared" si="92"/>
        <v>Rinder über 730 Tage alt</v>
      </c>
      <c r="B5156" s="2410" t="s">
        <v>348</v>
      </c>
      <c r="C5156" s="2410" t="s">
        <v>4950</v>
      </c>
      <c r="D5156" s="2414" t="s">
        <v>10667</v>
      </c>
    </row>
    <row r="5157" spans="1:4" ht="12.75" customHeight="1">
      <c r="A5157" s="2410" t="str">
        <f t="shared" si="92"/>
        <v>Rinder 365 bis 730 Tage alt</v>
      </c>
      <c r="B5157" s="2410" t="s">
        <v>1672</v>
      </c>
      <c r="C5157" s="2410" t="s">
        <v>4951</v>
      </c>
      <c r="D5157" s="2414" t="s">
        <v>10668</v>
      </c>
    </row>
    <row r="5158" spans="1:4" ht="12.75" customHeight="1">
      <c r="A5158" s="2410" t="str">
        <f t="shared" si="92"/>
        <v>Rinder 120 bis 365 Tage alt</v>
      </c>
      <c r="B5158" s="2410" t="s">
        <v>317</v>
      </c>
      <c r="C5158" s="2410" t="s">
        <v>3987</v>
      </c>
      <c r="D5158" s="2414" t="s">
        <v>10669</v>
      </c>
    </row>
    <row r="5159" spans="1:4" ht="12.75" customHeight="1">
      <c r="A5159" s="2410" t="str">
        <f t="shared" si="92"/>
        <v>Rinder bis 120 Tage alt</v>
      </c>
      <c r="B5159" s="2410" t="s">
        <v>318</v>
      </c>
      <c r="C5159" s="2410" t="s">
        <v>4008</v>
      </c>
      <c r="D5159" s="2414" t="s">
        <v>10670</v>
      </c>
    </row>
    <row r="5160" spans="1:4" ht="12.75" customHeight="1">
      <c r="A5160" s="2410" t="str">
        <f t="shared" si="92"/>
        <v>Kategorien ab 2014</v>
      </c>
      <c r="B5160" s="2410" t="s">
        <v>3113</v>
      </c>
      <c r="C5160" s="2410" t="s">
        <v>3114</v>
      </c>
      <c r="D5160" s="2424" t="s">
        <v>10671</v>
      </c>
    </row>
    <row r="5161" spans="1:4" ht="12.75" customHeight="1">
      <c r="A5161" s="2410" t="str">
        <f t="shared" si="92"/>
        <v>Milchkühe</v>
      </c>
      <c r="B5161" s="2410" t="s">
        <v>2350</v>
      </c>
      <c r="C5161" s="2410" t="s">
        <v>709</v>
      </c>
      <c r="D5161" s="2424" t="s">
        <v>8572</v>
      </c>
    </row>
    <row r="5162" spans="1:4" ht="12.75" customHeight="1">
      <c r="A5162" s="2410" t="str">
        <f t="shared" si="92"/>
        <v>andere Kühe</v>
      </c>
      <c r="B5162" s="2410" t="s">
        <v>1470</v>
      </c>
      <c r="C5162" s="2410" t="s">
        <v>2028</v>
      </c>
      <c r="D5162" s="2424" t="s">
        <v>9338</v>
      </c>
    </row>
    <row r="5163" spans="1:4" ht="12.75" customHeight="1">
      <c r="A5163" s="2410" t="str">
        <f t="shared" si="92"/>
        <v>Rinder über 730 Tage alt</v>
      </c>
      <c r="B5163" s="2410" t="s">
        <v>348</v>
      </c>
      <c r="C5163" s="2410" t="s">
        <v>4950</v>
      </c>
      <c r="D5163" s="2414" t="s">
        <v>10667</v>
      </c>
    </row>
    <row r="5164" spans="1:4" ht="12.75" customHeight="1">
      <c r="A5164" s="2410" t="str">
        <f t="shared" si="92"/>
        <v>Rinder 365 bis 730 Tage alt</v>
      </c>
      <c r="B5164" s="2410" t="s">
        <v>1672</v>
      </c>
      <c r="C5164" s="2410" t="s">
        <v>4951</v>
      </c>
      <c r="D5164" s="2414" t="s">
        <v>10668</v>
      </c>
    </row>
    <row r="5165" spans="1:4" ht="12.75" customHeight="1">
      <c r="A5165" s="2410" t="str">
        <f t="shared" si="92"/>
        <v>Rinder 160 bis 365 Tage alt</v>
      </c>
      <c r="B5165" s="2410" t="s">
        <v>3115</v>
      </c>
      <c r="C5165" s="2410" t="s">
        <v>3116</v>
      </c>
      <c r="D5165" s="2414" t="s">
        <v>10669</v>
      </c>
    </row>
    <row r="5166" spans="1:4" ht="12.75" customHeight="1">
      <c r="A5166" s="2410" t="str">
        <f t="shared" si="92"/>
        <v>Rinder bis 160 Tage alt</v>
      </c>
      <c r="B5166" s="2410" t="s">
        <v>919</v>
      </c>
      <c r="C5166" s="2410" t="s">
        <v>8232</v>
      </c>
      <c r="D5166" s="2414" t="s">
        <v>10672</v>
      </c>
    </row>
    <row r="5167" spans="1:4" ht="12.75" customHeight="1">
      <c r="A5167" s="2410" t="str">
        <f t="shared" si="92"/>
        <v>Platz</v>
      </c>
      <c r="B5167" s="2410" t="s">
        <v>5735</v>
      </c>
      <c r="C5167" s="2410" t="s">
        <v>5259</v>
      </c>
      <c r="D5167" s="2414" t="s">
        <v>8570</v>
      </c>
    </row>
    <row r="5168" spans="1:4" ht="12.75" customHeight="1">
      <c r="A5168" s="2410" t="str">
        <f t="shared" si="92"/>
        <v>Anzahl</v>
      </c>
      <c r="B5168" s="2410" t="s">
        <v>7044</v>
      </c>
      <c r="C5168" s="2410" t="s">
        <v>5260</v>
      </c>
      <c r="D5168" s="2414" t="s">
        <v>3773</v>
      </c>
    </row>
    <row r="5169" spans="1:4" ht="12.75" customHeight="1">
      <c r="A5169" s="2410" t="str">
        <f t="shared" si="92"/>
        <v>Dialog_Nb2</v>
      </c>
      <c r="B5169" s="2410" t="s">
        <v>4919</v>
      </c>
      <c r="C5169" s="2410" t="s">
        <v>3812</v>
      </c>
      <c r="D5169" s="2414" t="s">
        <v>10673</v>
      </c>
    </row>
    <row r="5170" spans="1:4" ht="12.75" customHeight="1">
      <c r="A5170" s="2410" t="str">
        <f t="shared" si="92"/>
        <v>Einsatz nährstoffarmes Futter</v>
      </c>
      <c r="B5170" s="2410" t="s">
        <v>2049</v>
      </c>
      <c r="C5170" s="2410" t="s">
        <v>2048</v>
      </c>
      <c r="D5170" s="2424" t="s">
        <v>10674</v>
      </c>
    </row>
    <row r="5171" spans="1:4" ht="12.75" customHeight="1">
      <c r="A5171" s="2410" t="str">
        <f t="shared" si="92"/>
        <v>Futtergehalt</v>
      </c>
      <c r="B5171" s="2410" t="s">
        <v>4920</v>
      </c>
      <c r="C5171" s="2410" t="s">
        <v>6872</v>
      </c>
      <c r="D5171" s="2424" t="s">
        <v>10675</v>
      </c>
    </row>
    <row r="5172" spans="1:4" ht="12.75" customHeight="1">
      <c r="A5172" s="2410" t="str">
        <f t="shared" si="92"/>
        <v>je kg FS</v>
      </c>
      <c r="B5172" s="2410" t="s">
        <v>7200</v>
      </c>
      <c r="C5172" s="2410" t="s">
        <v>6546</v>
      </c>
      <c r="D5172" s="2424" t="s">
        <v>11313</v>
      </c>
    </row>
    <row r="5173" spans="1:4" ht="12.75" customHeight="1">
      <c r="A5173" s="2410" t="str">
        <f t="shared" si="92"/>
        <v>je kg TS</v>
      </c>
      <c r="B5173" s="2410" t="s">
        <v>7201</v>
      </c>
      <c r="C5173" s="2410" t="s">
        <v>6547</v>
      </c>
      <c r="D5173" s="2424" t="s">
        <v>11314</v>
      </c>
    </row>
    <row r="5174" spans="1:4" ht="12.75" customHeight="1">
      <c r="A5174" s="2410" t="str">
        <f t="shared" si="92"/>
        <v>Schweine 1)</v>
      </c>
      <c r="B5174" s="2410" t="s">
        <v>6593</v>
      </c>
      <c r="C5174" s="2410" t="s">
        <v>6548</v>
      </c>
      <c r="D5174" s="2424" t="s">
        <v>10676</v>
      </c>
    </row>
    <row r="5175" spans="1:4" ht="12.75" customHeight="1">
      <c r="A5175" s="2410" t="str">
        <f t="shared" si="92"/>
        <v xml:space="preserve">   MJ VES</v>
      </c>
      <c r="B5175" s="2410" t="s">
        <v>1290</v>
      </c>
      <c r="C5175" s="2410" t="s">
        <v>1308</v>
      </c>
      <c r="D5175" s="2424" t="s">
        <v>10677</v>
      </c>
    </row>
    <row r="5176" spans="1:4" ht="12.75" customHeight="1">
      <c r="A5176" s="2410" t="str">
        <f t="shared" si="92"/>
        <v xml:space="preserve">  g RP</v>
      </c>
      <c r="B5176" s="2410" t="s">
        <v>1306</v>
      </c>
      <c r="C5176" s="2410" t="s">
        <v>1309</v>
      </c>
      <c r="D5176" s="2424" t="s">
        <v>10678</v>
      </c>
    </row>
    <row r="5177" spans="1:4" ht="12.75" customHeight="1">
      <c r="A5177" s="2410" t="str">
        <f t="shared" si="92"/>
        <v xml:space="preserve">   g P</v>
      </c>
      <c r="B5177" s="2410" t="s">
        <v>1307</v>
      </c>
      <c r="C5177" s="2410" t="s">
        <v>1307</v>
      </c>
      <c r="D5177" s="2424" t="s">
        <v>1317</v>
      </c>
    </row>
    <row r="5178" spans="1:4" ht="12.75" customHeight="1">
      <c r="A5178" s="2410" t="str">
        <f t="shared" si="92"/>
        <v xml:space="preserve">Mastschweine </v>
      </c>
      <c r="B5178" s="2410" t="s">
        <v>6594</v>
      </c>
      <c r="C5178" s="2410" t="s">
        <v>6425</v>
      </c>
      <c r="D5178" s="2424" t="s">
        <v>8635</v>
      </c>
    </row>
    <row r="5179" spans="1:4" ht="12.75" customHeight="1">
      <c r="A5179" s="2410" t="str">
        <f t="shared" si="92"/>
        <v>Zuchteber 2)</v>
      </c>
      <c r="B5179" s="2410" t="s">
        <v>105</v>
      </c>
      <c r="C5179" s="2410" t="s">
        <v>106</v>
      </c>
      <c r="D5179" s="2424" t="s">
        <v>10679</v>
      </c>
    </row>
    <row r="5180" spans="1:4" ht="12.75" customHeight="1">
      <c r="A5180" s="2410" t="str">
        <f t="shared" si="92"/>
        <v>Säugende Sauen 2)</v>
      </c>
      <c r="B5180" s="2410" t="s">
        <v>3658</v>
      </c>
      <c r="C5180" s="2410" t="s">
        <v>7576</v>
      </c>
      <c r="D5180" s="2424" t="s">
        <v>10680</v>
      </c>
    </row>
    <row r="5181" spans="1:4" ht="12.75" customHeight="1">
      <c r="A5181" s="2410" t="str">
        <f t="shared" si="92"/>
        <v>Galtsauen 2)</v>
      </c>
      <c r="B5181" s="2410" t="s">
        <v>883</v>
      </c>
      <c r="C5181" s="2410" t="s">
        <v>1956</v>
      </c>
      <c r="D5181" s="2424" t="s">
        <v>11315</v>
      </c>
    </row>
    <row r="5182" spans="1:4" ht="12.75" customHeight="1">
      <c r="A5182" s="2410" t="str">
        <f t="shared" si="92"/>
        <v>Ferkel</v>
      </c>
      <c r="B5182" s="2410" t="s">
        <v>6595</v>
      </c>
      <c r="C5182" s="2410" t="s">
        <v>6426</v>
      </c>
      <c r="D5182" s="2424" t="s">
        <v>11316</v>
      </c>
    </row>
    <row r="5183" spans="1:4" ht="72" customHeight="1">
      <c r="A5183" s="2410" t="str">
        <f t="shared" si="92"/>
        <v xml:space="preserve">1) Für die kombinierte Kategorie "Zuchtschweine inkl. Ferkel bis 26 kg" wird die  Anfallsreduktion aufgrund der Gehaltswerte der Kategorien "Zuchteber" und "Ferkel  abgesetzt" automatisch berechnet. </v>
      </c>
      <c r="B5183" s="2417" t="s">
        <v>5931</v>
      </c>
      <c r="C5183" s="2417" t="s">
        <v>5932</v>
      </c>
      <c r="D5183" s="2424" t="s">
        <v>11317</v>
      </c>
    </row>
    <row r="5184" spans="1:4" ht="23.25" customHeight="1">
      <c r="A5184" s="2410"/>
      <c r="B5184" s="2417"/>
      <c r="C5184" s="2417"/>
      <c r="D5184" s="2424"/>
    </row>
    <row r="5185" spans="1:4" ht="69" customHeight="1">
      <c r="A5185" s="2410" t="str">
        <f t="shared" si="92"/>
        <v>2) Sind die Gehaltszahlen Ergebnis einer Berechnung mit 'Linear', so sind für beide Zuchtschweinekategorien und die Zuchteber die gleichen Werte einzusetzen!</v>
      </c>
      <c r="B5185" s="2417" t="s">
        <v>6137</v>
      </c>
      <c r="C5185" s="2417" t="s">
        <v>2251</v>
      </c>
      <c r="D5185" s="2424" t="s">
        <v>11318</v>
      </c>
    </row>
    <row r="5186" spans="1:4" ht="12.75" customHeight="1">
      <c r="A5186" s="2410" t="str">
        <f t="shared" si="92"/>
        <v>Geflügel</v>
      </c>
      <c r="B5186" s="2410" t="s">
        <v>2280</v>
      </c>
      <c r="C5186" s="2410" t="s">
        <v>3957</v>
      </c>
      <c r="D5186" s="2424" t="s">
        <v>8462</v>
      </c>
    </row>
    <row r="5187" spans="1:4" ht="12.75" customHeight="1">
      <c r="A5187" s="2410" t="str">
        <f t="shared" ref="A5187:A5255" si="93">IF($A$2=1,B5187,IF($A$2=2,C5187,IF($A$2=3,IF(D5187="",C5187,D5187),"")))</f>
        <v>Legehennen</v>
      </c>
      <c r="B5187" s="2410" t="s">
        <v>573</v>
      </c>
      <c r="C5187" s="2410" t="s">
        <v>2268</v>
      </c>
      <c r="D5187" s="2424" t="s">
        <v>8636</v>
      </c>
    </row>
    <row r="5188" spans="1:4" ht="12.75" customHeight="1">
      <c r="A5188" s="2410" t="str">
        <f t="shared" si="93"/>
        <v>Abbrechen</v>
      </c>
      <c r="B5188" s="2410" t="s">
        <v>6213</v>
      </c>
      <c r="C5188" s="2410" t="s">
        <v>5734</v>
      </c>
      <c r="D5188" s="2424" t="s">
        <v>10681</v>
      </c>
    </row>
    <row r="5189" spans="1:4" ht="12.75" customHeight="1">
      <c r="A5189" s="2410" t="str">
        <f t="shared" si="93"/>
        <v>Standardwerte</v>
      </c>
      <c r="B5189" s="2410" t="s">
        <v>4603</v>
      </c>
      <c r="C5189" s="2410" t="s">
        <v>2044</v>
      </c>
      <c r="D5189" s="2424" t="s">
        <v>10682</v>
      </c>
    </row>
    <row r="5190" spans="1:4" ht="12.75" customHeight="1">
      <c r="A5190" s="2410" t="str">
        <f t="shared" si="93"/>
        <v>OK</v>
      </c>
      <c r="B5190" s="2410" t="s">
        <v>4604</v>
      </c>
      <c r="C5190" s="2410" t="s">
        <v>4604</v>
      </c>
      <c r="D5190" s="2424" t="s">
        <v>4604</v>
      </c>
    </row>
    <row r="5191" spans="1:4" ht="12.75" customHeight="1">
      <c r="A5191" s="2410" t="str">
        <f t="shared" si="93"/>
        <v>Dialog_Imp</v>
      </c>
      <c r="B5191" s="2410" t="s">
        <v>3142</v>
      </c>
      <c r="C5191" s="2410" t="s">
        <v>3143</v>
      </c>
      <c r="D5191" s="2414" t="s">
        <v>10683</v>
      </c>
    </row>
    <row r="5192" spans="1:4" ht="12.75" customHeight="1">
      <c r="A5192" s="2410" t="str">
        <f t="shared" si="93"/>
        <v>Nährstoffe aus Import/Export Bilanzen</v>
      </c>
      <c r="B5192" s="2410" t="s">
        <v>928</v>
      </c>
      <c r="C5192" s="2410" t="s">
        <v>4936</v>
      </c>
      <c r="D5192" s="2424" t="s">
        <v>10684</v>
      </c>
    </row>
    <row r="5193" spans="1:4" ht="12.75" customHeight="1">
      <c r="A5193" s="2410" t="str">
        <f t="shared" si="93"/>
        <v>Nährstoffanfall</v>
      </c>
      <c r="B5193" s="2410" t="s">
        <v>2522</v>
      </c>
      <c r="C5193" s="2410" t="s">
        <v>3718</v>
      </c>
      <c r="D5193" s="2424" t="s">
        <v>8735</v>
      </c>
    </row>
    <row r="5194" spans="1:4" ht="76.7" customHeight="1">
      <c r="A5194" s="2410" t="str">
        <f t="shared" si="93"/>
        <v>Wichtiger Hinweis: Alle Eingaben auf diesem Blatt werden in der Suisse-Bilanz nur dann richtig dargestellt, wenn zu jeder Tierkategorie auch die korrekte Anzahl Einheiten im Blatt "Tierbestand" erfasst ist!</v>
      </c>
      <c r="B5194" s="2417" t="s">
        <v>3492</v>
      </c>
      <c r="C5194" s="2417" t="s">
        <v>1910</v>
      </c>
      <c r="D5194" s="2424" t="s">
        <v>10685</v>
      </c>
    </row>
    <row r="5195" spans="1:4" ht="12.75" customHeight="1">
      <c r="A5195" s="2410" t="str">
        <f t="shared" si="93"/>
        <v>Schweine</v>
      </c>
      <c r="B5195" s="2410" t="s">
        <v>2279</v>
      </c>
      <c r="C5195" s="2410" t="s">
        <v>1585</v>
      </c>
      <c r="D5195" s="2424" t="s">
        <v>1918</v>
      </c>
    </row>
    <row r="5196" spans="1:4" ht="12.75" customHeight="1">
      <c r="A5196" s="2410" t="str">
        <f t="shared" si="93"/>
        <v>kg N</v>
      </c>
      <c r="B5196" s="2410" t="s">
        <v>4459</v>
      </c>
      <c r="C5196" s="2410" t="s">
        <v>4459</v>
      </c>
      <c r="D5196" s="2424" t="s">
        <v>4459</v>
      </c>
    </row>
    <row r="5197" spans="1:4" ht="12.75" customHeight="1">
      <c r="A5197" s="2410" t="str">
        <f t="shared" si="93"/>
        <v>kg Nges</v>
      </c>
      <c r="B5197" s="2410" t="s">
        <v>4458</v>
      </c>
      <c r="C5197" s="2410" t="s">
        <v>3149</v>
      </c>
      <c r="D5197" s="2424" t="s">
        <v>3149</v>
      </c>
    </row>
    <row r="5198" spans="1:4" ht="12.75" customHeight="1">
      <c r="A5198" s="2410" t="str">
        <f t="shared" si="93"/>
        <v>kg P2O5</v>
      </c>
      <c r="B5198" s="2410" t="s">
        <v>1097</v>
      </c>
      <c r="C5198" s="2410" t="s">
        <v>1097</v>
      </c>
      <c r="D5198" s="2424" t="s">
        <v>1097</v>
      </c>
    </row>
    <row r="5199" spans="1:4" ht="12.75" customHeight="1">
      <c r="A5199" s="2410" t="str">
        <f t="shared" si="93"/>
        <v>An nebenstehenden Werten beteiligte Kategorien:</v>
      </c>
      <c r="B5199" s="2410" t="s">
        <v>7036</v>
      </c>
      <c r="C5199" s="2410" t="s">
        <v>3863</v>
      </c>
      <c r="D5199" s="2424" t="s">
        <v>10686</v>
      </c>
    </row>
    <row r="5200" spans="1:4" ht="12.75" customHeight="1">
      <c r="A5200" s="2410" t="str">
        <f t="shared" si="93"/>
        <v>I/E-Bilanzwerte aus mehreren Schweinekategorien</v>
      </c>
      <c r="B5200" s="2410" t="s">
        <v>3653</v>
      </c>
      <c r="C5200" s="2410" t="s">
        <v>6644</v>
      </c>
      <c r="D5200" s="2424" t="s">
        <v>10687</v>
      </c>
    </row>
    <row r="5201" spans="1:4" ht="12.75" customHeight="1">
      <c r="A5201" s="2410" t="str">
        <f t="shared" si="93"/>
        <v>I/E-Bilanzwerte für einzelne Schweinekategorien (bei mehreren I/E-Bilanzen)</v>
      </c>
      <c r="B5201" s="2410" t="s">
        <v>3654</v>
      </c>
      <c r="C5201" s="2410" t="s">
        <v>6645</v>
      </c>
      <c r="D5201" s="2424" t="s">
        <v>10688</v>
      </c>
    </row>
    <row r="5202" spans="1:4" ht="12.75" customHeight="1">
      <c r="A5202" s="2410" t="str">
        <f t="shared" si="93"/>
        <v>Zuchtschweine inkl. Ferkel</v>
      </c>
      <c r="B5202" s="2410" t="s">
        <v>6331</v>
      </c>
      <c r="C5202" s="2410" t="s">
        <v>5509</v>
      </c>
      <c r="D5202" s="2424" t="s">
        <v>10496</v>
      </c>
    </row>
    <row r="5203" spans="1:4" ht="12.75" customHeight="1">
      <c r="A5203" s="2410" t="str">
        <f t="shared" si="93"/>
        <v>Mastschweine</v>
      </c>
      <c r="B5203" s="2410" t="s">
        <v>572</v>
      </c>
      <c r="C5203" s="2410" t="s">
        <v>1333</v>
      </c>
      <c r="D5203" s="2424" t="s">
        <v>8635</v>
      </c>
    </row>
    <row r="5204" spans="1:4" ht="12.75" customHeight="1">
      <c r="A5204" s="2410" t="str">
        <f t="shared" si="93"/>
        <v>Zuchteber</v>
      </c>
      <c r="B5204" s="2410" t="s">
        <v>6332</v>
      </c>
      <c r="C5204" s="2410" t="s">
        <v>3954</v>
      </c>
      <c r="D5204" s="2424" t="s">
        <v>9025</v>
      </c>
    </row>
    <row r="5205" spans="1:4" ht="12.75" customHeight="1">
      <c r="A5205" s="2410" t="str">
        <f t="shared" si="93"/>
        <v>Säugende Sauen</v>
      </c>
      <c r="B5205" s="2410" t="s">
        <v>4460</v>
      </c>
      <c r="C5205" s="2410" t="s">
        <v>3955</v>
      </c>
      <c r="D5205" s="2424" t="s">
        <v>10689</v>
      </c>
    </row>
    <row r="5206" spans="1:4" ht="12.75" customHeight="1">
      <c r="A5206" s="2410" t="str">
        <f t="shared" si="93"/>
        <v>Galtsauen</v>
      </c>
      <c r="B5206" s="2410" t="s">
        <v>5841</v>
      </c>
      <c r="C5206" s="2410" t="s">
        <v>5963</v>
      </c>
      <c r="D5206" s="2424" t="s">
        <v>11184</v>
      </c>
    </row>
    <row r="5207" spans="1:4" ht="12.75" customHeight="1">
      <c r="A5207" s="2410" t="str">
        <f t="shared" si="93"/>
        <v>Abgesetzte Ferkel</v>
      </c>
      <c r="B5207" s="2410" t="s">
        <v>5510</v>
      </c>
      <c r="C5207" s="2410" t="s">
        <v>3956</v>
      </c>
      <c r="D5207" s="2424" t="s">
        <v>9024</v>
      </c>
    </row>
    <row r="5208" spans="1:4" ht="12.75" customHeight="1">
      <c r="A5208" s="2410" t="str">
        <f t="shared" si="93"/>
        <v>Zuchtschweine inkl. Ferkel 1)</v>
      </c>
      <c r="B5208" s="2410" t="s">
        <v>92</v>
      </c>
      <c r="C5208" s="2417" t="s">
        <v>715</v>
      </c>
      <c r="D5208" s="2424" t="s">
        <v>10690</v>
      </c>
    </row>
    <row r="5209" spans="1:4" ht="12.75" customHeight="1">
      <c r="A5209" s="2410" t="str">
        <f t="shared" si="93"/>
        <v>Mastschweine 1)</v>
      </c>
      <c r="B5209" s="2410" t="s">
        <v>1461</v>
      </c>
      <c r="C5209" s="2410" t="s">
        <v>4454</v>
      </c>
      <c r="D5209" s="2424" t="s">
        <v>10691</v>
      </c>
    </row>
    <row r="5210" spans="1:4" ht="12.75" customHeight="1">
      <c r="A5210" s="2410" t="str">
        <f t="shared" si="93"/>
        <v>Zuchteber 1)</v>
      </c>
      <c r="B5210" s="2410" t="s">
        <v>1462</v>
      </c>
      <c r="C5210" s="2410" t="s">
        <v>4455</v>
      </c>
      <c r="D5210" s="2424" t="s">
        <v>10692</v>
      </c>
    </row>
    <row r="5211" spans="1:4" ht="12.75" customHeight="1">
      <c r="A5211" s="2410" t="str">
        <f t="shared" si="93"/>
        <v>Säugende Sauen 1)</v>
      </c>
      <c r="B5211" s="2410" t="s">
        <v>1463</v>
      </c>
      <c r="C5211" s="2410" t="s">
        <v>4456</v>
      </c>
      <c r="D5211" s="2424" t="s">
        <v>10693</v>
      </c>
    </row>
    <row r="5212" spans="1:4" ht="12.75" customHeight="1">
      <c r="A5212" s="2410" t="str">
        <f t="shared" si="93"/>
        <v>Galtsauen 1)</v>
      </c>
      <c r="B5212" s="2410" t="s">
        <v>1464</v>
      </c>
      <c r="C5212" s="2410" t="s">
        <v>4457</v>
      </c>
      <c r="D5212" s="2424" t="s">
        <v>11319</v>
      </c>
    </row>
    <row r="5213" spans="1:4" ht="12.75" customHeight="1">
      <c r="A5213" s="2410" t="str">
        <f t="shared" si="93"/>
        <v>Abgesetzte Ferkel 1)</v>
      </c>
      <c r="B5213" s="2410" t="s">
        <v>91</v>
      </c>
      <c r="C5213" s="2410" t="s">
        <v>1174</v>
      </c>
      <c r="D5213" s="2424" t="s">
        <v>10694</v>
      </c>
    </row>
    <row r="5214" spans="1:4" ht="60" customHeight="1">
      <c r="A5214" s="2410" t="str">
        <f t="shared" si="93"/>
        <v>1) Bei diesen Kategorien dürfen nur Werte eingesetzt werden, wenn für das Ergebnis der I/E-Bilanz keine anderen Schweinekategorien berücksichtigt worden sind!</v>
      </c>
      <c r="B5214" s="2417" t="s">
        <v>1565</v>
      </c>
      <c r="C5214" s="2417" t="s">
        <v>6622</v>
      </c>
      <c r="D5214" s="2424" t="s">
        <v>10695</v>
      </c>
    </row>
    <row r="5215" spans="1:4" ht="12.75" customHeight="1">
      <c r="A5215" s="2410" t="str">
        <f t="shared" si="93"/>
        <v>Junghennen</v>
      </c>
      <c r="B5215" s="2410" t="s">
        <v>5538</v>
      </c>
      <c r="C5215" s="2410" t="s">
        <v>3959</v>
      </c>
      <c r="D5215" s="2424" t="s">
        <v>9029</v>
      </c>
    </row>
    <row r="5216" spans="1:4" ht="12.75" customHeight="1">
      <c r="A5216" s="2410" t="str">
        <f t="shared" si="93"/>
        <v>Mastpoulets</v>
      </c>
      <c r="B5216" s="2410" t="s">
        <v>5539</v>
      </c>
      <c r="C5216" s="2410" t="s">
        <v>4864</v>
      </c>
      <c r="D5216" s="2424" t="s">
        <v>9030</v>
      </c>
    </row>
    <row r="5217" spans="1:4" ht="12.75" customHeight="1">
      <c r="A5217" s="2410" t="str">
        <f t="shared" si="93"/>
        <v>Masttruten</v>
      </c>
      <c r="B5217" s="2410" t="s">
        <v>5540</v>
      </c>
      <c r="C5217" s="2410" t="s">
        <v>3453</v>
      </c>
      <c r="D5217" s="2424" t="s">
        <v>9031</v>
      </c>
    </row>
    <row r="5218" spans="1:4" ht="12.75" customHeight="1">
      <c r="A5218" s="2410" t="str">
        <f t="shared" si="93"/>
        <v>Kaninchen</v>
      </c>
      <c r="B5218" s="2410" t="s">
        <v>5013</v>
      </c>
      <c r="C5218" s="2410" t="s">
        <v>1062</v>
      </c>
      <c r="D5218" s="2424" t="s">
        <v>9600</v>
      </c>
    </row>
    <row r="5219" spans="1:4" ht="12.75" customHeight="1">
      <c r="A5219" s="2410" t="str">
        <f t="shared" si="93"/>
        <v>Zibben inkl. Jungtiere bis ca 35 Tage</v>
      </c>
      <c r="B5219" s="2410" t="s">
        <v>1095</v>
      </c>
      <c r="C5219" s="2410" t="s">
        <v>3220</v>
      </c>
      <c r="D5219" s="2424" t="s">
        <v>11304</v>
      </c>
    </row>
    <row r="5220" spans="1:4" ht="12.75" customHeight="1">
      <c r="A5220" s="2410" t="str">
        <f t="shared" si="93"/>
        <v>Jungtiere ab ca 35 Tagen</v>
      </c>
      <c r="B5220" s="2410" t="s">
        <v>5415</v>
      </c>
      <c r="C5220" s="2410" t="s">
        <v>3221</v>
      </c>
      <c r="D5220" s="2424" t="s">
        <v>11260</v>
      </c>
    </row>
    <row r="5221" spans="1:4" ht="12.75" customHeight="1">
      <c r="A5221" s="2410" t="str">
        <f t="shared" si="93"/>
        <v>Kaninchen aus Import/Export Bilanz</v>
      </c>
      <c r="B5221" s="2410" t="s">
        <v>5011</v>
      </c>
      <c r="C5221" s="2410" t="s">
        <v>5012</v>
      </c>
      <c r="D5221" s="2424" t="s">
        <v>10696</v>
      </c>
    </row>
    <row r="5222" spans="1:4" ht="12.75" customHeight="1">
      <c r="A5222" s="2410" t="str">
        <f t="shared" si="93"/>
        <v>I/E-Bilanzwerte aus Kaninchenhaltung</v>
      </c>
      <c r="B5222" s="2410" t="s">
        <v>5413</v>
      </c>
      <c r="C5222" s="3327" t="s">
        <v>5414</v>
      </c>
      <c r="D5222" s="3377" t="s">
        <v>10697</v>
      </c>
    </row>
    <row r="5223" spans="1:4" ht="12.75" customHeight="1">
      <c r="A5223" s="2410" t="str">
        <f t="shared" si="93"/>
        <v>Mastkälber</v>
      </c>
      <c r="B5223" s="3327" t="s">
        <v>1805</v>
      </c>
      <c r="C5223" s="3327" t="s">
        <v>12166</v>
      </c>
      <c r="D5223" s="3377" t="s">
        <v>8866</v>
      </c>
    </row>
    <row r="5224" spans="1:4" ht="12.75" customHeight="1">
      <c r="A5224" s="2410" t="str">
        <f t="shared" si="93"/>
        <v>Mastkälber aus Import/Export Bilanz</v>
      </c>
      <c r="B5224" s="3327" t="s">
        <v>12163</v>
      </c>
      <c r="C5224" s="3327" t="s">
        <v>12164</v>
      </c>
      <c r="D5224" s="3326" t="s">
        <v>12165</v>
      </c>
    </row>
    <row r="5225" spans="1:4" ht="12.75" customHeight="1">
      <c r="A5225" s="2410" t="str">
        <f t="shared" si="93"/>
        <v>I/E-Bilanzwerte aus Mastkälberhaltung</v>
      </c>
      <c r="B5225" s="3327" t="s">
        <v>12167</v>
      </c>
      <c r="C5225" s="3327" t="s">
        <v>12168</v>
      </c>
      <c r="D5225" s="3377" t="s">
        <v>12169</v>
      </c>
    </row>
    <row r="5226" spans="1:4" ht="12.75" customHeight="1">
      <c r="A5226" s="2410" t="str">
        <f t="shared" si="93"/>
        <v>Laufhof-Tage übernehmen</v>
      </c>
      <c r="B5226" s="3327" t="s">
        <v>12177</v>
      </c>
      <c r="C5226" s="2410" t="s">
        <v>12173</v>
      </c>
      <c r="D5226" s="3377" t="s">
        <v>12175</v>
      </c>
    </row>
    <row r="5227" spans="1:4" ht="12.75" customHeight="1">
      <c r="A5227" s="2410" t="str">
        <f t="shared" si="93"/>
        <v>Weide-Tage übernehmen</v>
      </c>
      <c r="B5227" s="3327" t="s">
        <v>12178</v>
      </c>
      <c r="C5227" s="3327" t="s">
        <v>12174</v>
      </c>
      <c r="D5227" s="3377" t="s">
        <v>12176</v>
      </c>
    </row>
    <row r="5228" spans="1:4" ht="12.75" customHeight="1">
      <c r="A5228" s="2410" t="str">
        <f t="shared" si="93"/>
        <v>Abbrechen</v>
      </c>
      <c r="B5228" s="2410" t="s">
        <v>6213</v>
      </c>
      <c r="C5228" s="2410" t="s">
        <v>5734</v>
      </c>
      <c r="D5228" s="2424" t="s">
        <v>10681</v>
      </c>
    </row>
    <row r="5229" spans="1:4" ht="12.75" customHeight="1">
      <c r="A5229" s="2410" t="str">
        <f t="shared" si="93"/>
        <v>Werte löschen</v>
      </c>
      <c r="B5229" s="2410" t="s">
        <v>5513</v>
      </c>
      <c r="C5229" s="2410" t="s">
        <v>5514</v>
      </c>
      <c r="D5229" s="2424" t="s">
        <v>10698</v>
      </c>
    </row>
    <row r="5230" spans="1:4" ht="12.75" customHeight="1">
      <c r="A5230" s="2410" t="str">
        <f t="shared" si="93"/>
        <v>OK</v>
      </c>
      <c r="B5230" s="2410" t="s">
        <v>4604</v>
      </c>
      <c r="C5230" s="2410" t="s">
        <v>4604</v>
      </c>
      <c r="D5230" s="2424" t="s">
        <v>4604</v>
      </c>
    </row>
    <row r="5231" spans="1:4" ht="12.75" customHeight="1">
      <c r="A5231" s="2410" t="str">
        <f t="shared" si="93"/>
        <v>Dialog_Gem1</v>
      </c>
      <c r="B5231" s="2410" t="s">
        <v>4281</v>
      </c>
      <c r="C5231" s="2410" t="s">
        <v>3811</v>
      </c>
      <c r="D5231" s="2424" t="s">
        <v>10699</v>
      </c>
    </row>
    <row r="5232" spans="1:4" ht="12.75" customHeight="1">
      <c r="A5232" s="2410" t="str">
        <f t="shared" si="93"/>
        <v>Freiland-Gemüsebau</v>
      </c>
      <c r="B5232" s="2410" t="s">
        <v>5692</v>
      </c>
      <c r="C5232" s="2410" t="s">
        <v>2622</v>
      </c>
      <c r="D5232" s="2424" t="s">
        <v>10405</v>
      </c>
    </row>
    <row r="5233" spans="1:4" ht="12.75" customHeight="1">
      <c r="A5233" s="2410" t="str">
        <f t="shared" si="93"/>
        <v>Auswahlliste</v>
      </c>
      <c r="B5233" s="2410" t="s">
        <v>5693</v>
      </c>
      <c r="C5233" s="2410" t="s">
        <v>2104</v>
      </c>
      <c r="D5233" s="2424" t="s">
        <v>10700</v>
      </c>
    </row>
    <row r="5234" spans="1:4" ht="12.75" customHeight="1">
      <c r="A5234" s="2410" t="str">
        <f t="shared" si="93"/>
        <v>Ausgewählte Kulturen</v>
      </c>
      <c r="B5234" s="2410" t="s">
        <v>5694</v>
      </c>
      <c r="C5234" s="2410" t="s">
        <v>2105</v>
      </c>
      <c r="D5234" s="2424" t="s">
        <v>10701</v>
      </c>
    </row>
    <row r="5235" spans="1:4" ht="12.75" customHeight="1">
      <c r="A5235" s="2410" t="str">
        <f t="shared" si="93"/>
        <v>alle Kulturen löschen</v>
      </c>
      <c r="B5235" s="2410" t="s">
        <v>5695</v>
      </c>
      <c r="C5235" s="2410" t="s">
        <v>2106</v>
      </c>
      <c r="D5235" s="2424" t="s">
        <v>10702</v>
      </c>
    </row>
    <row r="5236" spans="1:4" ht="12.75" customHeight="1">
      <c r="A5236" s="2410" t="str">
        <f t="shared" si="93"/>
        <v>einzelne Kultur löschen</v>
      </c>
      <c r="B5236" s="2410" t="s">
        <v>5696</v>
      </c>
      <c r="C5236" s="2410" t="s">
        <v>2107</v>
      </c>
      <c r="D5236" s="2424" t="s">
        <v>10703</v>
      </c>
    </row>
    <row r="5237" spans="1:4" ht="12.75" customHeight="1">
      <c r="A5237" s="2410" t="str">
        <f t="shared" si="93"/>
        <v>Dialog beenden</v>
      </c>
      <c r="B5237" s="2410" t="s">
        <v>7286</v>
      </c>
      <c r="C5237" s="2410" t="s">
        <v>2266</v>
      </c>
      <c r="D5237" s="2424" t="s">
        <v>10704</v>
      </c>
    </row>
    <row r="5238" spans="1:4" ht="12.75" customHeight="1">
      <c r="A5238" s="2410" t="str">
        <f t="shared" si="93"/>
        <v>Dialog_Gem2</v>
      </c>
      <c r="B5238" s="2410" t="s">
        <v>4280</v>
      </c>
      <c r="C5238" s="2410" t="s">
        <v>6539</v>
      </c>
      <c r="D5238" s="2424" t="s">
        <v>10705</v>
      </c>
    </row>
    <row r="5239" spans="1:4" ht="12.75" customHeight="1">
      <c r="A5239" s="2410" t="str">
        <f t="shared" si="93"/>
        <v>Gemüsebau Gewächshaus/Hochtunnel</v>
      </c>
      <c r="B5239" s="2410" t="s">
        <v>1739</v>
      </c>
      <c r="C5239" s="2410" t="s">
        <v>1740</v>
      </c>
      <c r="D5239" s="2424" t="s">
        <v>10706</v>
      </c>
    </row>
    <row r="5240" spans="1:4" ht="12.75" customHeight="1">
      <c r="A5240" s="2410" t="str">
        <f t="shared" si="93"/>
        <v>Auswahlliste</v>
      </c>
      <c r="B5240" s="2410" t="s">
        <v>5693</v>
      </c>
      <c r="C5240" s="2410" t="s">
        <v>2104</v>
      </c>
      <c r="D5240" s="2424" t="s">
        <v>10700</v>
      </c>
    </row>
    <row r="5241" spans="1:4" ht="12.75" customHeight="1">
      <c r="A5241" s="2410" t="str">
        <f t="shared" si="93"/>
        <v>Ausgewählte Kulturen</v>
      </c>
      <c r="B5241" s="2410" t="s">
        <v>5694</v>
      </c>
      <c r="C5241" s="2410" t="s">
        <v>2105</v>
      </c>
      <c r="D5241" s="2424" t="s">
        <v>10701</v>
      </c>
    </row>
    <row r="5242" spans="1:4" ht="12.75" customHeight="1">
      <c r="A5242" s="2410" t="str">
        <f t="shared" si="93"/>
        <v>alle Kulturen löschen</v>
      </c>
      <c r="B5242" s="2410" t="s">
        <v>5695</v>
      </c>
      <c r="C5242" s="2410" t="s">
        <v>2106</v>
      </c>
      <c r="D5242" s="2424" t="s">
        <v>10702</v>
      </c>
    </row>
    <row r="5243" spans="1:4" ht="12.75" customHeight="1">
      <c r="A5243" s="2410" t="str">
        <f t="shared" si="93"/>
        <v>einzelne Kultur löschen</v>
      </c>
      <c r="B5243" s="2410" t="s">
        <v>5696</v>
      </c>
      <c r="C5243" s="2410" t="s">
        <v>2107</v>
      </c>
      <c r="D5243" s="2424" t="s">
        <v>10703</v>
      </c>
    </row>
    <row r="5244" spans="1:4" ht="12.75" customHeight="1">
      <c r="A5244" s="2410" t="str">
        <f t="shared" si="93"/>
        <v>Dialog beenden</v>
      </c>
      <c r="B5244" s="2410" t="s">
        <v>7286</v>
      </c>
      <c r="C5244" s="2410" t="s">
        <v>2266</v>
      </c>
      <c r="D5244" s="2424" t="s">
        <v>10704</v>
      </c>
    </row>
    <row r="5245" spans="1:4" ht="12.75" customHeight="1">
      <c r="A5245" s="2410" t="str">
        <f t="shared" si="93"/>
        <v>Dialog_Obst</v>
      </c>
      <c r="B5245" s="2410" t="s">
        <v>2738</v>
      </c>
      <c r="C5245" s="2410" t="s">
        <v>6538</v>
      </c>
      <c r="D5245" s="2424" t="s">
        <v>10707</v>
      </c>
    </row>
    <row r="5246" spans="1:4" ht="12.75" customHeight="1">
      <c r="A5246" s="2410" t="str">
        <f t="shared" si="93"/>
        <v>Obst</v>
      </c>
      <c r="B5246" s="2410" t="s">
        <v>1181</v>
      </c>
      <c r="C5246" s="2410" t="s">
        <v>1833</v>
      </c>
      <c r="D5246" s="2424" t="s">
        <v>10708</v>
      </c>
    </row>
    <row r="5247" spans="1:4" ht="12.75" customHeight="1">
      <c r="A5247" s="2410" t="str">
        <f t="shared" si="93"/>
        <v>Auswahlliste</v>
      </c>
      <c r="B5247" s="2410" t="s">
        <v>5693</v>
      </c>
      <c r="C5247" s="2410" t="s">
        <v>2104</v>
      </c>
      <c r="D5247" s="2424" t="s">
        <v>10700</v>
      </c>
    </row>
    <row r="5248" spans="1:4" ht="12.75" customHeight="1">
      <c r="A5248" s="2410" t="str">
        <f t="shared" si="93"/>
        <v>Ausgewählte Kulturen</v>
      </c>
      <c r="B5248" s="2410" t="s">
        <v>5694</v>
      </c>
      <c r="C5248" s="2410" t="s">
        <v>2105</v>
      </c>
      <c r="D5248" s="2424" t="s">
        <v>10701</v>
      </c>
    </row>
    <row r="5249" spans="1:4" ht="12.75" customHeight="1">
      <c r="A5249" s="2410" t="str">
        <f t="shared" si="93"/>
        <v>alle Kulturen löschen</v>
      </c>
      <c r="B5249" s="2410" t="s">
        <v>5695</v>
      </c>
      <c r="C5249" s="2410" t="s">
        <v>2106</v>
      </c>
      <c r="D5249" s="2424" t="s">
        <v>10702</v>
      </c>
    </row>
    <row r="5250" spans="1:4" ht="12.75" customHeight="1">
      <c r="A5250" s="2410" t="str">
        <f t="shared" si="93"/>
        <v>einzelne Kultur löschen</v>
      </c>
      <c r="B5250" s="2410" t="s">
        <v>5696</v>
      </c>
      <c r="C5250" s="2410" t="s">
        <v>2107</v>
      </c>
      <c r="D5250" s="2424" t="s">
        <v>10703</v>
      </c>
    </row>
    <row r="5251" spans="1:4" ht="12.75" customHeight="1">
      <c r="A5251" s="2410" t="str">
        <f t="shared" si="93"/>
        <v>Dialog beenden</v>
      </c>
      <c r="B5251" s="2410" t="s">
        <v>7286</v>
      </c>
      <c r="C5251" s="2410" t="s">
        <v>2266</v>
      </c>
      <c r="D5251" s="2424" t="s">
        <v>10704</v>
      </c>
    </row>
    <row r="5252" spans="1:4" ht="12.75" customHeight="1">
      <c r="A5252" s="2410" t="str">
        <f t="shared" si="93"/>
        <v>Dialog_Beeren</v>
      </c>
      <c r="B5252" s="2410" t="s">
        <v>2739</v>
      </c>
      <c r="C5252" s="2410" t="s">
        <v>2740</v>
      </c>
      <c r="D5252" s="2424" t="s">
        <v>10709</v>
      </c>
    </row>
    <row r="5253" spans="1:4" ht="12.75" customHeight="1">
      <c r="A5253" s="2410" t="str">
        <f t="shared" si="93"/>
        <v>Beeren</v>
      </c>
      <c r="B5253" s="2410" t="s">
        <v>3276</v>
      </c>
      <c r="C5253" s="2410" t="s">
        <v>5249</v>
      </c>
      <c r="D5253" s="2424" t="s">
        <v>8522</v>
      </c>
    </row>
    <row r="5254" spans="1:4" ht="12.75" customHeight="1">
      <c r="A5254" s="2410" t="str">
        <f t="shared" si="93"/>
        <v>Auswahlliste</v>
      </c>
      <c r="B5254" s="2410" t="s">
        <v>5693</v>
      </c>
      <c r="C5254" s="2410" t="s">
        <v>2104</v>
      </c>
      <c r="D5254" s="2424" t="s">
        <v>10700</v>
      </c>
    </row>
    <row r="5255" spans="1:4" ht="12.75" customHeight="1">
      <c r="A5255" s="2410" t="str">
        <f t="shared" si="93"/>
        <v>Ausgewählte Kulturen</v>
      </c>
      <c r="B5255" s="2410" t="s">
        <v>5694</v>
      </c>
      <c r="C5255" s="2410" t="s">
        <v>2105</v>
      </c>
      <c r="D5255" s="2424" t="s">
        <v>10701</v>
      </c>
    </row>
    <row r="5256" spans="1:4" ht="12.75" customHeight="1">
      <c r="A5256" s="2410" t="str">
        <f t="shared" ref="A5256:A5323" si="94">IF($A$2=1,B5256,IF($A$2=2,C5256,IF($A$2=3,IF(D5256="",C5256,D5256),"")))</f>
        <v>alle Kulturen löschen</v>
      </c>
      <c r="B5256" s="2410" t="s">
        <v>5695</v>
      </c>
      <c r="C5256" s="2410" t="s">
        <v>2106</v>
      </c>
      <c r="D5256" s="2424" t="s">
        <v>10702</v>
      </c>
    </row>
    <row r="5257" spans="1:4" ht="12.75" customHeight="1">
      <c r="A5257" s="2410" t="str">
        <f t="shared" si="94"/>
        <v>einzelne Kultur löschen</v>
      </c>
      <c r="B5257" s="2410" t="s">
        <v>5696</v>
      </c>
      <c r="C5257" s="2410" t="s">
        <v>2107</v>
      </c>
      <c r="D5257" s="2424" t="s">
        <v>10703</v>
      </c>
    </row>
    <row r="5258" spans="1:4" ht="12.75" customHeight="1">
      <c r="A5258" s="2410" t="str">
        <f t="shared" si="94"/>
        <v>Dialog beenden</v>
      </c>
      <c r="B5258" s="2410" t="s">
        <v>7286</v>
      </c>
      <c r="C5258" s="2410" t="s">
        <v>2266</v>
      </c>
      <c r="D5258" s="2424" t="s">
        <v>10704</v>
      </c>
    </row>
    <row r="5259" spans="1:4" ht="12.75" customHeight="1">
      <c r="A5259" s="2410" t="str">
        <f t="shared" si="94"/>
        <v>Dialog_GVE</v>
      </c>
      <c r="B5259" s="2410" t="s">
        <v>1238</v>
      </c>
      <c r="C5259" s="2410" t="s">
        <v>822</v>
      </c>
      <c r="D5259" s="2424" t="s">
        <v>10710</v>
      </c>
    </row>
    <row r="5260" spans="1:4" ht="12.75" customHeight="1">
      <c r="A5260" s="2410" t="str">
        <f t="shared" si="94"/>
        <v>GVE für Rinder und Wasserbüffel nach Altersklassen 1)</v>
      </c>
      <c r="B5260" s="2410" t="s">
        <v>2367</v>
      </c>
      <c r="C5260" s="2410" t="s">
        <v>2476</v>
      </c>
      <c r="D5260" s="2424" t="s">
        <v>10711</v>
      </c>
    </row>
    <row r="5261" spans="1:4" ht="12.75" customHeight="1">
      <c r="A5261" s="2410" t="str">
        <f t="shared" si="94"/>
        <v>Tierkategorie</v>
      </c>
      <c r="B5261" s="2410" t="s">
        <v>853</v>
      </c>
      <c r="C5261" s="2410" t="s">
        <v>4196</v>
      </c>
      <c r="D5261" s="2424" t="s">
        <v>10712</v>
      </c>
    </row>
    <row r="5262" spans="1:4" ht="12.75" customHeight="1">
      <c r="A5262" s="2410" t="str">
        <f t="shared" si="94"/>
        <v>Einheit</v>
      </c>
      <c r="B5262" s="2410" t="s">
        <v>6392</v>
      </c>
      <c r="C5262" s="2410" t="s">
        <v>6215</v>
      </c>
      <c r="D5262" s="2424" t="s">
        <v>1418</v>
      </c>
    </row>
    <row r="5263" spans="1:4" ht="12.75" customHeight="1">
      <c r="A5263" s="2410" t="str">
        <f t="shared" si="94"/>
        <v>GVE-Faktor</v>
      </c>
      <c r="B5263" s="2410" t="s">
        <v>2368</v>
      </c>
      <c r="C5263" s="2410" t="s">
        <v>2477</v>
      </c>
      <c r="D5263" s="2424" t="s">
        <v>10713</v>
      </c>
    </row>
    <row r="5264" spans="1:4" ht="12.75" customHeight="1">
      <c r="A5264" s="2410" t="str">
        <f t="shared" si="94"/>
        <v>GVE Betrieb</v>
      </c>
      <c r="B5264" s="2410" t="s">
        <v>2369</v>
      </c>
      <c r="C5264" s="2410" t="s">
        <v>2478</v>
      </c>
      <c r="D5264" s="2424" t="s">
        <v>10714</v>
      </c>
    </row>
    <row r="5265" spans="1:4" ht="12.75" customHeight="1">
      <c r="A5265" s="2410" t="str">
        <f t="shared" si="94"/>
        <v>GVE Sömmerung</v>
      </c>
      <c r="B5265" s="2410" t="s">
        <v>2613</v>
      </c>
      <c r="C5265" s="2410" t="s">
        <v>3488</v>
      </c>
      <c r="D5265" s="2424" t="s">
        <v>10715</v>
      </c>
    </row>
    <row r="5266" spans="1:4" ht="12.75" customHeight="1">
      <c r="A5266" s="2410" t="str">
        <f t="shared" si="94"/>
        <v>GVE      total</v>
      </c>
      <c r="B5266" s="2410" t="s">
        <v>3703</v>
      </c>
      <c r="C5266" s="2410" t="s">
        <v>6375</v>
      </c>
      <c r="D5266" s="2424" t="s">
        <v>9222</v>
      </c>
    </row>
    <row r="5267" spans="1:4" ht="12.75" customHeight="1">
      <c r="A5267" s="2410" t="str">
        <f t="shared" si="94"/>
        <v>Stück</v>
      </c>
      <c r="B5267" s="2410" t="s">
        <v>4322</v>
      </c>
      <c r="C5267" s="2410" t="s">
        <v>3489</v>
      </c>
      <c r="D5267" s="2424" t="s">
        <v>8569</v>
      </c>
    </row>
    <row r="5268" spans="1:4" ht="12.75" customHeight="1">
      <c r="A5268" s="2410" t="str">
        <f t="shared" si="94"/>
        <v>Kühe</v>
      </c>
      <c r="B5268" s="2410" t="s">
        <v>4323</v>
      </c>
      <c r="C5268" s="2410" t="s">
        <v>3490</v>
      </c>
      <c r="D5268" s="2424" t="s">
        <v>10716</v>
      </c>
    </row>
    <row r="5269" spans="1:4" ht="12.75" customHeight="1">
      <c r="A5269" s="2410" t="str">
        <f t="shared" si="94"/>
        <v xml:space="preserve">Milchkühe </v>
      </c>
      <c r="B5269" s="2410" t="s">
        <v>5022</v>
      </c>
      <c r="C5269" s="2410" t="s">
        <v>709</v>
      </c>
      <c r="D5269" s="2424" t="s">
        <v>8572</v>
      </c>
    </row>
    <row r="5270" spans="1:4" ht="12.75" customHeight="1">
      <c r="A5270" s="2410" t="str">
        <f t="shared" si="94"/>
        <v>Andere Kühe</v>
      </c>
      <c r="B5270" s="2410" t="s">
        <v>5023</v>
      </c>
      <c r="C5270" s="2410" t="s">
        <v>2028</v>
      </c>
      <c r="D5270" s="2424" t="s">
        <v>9338</v>
      </c>
    </row>
    <row r="5271" spans="1:4" ht="12.75" customHeight="1">
      <c r="A5271" s="2410" t="str">
        <f t="shared" si="94"/>
        <v>Andere Tiere</v>
      </c>
      <c r="B5271" s="2410" t="s">
        <v>5736</v>
      </c>
      <c r="C5271" s="2410" t="s">
        <v>136</v>
      </c>
      <c r="D5271" s="2424" t="s">
        <v>10717</v>
      </c>
    </row>
    <row r="5272" spans="1:4" ht="12.75" customHeight="1">
      <c r="A5272" s="2410" t="str">
        <f t="shared" si="94"/>
        <v>über 730 Tage</v>
      </c>
      <c r="B5272" s="3423" t="s">
        <v>12212</v>
      </c>
      <c r="C5272" s="2410" t="s">
        <v>1893</v>
      </c>
      <c r="D5272" s="2424" t="s">
        <v>10718</v>
      </c>
    </row>
    <row r="5273" spans="1:4" ht="12.75" customHeight="1">
      <c r="A5273" s="2410" t="str">
        <f t="shared" si="94"/>
        <v>über 365 bis 730 Tage</v>
      </c>
      <c r="B5273" s="3423" t="s">
        <v>12209</v>
      </c>
      <c r="C5273" s="2410" t="s">
        <v>1894</v>
      </c>
      <c r="D5273" s="2424" t="s">
        <v>10719</v>
      </c>
    </row>
    <row r="5274" spans="1:4" ht="12.75" customHeight="1">
      <c r="A5274" s="2410" t="str">
        <f t="shared" si="94"/>
        <v>über 160 bis 365 Tage</v>
      </c>
      <c r="B5274" s="3423" t="s">
        <v>12210</v>
      </c>
      <c r="C5274" s="2410" t="s">
        <v>2997</v>
      </c>
      <c r="D5274" s="2424" t="s">
        <v>10720</v>
      </c>
    </row>
    <row r="5275" spans="1:4" ht="12.75" customHeight="1">
      <c r="A5275" s="2410" t="str">
        <f t="shared" si="94"/>
        <v>bis 160 Tage</v>
      </c>
      <c r="B5275" s="3423" t="s">
        <v>12211</v>
      </c>
      <c r="C5275" s="2410" t="s">
        <v>2996</v>
      </c>
      <c r="D5275" s="2424" t="s">
        <v>10721</v>
      </c>
    </row>
    <row r="5276" spans="1:4" ht="12.75" customHeight="1">
      <c r="A5276" s="2410" t="str">
        <f t="shared" si="94"/>
        <v>0.13</v>
      </c>
      <c r="B5276" s="2410" t="str">
        <f>"0.13"</f>
        <v>0.13</v>
      </c>
      <c r="C5276" s="2410" t="str">
        <f>"0.13"</f>
        <v>0.13</v>
      </c>
      <c r="D5276" s="2424" t="s">
        <v>10722</v>
      </c>
    </row>
    <row r="5277" spans="1:4" ht="12.75" customHeight="1">
      <c r="A5277" s="2410" t="str">
        <f t="shared" si="94"/>
        <v>0.33</v>
      </c>
      <c r="B5277" s="2410" t="str">
        <f>"0.33"</f>
        <v>0.33</v>
      </c>
      <c r="C5277" s="2410" t="str">
        <f>"0.33"</f>
        <v>0.33</v>
      </c>
      <c r="D5277" s="2424" t="s">
        <v>10723</v>
      </c>
    </row>
    <row r="5278" spans="1:4" ht="12.75" customHeight="1">
      <c r="A5278" s="2410" t="str">
        <f t="shared" si="94"/>
        <v>Total</v>
      </c>
      <c r="B5278" s="2410" t="s">
        <v>4802</v>
      </c>
      <c r="C5278" s="2410" t="s">
        <v>4802</v>
      </c>
      <c r="D5278" s="2424" t="s">
        <v>8612</v>
      </c>
    </row>
    <row r="5279" spans="1:4" ht="12.75" customHeight="1">
      <c r="A5279" s="2410" t="str">
        <f t="shared" si="94"/>
        <v xml:space="preserve">1) Achtung: </v>
      </c>
      <c r="B5279" s="2410" t="s">
        <v>5024</v>
      </c>
      <c r="C5279" s="2410" t="s">
        <v>6802</v>
      </c>
      <c r="D5279" s="2424" t="s">
        <v>10724</v>
      </c>
    </row>
    <row r="5280" spans="1:4" ht="24" customHeight="1">
      <c r="A5280" s="2410" t="str">
        <f t="shared" si="94"/>
        <v xml:space="preserve">Änderungen sind nur bei den GVE Betrieb und GVE Sömmerung möglich, die Totale sind berechnete Werte und somit nicht veränderbar. </v>
      </c>
      <c r="B5280" s="2410" t="s">
        <v>6436</v>
      </c>
      <c r="C5280" s="2410" t="s">
        <v>4424</v>
      </c>
      <c r="D5280" s="2424" t="s">
        <v>10725</v>
      </c>
    </row>
    <row r="5281" spans="1:4" ht="24" customHeight="1">
      <c r="A5281" s="2410" t="str">
        <f t="shared" si="94"/>
        <v>Hier vorgenommene Anpassungen des Tierbestandes wirken sich nur auf die Berechnungen der Direktzahlungen und der Standard-Arbeitskräfte aus, alle anderen Tabellenblätter beziehen ihre Werte immer aus dem Blatt "Tierbestand".</v>
      </c>
      <c r="B5281" s="2410" t="s">
        <v>7379</v>
      </c>
      <c r="C5281" s="2410" t="s">
        <v>5994</v>
      </c>
      <c r="D5281" s="2424" t="s">
        <v>10726</v>
      </c>
    </row>
    <row r="5282" spans="1:4" ht="12.75" customHeight="1">
      <c r="A5282" s="2410" t="str">
        <f t="shared" si="94"/>
        <v>Abbrechen</v>
      </c>
      <c r="B5282" s="2410" t="s">
        <v>6213</v>
      </c>
      <c r="C5282" s="2410" t="s">
        <v>5734</v>
      </c>
      <c r="D5282" s="2424" t="s">
        <v>10681</v>
      </c>
    </row>
    <row r="5283" spans="1:4" ht="12.75" customHeight="1">
      <c r="A5283" s="2410" t="str">
        <f t="shared" si="94"/>
        <v xml:space="preserve">auf Originalwerte zurücksetzen </v>
      </c>
      <c r="B5283" s="2410" t="s">
        <v>3131</v>
      </c>
      <c r="C5283" s="2410" t="s">
        <v>1</v>
      </c>
      <c r="D5283" s="2424" t="s">
        <v>10727</v>
      </c>
    </row>
    <row r="5284" spans="1:4" ht="12.75" customHeight="1">
      <c r="A5284" s="2410" t="str">
        <f t="shared" si="94"/>
        <v>Werte übernehmen</v>
      </c>
      <c r="B5284" s="2410" t="s">
        <v>2515</v>
      </c>
      <c r="C5284" s="2410" t="s">
        <v>2</v>
      </c>
      <c r="D5284" s="2424" t="s">
        <v>10728</v>
      </c>
    </row>
    <row r="5285" spans="1:4" ht="12.75" customHeight="1">
      <c r="A5285" s="2410" t="str">
        <f t="shared" si="94"/>
        <v>Dialog_Blatt</v>
      </c>
      <c r="B5285" s="2410" t="s">
        <v>2516</v>
      </c>
      <c r="C5285" s="2410" t="s">
        <v>7240</v>
      </c>
      <c r="D5285" s="2424" t="s">
        <v>10729</v>
      </c>
    </row>
    <row r="5286" spans="1:4" ht="12.75" customHeight="1">
      <c r="A5286" s="2410" t="str">
        <f t="shared" si="94"/>
        <v>Blatt wählen</v>
      </c>
      <c r="B5286" s="2410" t="s">
        <v>3409</v>
      </c>
      <c r="C5286" s="2410" t="s">
        <v>7241</v>
      </c>
      <c r="D5286" s="2424" t="s">
        <v>10730</v>
      </c>
    </row>
    <row r="5287" spans="1:4" ht="12.75" customHeight="1">
      <c r="A5287" s="2410" t="str">
        <f t="shared" si="94"/>
        <v>Abbrechen</v>
      </c>
      <c r="B5287" s="2410" t="s">
        <v>6213</v>
      </c>
      <c r="C5287" s="2410" t="s">
        <v>6214</v>
      </c>
      <c r="D5287" s="2424" t="s">
        <v>10681</v>
      </c>
    </row>
    <row r="5288" spans="1:4" ht="12.75" customHeight="1">
      <c r="A5288" s="2410" t="str">
        <f t="shared" si="94"/>
        <v>Dialog_Drucken</v>
      </c>
      <c r="B5288" s="2410" t="s">
        <v>5896</v>
      </c>
      <c r="C5288" s="2410" t="s">
        <v>5897</v>
      </c>
      <c r="D5288" s="2424" t="s">
        <v>10731</v>
      </c>
    </row>
    <row r="5289" spans="1:4" ht="12.75" customHeight="1">
      <c r="A5289" s="2410" t="str">
        <f t="shared" si="94"/>
        <v>Tabellenblätter</v>
      </c>
      <c r="B5289" s="2410" t="s">
        <v>3408</v>
      </c>
      <c r="C5289" s="2410" t="s">
        <v>3820</v>
      </c>
      <c r="D5289" s="2424" t="s">
        <v>10732</v>
      </c>
    </row>
    <row r="5290" spans="1:4" ht="12.75" customHeight="1">
      <c r="A5290" s="2410" t="str">
        <f t="shared" si="94"/>
        <v>Drucken</v>
      </c>
      <c r="B5290" s="2410" t="s">
        <v>6211</v>
      </c>
      <c r="C5290" s="2410" t="s">
        <v>7239</v>
      </c>
      <c r="D5290" s="2424" t="s">
        <v>10733</v>
      </c>
    </row>
    <row r="5291" spans="1:4" ht="12.75" customHeight="1">
      <c r="A5291" s="2410" t="str">
        <f t="shared" si="94"/>
        <v>Alles/Nichts markieren</v>
      </c>
      <c r="B5291" s="2410" t="s">
        <v>6209</v>
      </c>
      <c r="C5291" s="2410" t="s">
        <v>3813</v>
      </c>
      <c r="D5291" s="2424" t="s">
        <v>10734</v>
      </c>
    </row>
    <row r="5292" spans="1:4" ht="12.75" customHeight="1">
      <c r="A5292" s="2410" t="str">
        <f t="shared" si="94"/>
        <v>Titelblatt drucken</v>
      </c>
      <c r="B5292" s="2410" t="s">
        <v>6210</v>
      </c>
      <c r="C5292" s="2410" t="s">
        <v>3821</v>
      </c>
      <c r="D5292" s="2424" t="s">
        <v>10735</v>
      </c>
    </row>
    <row r="5293" spans="1:4" ht="12.75" customHeight="1">
      <c r="A5293" s="2410" t="str">
        <f t="shared" si="94"/>
        <v>Drucken</v>
      </c>
      <c r="B5293" s="2410" t="s">
        <v>6211</v>
      </c>
      <c r="C5293" s="2410" t="s">
        <v>6212</v>
      </c>
      <c r="D5293" s="2424" t="s">
        <v>10733</v>
      </c>
    </row>
    <row r="5294" spans="1:4" ht="12.75" customHeight="1">
      <c r="A5294" s="2410" t="str">
        <f t="shared" si="94"/>
        <v>Abbrechen</v>
      </c>
      <c r="B5294" s="2410" t="s">
        <v>6213</v>
      </c>
      <c r="C5294" s="2410" t="s">
        <v>6214</v>
      </c>
      <c r="D5294" s="2424" t="s">
        <v>10681</v>
      </c>
    </row>
    <row r="5295" spans="1:4" ht="12.75" customHeight="1">
      <c r="A5295" s="2410" t="str">
        <f t="shared" si="94"/>
        <v>Texte im Code</v>
      </c>
      <c r="B5295" s="2410" t="s">
        <v>3148</v>
      </c>
      <c r="C5295" s="2410" t="s">
        <v>3</v>
      </c>
      <c r="D5295" s="2424" t="s">
        <v>10736</v>
      </c>
    </row>
    <row r="5296" spans="1:4" ht="12.75" customHeight="1">
      <c r="A5296" s="2410" t="str">
        <f t="shared" si="94"/>
        <v>Stück</v>
      </c>
      <c r="B5296" s="2410" t="s">
        <v>4322</v>
      </c>
      <c r="C5296" s="2410" t="s">
        <v>5260</v>
      </c>
      <c r="D5296" s="2424" t="s">
        <v>1723</v>
      </c>
    </row>
    <row r="5297" spans="1:4" ht="12.75" customHeight="1">
      <c r="A5297" s="2410" t="str">
        <f t="shared" si="94"/>
        <v>Rapskuchen</v>
      </c>
      <c r="B5297" s="2410" t="s">
        <v>5190</v>
      </c>
      <c r="C5297" s="2410" t="s">
        <v>5191</v>
      </c>
      <c r="D5297" s="2424" t="s">
        <v>10737</v>
      </c>
    </row>
    <row r="5298" spans="1:4" ht="12.75" customHeight="1">
      <c r="A5298" s="2410">
        <f t="shared" si="94"/>
        <v>0</v>
      </c>
      <c r="B5298" s="2410"/>
      <c r="C5298" s="2410"/>
      <c r="D5298" s="2414"/>
    </row>
    <row r="5299" spans="1:4" ht="12.75" customHeight="1">
      <c r="A5299" s="2410" t="str">
        <f t="shared" si="94"/>
        <v>SuiBi: Formular E Vergärungsprodukte und Ernterückstände Gemüse</v>
      </c>
      <c r="B5299" s="2410" t="s">
        <v>7683</v>
      </c>
      <c r="C5299" s="2410" t="s">
        <v>8317</v>
      </c>
      <c r="D5299" s="2414" t="s">
        <v>10738</v>
      </c>
    </row>
    <row r="5300" spans="1:4" ht="24" customHeight="1">
      <c r="A5300" s="2410" t="str">
        <f t="shared" si="94"/>
        <v>Berechnung des betriebsspezifischen N-Ausnutzungsgrades für flüssige Vergärungsprodukte und Ernterückstände Gemüse</v>
      </c>
      <c r="B5300" s="2410" t="s">
        <v>7701</v>
      </c>
      <c r="C5300" s="2410" t="s">
        <v>8318</v>
      </c>
      <c r="D5300" s="2414" t="s">
        <v>10739</v>
      </c>
    </row>
    <row r="5301" spans="1:4" ht="12.75" customHeight="1">
      <c r="A5301" s="2410" t="str">
        <f t="shared" si="94"/>
        <v>Basis N-Ausnutzungsgrad</v>
      </c>
      <c r="B5301" s="2410" t="s">
        <v>4410</v>
      </c>
      <c r="C5301" s="2410" t="s">
        <v>7219</v>
      </c>
      <c r="D5301" s="2414" t="s">
        <v>8800</v>
      </c>
    </row>
    <row r="5302" spans="1:4" ht="12.75" customHeight="1">
      <c r="A5302" s="2410" t="str">
        <f t="shared" si="94"/>
        <v>abzüglich</v>
      </c>
      <c r="B5302" s="2410" t="s">
        <v>3704</v>
      </c>
      <c r="C5302" s="2410" t="s">
        <v>3669</v>
      </c>
      <c r="D5302" s="2414" t="s">
        <v>4406</v>
      </c>
    </row>
    <row r="5303" spans="1:4" ht="12.75" customHeight="1">
      <c r="A5303" s="2410" t="str">
        <f t="shared" si="94"/>
        <v>Offene Ackerfläche x 0.15</v>
      </c>
      <c r="B5303" s="2410" t="s">
        <v>6665</v>
      </c>
      <c r="C5303" s="2410" t="s">
        <v>3670</v>
      </c>
      <c r="D5303" s="2414" t="s">
        <v>11151</v>
      </c>
    </row>
    <row r="5304" spans="1:4" ht="12.75" customHeight="1">
      <c r="A5304" s="2410" t="str">
        <f t="shared" si="94"/>
        <v>Total betriebsspezifischer Ausnutzungsgrad</v>
      </c>
      <c r="B5304" s="2410" t="s">
        <v>4119</v>
      </c>
      <c r="C5304" s="2410" t="s">
        <v>6084</v>
      </c>
      <c r="D5304" s="2414" t="s">
        <v>8801</v>
      </c>
    </row>
    <row r="5305" spans="1:4" ht="12.75" customHeight="1">
      <c r="A5305" s="2410" t="str">
        <f t="shared" si="94"/>
        <v>Flüssige Vergärungsprodukte</v>
      </c>
      <c r="B5305" s="2410" t="s">
        <v>7693</v>
      </c>
      <c r="C5305" s="2410" t="s">
        <v>2711</v>
      </c>
      <c r="D5305" s="2414" t="s">
        <v>10740</v>
      </c>
    </row>
    <row r="5306" spans="1:4" ht="12.75" customHeight="1">
      <c r="A5306" s="2410" t="str">
        <f t="shared" si="94"/>
        <v>Gärgülle und Gärdünngülle, Hofdünger</v>
      </c>
      <c r="B5306" s="2410" t="s">
        <v>7684</v>
      </c>
      <c r="C5306" s="2410" t="s">
        <v>8319</v>
      </c>
      <c r="D5306" s="2414" t="s">
        <v>11320</v>
      </c>
    </row>
    <row r="5307" spans="1:4" ht="12.75" customHeight="1">
      <c r="A5307" s="2410" t="str">
        <f t="shared" si="94"/>
        <v>Güllegruben-Nr.</v>
      </c>
      <c r="B5307" s="2410" t="s">
        <v>11077</v>
      </c>
      <c r="C5307" s="2410" t="str">
        <f>B5307</f>
        <v>Güllegruben-Nr.</v>
      </c>
      <c r="D5307" s="2414" t="s">
        <v>11071</v>
      </c>
    </row>
    <row r="5308" spans="1:4" ht="12.75" customHeight="1">
      <c r="A5308" s="2410" t="str">
        <f t="shared" si="94"/>
        <v>Mistplatz-Nr.</v>
      </c>
      <c r="B5308" s="2410" t="s">
        <v>11076</v>
      </c>
      <c r="C5308" s="2410" t="str">
        <f>B5308</f>
        <v>Mistplatz-Nr.</v>
      </c>
      <c r="D5308" s="2414" t="s">
        <v>11072</v>
      </c>
    </row>
    <row r="5309" spans="1:4" ht="12.75" customHeight="1">
      <c r="A5309" s="2410" t="str">
        <f t="shared" si="94"/>
        <v>Ver-, Zukauf Grundfutter</v>
      </c>
      <c r="B5309" s="2410" t="s">
        <v>11075</v>
      </c>
      <c r="C5309" s="2410" t="str">
        <f>B5309</f>
        <v>Ver-, Zukauf Grundfutter</v>
      </c>
      <c r="D5309" s="2414" t="s">
        <v>11073</v>
      </c>
    </row>
    <row r="5310" spans="1:4" ht="12.75" customHeight="1">
      <c r="A5310" s="2410" t="str">
        <f t="shared" si="94"/>
        <v>Zukauf Grundfutter, Produktion ausserhalb Futterfläche</v>
      </c>
      <c r="B5310" s="2410" t="s">
        <v>1591</v>
      </c>
      <c r="C5310" s="2410" t="str">
        <f>B5310</f>
        <v>Zukauf Grundfutter, Produktion ausserhalb Futterfläche</v>
      </c>
      <c r="D5310" s="2414" t="s">
        <v>11074</v>
      </c>
    </row>
    <row r="5311" spans="1:4" ht="12.75" customHeight="1">
      <c r="A5311" s="2410" t="str">
        <f t="shared" si="94"/>
        <v>Gärgut und flüssiges Gärgut, Recyclingdünger</v>
      </c>
      <c r="B5311" s="2410" t="s">
        <v>7686</v>
      </c>
      <c r="C5311" s="2410" t="s">
        <v>8320</v>
      </c>
      <c r="D5311" s="2414" t="s">
        <v>10741</v>
      </c>
    </row>
    <row r="5312" spans="1:4" ht="12.75" customHeight="1">
      <c r="A5312" s="2410" t="str">
        <f t="shared" si="94"/>
        <v>Gärgut und flüssiges Gärgut; Recyclingdünger, CaCI2-Analyse</v>
      </c>
      <c r="B5312" s="2410" t="s">
        <v>7685</v>
      </c>
      <c r="C5312" s="2410" t="s">
        <v>7687</v>
      </c>
      <c r="D5312" s="2414" t="s">
        <v>10742</v>
      </c>
    </row>
    <row r="5313" spans="1:4" ht="12.75" customHeight="1">
      <c r="A5313" s="2410" t="str">
        <f t="shared" si="94"/>
        <v>Menge</v>
      </c>
      <c r="B5313" s="2410" t="s">
        <v>5418</v>
      </c>
      <c r="C5313" s="2410" t="s">
        <v>3429</v>
      </c>
      <c r="D5313" s="2414" t="s">
        <v>2271</v>
      </c>
    </row>
    <row r="5314" spans="1:4" ht="12.75" customHeight="1">
      <c r="A5314" s="2410" t="str">
        <f t="shared" si="94"/>
        <v>Nährstoffgehalt in kg pro Einheit</v>
      </c>
      <c r="B5314" s="2410" t="s">
        <v>7700</v>
      </c>
      <c r="C5314" s="2410" t="s">
        <v>7242</v>
      </c>
      <c r="D5314" s="2414" t="s">
        <v>10743</v>
      </c>
    </row>
    <row r="5315" spans="1:4" ht="12.75" customHeight="1">
      <c r="A5315" s="2410" t="str">
        <f t="shared" si="94"/>
        <v>Nährstoffmenge in kg pro Jahr</v>
      </c>
      <c r="B5315" s="2410" t="s">
        <v>7699</v>
      </c>
      <c r="C5315" s="2410" t="s">
        <v>806</v>
      </c>
      <c r="D5315" s="2414" t="s">
        <v>10744</v>
      </c>
    </row>
    <row r="5316" spans="1:4" ht="12.75" customHeight="1">
      <c r="A5316" s="2410" t="str">
        <f t="shared" si="94"/>
        <v>Nges</v>
      </c>
      <c r="B5316" s="2410" t="s">
        <v>5419</v>
      </c>
      <c r="C5316" s="2410" t="s">
        <v>1538</v>
      </c>
      <c r="D5316" s="2414" t="s">
        <v>1538</v>
      </c>
    </row>
    <row r="5317" spans="1:4" ht="12.75" customHeight="1">
      <c r="A5317" s="2410" t="str">
        <f t="shared" si="94"/>
        <v>Nverf</v>
      </c>
      <c r="B5317" s="2410" t="s">
        <v>5721</v>
      </c>
      <c r="C5317" s="2410" t="s">
        <v>5722</v>
      </c>
      <c r="D5317" s="2414" t="s">
        <v>5722</v>
      </c>
    </row>
    <row r="5318" spans="1:4" ht="12.75" customHeight="1">
      <c r="A5318" s="2410" t="str">
        <f t="shared" si="94"/>
        <v>P2O5</v>
      </c>
      <c r="B5318" s="2410" t="s">
        <v>1513</v>
      </c>
      <c r="C5318" s="2410" t="s">
        <v>1513</v>
      </c>
      <c r="D5318" s="2414" t="s">
        <v>1513</v>
      </c>
    </row>
    <row r="5319" spans="1:4" ht="12.75" customHeight="1">
      <c r="A5319" s="2410" t="str">
        <f t="shared" si="94"/>
        <v>Mg</v>
      </c>
      <c r="B5319" s="2410" t="s">
        <v>7031</v>
      </c>
      <c r="C5319" s="2410" t="s">
        <v>7031</v>
      </c>
      <c r="D5319" s="2414" t="s">
        <v>7031</v>
      </c>
    </row>
    <row r="5320" spans="1:4" ht="12.75" customHeight="1">
      <c r="A5320" s="2410" t="str">
        <f t="shared" si="94"/>
        <v>K</v>
      </c>
      <c r="B5320" s="2410" t="s">
        <v>4702</v>
      </c>
      <c r="C5320" s="2410" t="s">
        <v>4702</v>
      </c>
      <c r="D5320" s="2414" t="s">
        <v>4702</v>
      </c>
    </row>
    <row r="5321" spans="1:4" ht="12.75" customHeight="1">
      <c r="A5321" s="2410" t="str">
        <f t="shared" si="94"/>
        <v>E1: Flüssige Vergärungsprodukte</v>
      </c>
      <c r="B5321" s="2410" t="s">
        <v>6926</v>
      </c>
      <c r="C5321" s="2410" t="s">
        <v>1274</v>
      </c>
      <c r="D5321" s="2414" t="s">
        <v>10745</v>
      </c>
    </row>
    <row r="5322" spans="1:4" ht="12.75" customHeight="1">
      <c r="A5322" s="2410" t="str">
        <f t="shared" si="94"/>
        <v>Wird ins Hauptformular "Suisse-Bilanz - Formular E" übertragen:</v>
      </c>
      <c r="B5322" s="2410" t="s">
        <v>7698</v>
      </c>
      <c r="C5322" s="2410" t="s">
        <v>7697</v>
      </c>
      <c r="D5322" s="2414" t="s">
        <v>10746</v>
      </c>
    </row>
    <row r="5323" spans="1:4" ht="12.75" customHeight="1">
      <c r="A5323" s="2410" t="str">
        <f t="shared" si="94"/>
        <v>Feste Vergärungsprodukte</v>
      </c>
      <c r="B5323" s="2410" t="s">
        <v>7692</v>
      </c>
      <c r="C5323" s="2410" t="s">
        <v>8321</v>
      </c>
      <c r="D5323" s="2414" t="s">
        <v>10747</v>
      </c>
    </row>
    <row r="5324" spans="1:4" ht="12.75" customHeight="1">
      <c r="A5324" s="2410" t="str">
        <f t="shared" ref="A5324:A5392" si="95">IF($A$2=1,B5324,IF($A$2=2,C5324,IF($A$2=3,IF(D5324="",C5324,D5324),"")))</f>
        <v>Gärmist, Hofdünger</v>
      </c>
      <c r="B5324" s="2410" t="s">
        <v>7688</v>
      </c>
      <c r="C5324" s="2410" t="s">
        <v>7690</v>
      </c>
      <c r="D5324" s="2414" t="s">
        <v>10748</v>
      </c>
    </row>
    <row r="5325" spans="1:4" ht="12.75" customHeight="1">
      <c r="A5325" s="2410" t="str">
        <f t="shared" si="95"/>
        <v>Festes Gärgut, Recyclingdünger</v>
      </c>
      <c r="B5325" s="2410" t="s">
        <v>7689</v>
      </c>
      <c r="C5325" s="2410" t="s">
        <v>7691</v>
      </c>
      <c r="D5325" s="2414" t="s">
        <v>10749</v>
      </c>
    </row>
    <row r="5326" spans="1:4" ht="12.75" customHeight="1">
      <c r="A5326" s="2410" t="str">
        <f t="shared" si="95"/>
        <v>Festes Gärgut: Recyclingdünger, CaCI2-Analyse</v>
      </c>
      <c r="B5326" s="2410" t="s">
        <v>8327</v>
      </c>
      <c r="C5326" s="2410" t="s">
        <v>8328</v>
      </c>
      <c r="D5326" s="2414" t="s">
        <v>10750</v>
      </c>
    </row>
    <row r="5327" spans="1:4" ht="12.75" customHeight="1">
      <c r="A5327" s="2410" t="str">
        <f t="shared" si="95"/>
        <v>E2: Feste Vergärungsprodukte</v>
      </c>
      <c r="B5327" s="2410" t="s">
        <v>6949</v>
      </c>
      <c r="C5327" s="2410" t="s">
        <v>371</v>
      </c>
      <c r="D5327" s="2414" t="s">
        <v>10751</v>
      </c>
    </row>
    <row r="5328" spans="1:4" ht="12.75" customHeight="1">
      <c r="A5328" s="2410" t="str">
        <f t="shared" si="95"/>
        <v>Ernterückstände Gemüse</v>
      </c>
      <c r="B5328" s="2410" t="s">
        <v>7694</v>
      </c>
      <c r="C5328" s="2410" t="s">
        <v>8322</v>
      </c>
      <c r="D5328" s="2414" t="s">
        <v>10752</v>
      </c>
    </row>
    <row r="5329" spans="1:5" ht="12.75" customHeight="1">
      <c r="A5329" s="2410" t="str">
        <f t="shared" si="95"/>
        <v>E3: Ernterückstände Gemüse</v>
      </c>
      <c r="B5329" s="2410" t="s">
        <v>7695</v>
      </c>
      <c r="C5329" s="2410" t="s">
        <v>8323</v>
      </c>
      <c r="D5329" s="2414" t="s">
        <v>10753</v>
      </c>
    </row>
    <row r="5330" spans="1:5" ht="12.75" customHeight="1">
      <c r="A5330" s="2410">
        <f t="shared" si="95"/>
        <v>0</v>
      </c>
      <c r="B5330" s="2410"/>
      <c r="C5330" s="2410"/>
      <c r="D5330" s="2414"/>
    </row>
    <row r="5331" spans="1:5" ht="12.75" customHeight="1">
      <c r="A5331" s="2410">
        <f t="shared" si="95"/>
        <v>0</v>
      </c>
      <c r="B5331" s="2410"/>
      <c r="C5331" s="2410"/>
      <c r="D5331" s="2414"/>
    </row>
    <row r="5332" spans="1:5" ht="12.75" customHeight="1">
      <c r="A5332" s="2410" t="str">
        <f t="shared" si="95"/>
        <v>Fussnote</v>
      </c>
      <c r="B5332" s="2410" t="s">
        <v>6950</v>
      </c>
      <c r="C5332" s="2410" t="s">
        <v>372</v>
      </c>
      <c r="D5332" s="2414" t="s">
        <v>11321</v>
      </c>
    </row>
    <row r="5333" spans="1:5" ht="24" customHeight="1">
      <c r="A5333" s="2410" t="str">
        <f t="shared" si="95"/>
        <v>14] Betriebsspezifischer N-Ausnutzungsgrad für flüssige Vergärungsprodukte und Ernterückstände Gemüse, siehe Wegleitung.</v>
      </c>
      <c r="B5333" s="2410" t="s">
        <v>7702</v>
      </c>
      <c r="C5333" s="2410" t="s">
        <v>8324</v>
      </c>
      <c r="D5333" s="2414" t="s">
        <v>10754</v>
      </c>
    </row>
    <row r="5334" spans="1:5" ht="12.75" customHeight="1">
      <c r="A5334" s="2410" t="str">
        <f t="shared" si="95"/>
        <v>15] Übertrag der Vergärungsprodukte gemäss Auszug HODUFLU</v>
      </c>
      <c r="B5334" s="2410" t="s">
        <v>3743</v>
      </c>
      <c r="C5334" s="2410" t="s">
        <v>7368</v>
      </c>
      <c r="D5334" s="2414" t="s">
        <v>10755</v>
      </c>
    </row>
    <row r="5335" spans="1:5" ht="12.75" customHeight="1">
      <c r="A5335" s="2410" t="str">
        <f t="shared" si="95"/>
        <v>16] Umrechnung Nges zu Nverf mit Faktor 0.2</v>
      </c>
      <c r="B5335" s="2410" t="s">
        <v>1276</v>
      </c>
      <c r="C5335" s="2410" t="s">
        <v>1277</v>
      </c>
      <c r="D5335" s="2414" t="s">
        <v>11322</v>
      </c>
    </row>
    <row r="5336" spans="1:5" ht="12.75" customHeight="1">
      <c r="A5336" s="2410" t="str">
        <f t="shared" si="95"/>
        <v>Einheit</v>
      </c>
      <c r="B5336" s="2410" t="s">
        <v>6392</v>
      </c>
      <c r="C5336" s="2410" t="s">
        <v>6215</v>
      </c>
      <c r="D5336" s="2414" t="s">
        <v>1418</v>
      </c>
    </row>
    <row r="5337" spans="1:5" ht="12.75" customHeight="1">
      <c r="A5337" s="2410" t="str">
        <f t="shared" si="95"/>
        <v>Übertrag aus Zusatzformular E</v>
      </c>
      <c r="B5337" s="2410" t="s">
        <v>7788</v>
      </c>
      <c r="C5337" s="2410" t="s">
        <v>7789</v>
      </c>
      <c r="D5337" s="2414" t="s">
        <v>10756</v>
      </c>
    </row>
    <row r="5338" spans="1:5" ht="12.75" customHeight="1">
      <c r="A5338" s="2410" t="str">
        <f t="shared" si="95"/>
        <v>Düngerart</v>
      </c>
      <c r="B5338" s="2410" t="s">
        <v>5337</v>
      </c>
      <c r="C5338" s="2410" t="s">
        <v>4421</v>
      </c>
      <c r="D5338" s="2414" t="s">
        <v>6459</v>
      </c>
    </row>
    <row r="5339" spans="1:5" ht="12.75" customHeight="1">
      <c r="A5339" s="2410"/>
      <c r="B5339" s="2410" t="s">
        <v>2907</v>
      </c>
      <c r="C5339" s="2410" t="s">
        <v>8351</v>
      </c>
      <c r="D5339" s="2414" t="s">
        <v>4764</v>
      </c>
      <c r="E5339" s="2413">
        <v>-1</v>
      </c>
    </row>
    <row r="5340" spans="1:5" ht="12.75" customHeight="1">
      <c r="A5340" s="2410" t="str">
        <f t="shared" si="95"/>
        <v>E: Gesamttotal Vergärungsprodukte und Ernterückstände Gemüse</v>
      </c>
      <c r="B5340" s="2410" t="s">
        <v>7790</v>
      </c>
      <c r="C5340" s="2410" t="s">
        <v>8325</v>
      </c>
      <c r="D5340" s="2414" t="s">
        <v>10757</v>
      </c>
    </row>
    <row r="5341" spans="1:5" ht="12.75" customHeight="1">
      <c r="A5341" s="2410" t="str">
        <f t="shared" si="95"/>
        <v>[ + ] Zufuhr von Vergärungsprodukten und Ernterückstände Gemüse</v>
      </c>
      <c r="B5341" s="2410" t="s">
        <v>7791</v>
      </c>
      <c r="C5341" s="2410" t="s">
        <v>8326</v>
      </c>
      <c r="D5341" s="2414" t="s">
        <v>10758</v>
      </c>
    </row>
    <row r="5342" spans="1:5" ht="12.75" customHeight="1">
      <c r="A5342" s="2410" t="str">
        <f t="shared" si="95"/>
        <v>Vergärungsprodukte:</v>
      </c>
      <c r="B5342" s="2410" t="s">
        <v>5134</v>
      </c>
      <c r="C5342" s="2410" t="s">
        <v>5135</v>
      </c>
      <c r="D5342" s="2414" t="s">
        <v>10759</v>
      </c>
    </row>
    <row r="5343" spans="1:5" ht="12.75" customHeight="1">
      <c r="A5343" s="2410" t="str">
        <f t="shared" si="95"/>
        <v>Total Vergärungsprodukte und Ernterückstände Gemüse</v>
      </c>
      <c r="B5343" s="2410" t="s">
        <v>11362</v>
      </c>
      <c r="C5343" s="2410" t="s">
        <v>11363</v>
      </c>
      <c r="D5343" s="2414" t="s">
        <v>11364</v>
      </c>
    </row>
    <row r="5344" spans="1:5" ht="12.75" customHeight="1">
      <c r="A5344" s="2410" t="str">
        <f t="shared" si="95"/>
        <v>liegenden Erträgen, kann der N-Bedarf erhöht werden (siehe Wegleitung)</v>
      </c>
      <c r="B5344" s="2410" t="s">
        <v>10997</v>
      </c>
      <c r="C5344" s="2410" t="s">
        <v>10998</v>
      </c>
      <c r="D5344" s="2414" t="s">
        <v>10973</v>
      </c>
    </row>
    <row r="5345" spans="1:4" ht="12.75" customHeight="1">
      <c r="A5345" s="2410">
        <f t="shared" si="95"/>
        <v>0</v>
      </c>
      <c r="B5345" s="2410"/>
      <c r="C5345" s="2410"/>
      <c r="D5345" s="2414"/>
    </row>
    <row r="5346" spans="1:4" ht="12.75" customHeight="1">
      <c r="A5346" s="2410" t="str">
        <f t="shared" si="95"/>
        <v>Deckungsbeitrag Mutterkühe</v>
      </c>
      <c r="B5346" s="2410" t="s">
        <v>6535</v>
      </c>
      <c r="C5346" s="2410" t="s">
        <v>6536</v>
      </c>
      <c r="D5346" s="2414" t="s">
        <v>10760</v>
      </c>
    </row>
    <row r="5347" spans="1:4" ht="12.75" customHeight="1">
      <c r="A5347" s="2410" t="str">
        <f t="shared" si="95"/>
        <v>Deckungsbeitrag Mutterkühe total</v>
      </c>
      <c r="B5347" s="2410" t="s">
        <v>7224</v>
      </c>
      <c r="C5347" s="2410" t="s">
        <v>7225</v>
      </c>
      <c r="D5347" s="2414" t="s">
        <v>10760</v>
      </c>
    </row>
    <row r="5348" spans="1:4" ht="12.75" customHeight="1">
      <c r="A5348" s="2410" t="str">
        <f t="shared" si="95"/>
        <v>Deckungsbeitrag Mutterkühe pro Mutterkuh</v>
      </c>
      <c r="B5348" s="2410" t="s">
        <v>7226</v>
      </c>
      <c r="C5348" s="2410" t="s">
        <v>7227</v>
      </c>
      <c r="D5348" s="2414" t="s">
        <v>10761</v>
      </c>
    </row>
    <row r="5349" spans="1:4" ht="12.75" customHeight="1">
      <c r="A5349" s="2410" t="str">
        <f t="shared" si="95"/>
        <v>Deckungsbeitrag Mutterkühe pro GVE</v>
      </c>
      <c r="B5349" s="2410" t="s">
        <v>1641</v>
      </c>
      <c r="C5349" s="2410" t="s">
        <v>2453</v>
      </c>
      <c r="D5349" s="2414" t="s">
        <v>10762</v>
      </c>
    </row>
    <row r="5350" spans="1:4" ht="12.75" customHeight="1">
      <c r="A5350" s="2410" t="str">
        <f t="shared" si="95"/>
        <v>Zurück zum Blatt Tierbestand</v>
      </c>
      <c r="B5350" s="2410" t="s">
        <v>2630</v>
      </c>
      <c r="C5350" s="2410" t="s">
        <v>2631</v>
      </c>
      <c r="D5350" s="2414" t="s">
        <v>10763</v>
      </c>
    </row>
    <row r="5351" spans="1:4" ht="12.75" customHeight="1">
      <c r="A5351" s="2410">
        <f t="shared" si="95"/>
        <v>0</v>
      </c>
      <c r="B5351" s="2410"/>
      <c r="C5351" s="2410"/>
      <c r="D5351" s="2414"/>
    </row>
    <row r="5352" spans="1:4" ht="12.75" customHeight="1">
      <c r="A5352" s="2410" t="str">
        <f t="shared" si="95"/>
        <v xml:space="preserve">Grunddaten Mutterkuhbestand </v>
      </c>
      <c r="B5352" s="2410" t="s">
        <v>3938</v>
      </c>
      <c r="C5352" s="2410" t="s">
        <v>1430</v>
      </c>
      <c r="D5352" s="2414" t="s">
        <v>10764</v>
      </c>
    </row>
    <row r="5353" spans="1:4" ht="12.75" customHeight="1">
      <c r="A5353" s="2410" t="str">
        <f t="shared" si="95"/>
        <v>Ø Mutterkuhbestand</v>
      </c>
      <c r="B5353" s="2410" t="s">
        <v>1431</v>
      </c>
      <c r="C5353" s="2410" t="s">
        <v>1432</v>
      </c>
      <c r="D5353" s="2414" t="s">
        <v>10765</v>
      </c>
    </row>
    <row r="5354" spans="1:4" ht="12.75" customHeight="1">
      <c r="A5354" s="2410" t="str">
        <f t="shared" si="95"/>
        <v>Anzahl Kälber pro Kuh</v>
      </c>
      <c r="B5354" s="2410" t="s">
        <v>1851</v>
      </c>
      <c r="C5354" s="2410" t="s">
        <v>1852</v>
      </c>
      <c r="D5354" s="2414" t="s">
        <v>10766</v>
      </c>
    </row>
    <row r="5355" spans="1:4" ht="12.75" customHeight="1">
      <c r="A5355" s="2410" t="str">
        <f t="shared" si="95"/>
        <v>Ø Anzahl Stiere</v>
      </c>
      <c r="B5355" s="2410" t="s">
        <v>1853</v>
      </c>
      <c r="C5355" s="2410" t="s">
        <v>1854</v>
      </c>
      <c r="D5355" s="2414" t="s">
        <v>10767</v>
      </c>
    </row>
    <row r="5356" spans="1:4" ht="12.75" customHeight="1">
      <c r="A5356" s="2410" t="str">
        <f t="shared" si="95"/>
        <v>Erstkalbealter</v>
      </c>
      <c r="B5356" s="2410" t="s">
        <v>2260</v>
      </c>
      <c r="C5356" s="2410" t="s">
        <v>1855</v>
      </c>
      <c r="D5356" s="2414" t="s">
        <v>8840</v>
      </c>
    </row>
    <row r="5357" spans="1:4" ht="12.75" customHeight="1">
      <c r="A5357" s="2410" t="str">
        <f t="shared" si="95"/>
        <v>Eigenremontierung</v>
      </c>
      <c r="B5357" s="2410" t="s">
        <v>1856</v>
      </c>
      <c r="C5357" s="2410" t="s">
        <v>1857</v>
      </c>
      <c r="D5357" s="2414" t="s">
        <v>10768</v>
      </c>
    </row>
    <row r="5358" spans="1:4" ht="12.75" customHeight="1">
      <c r="A5358" s="2410" t="str">
        <f t="shared" si="95"/>
        <v>ja</v>
      </c>
      <c r="B5358" s="2410" t="s">
        <v>4356</v>
      </c>
      <c r="C5358" s="2410" t="s">
        <v>5639</v>
      </c>
      <c r="D5358" s="2414" t="s">
        <v>1741</v>
      </c>
    </row>
    <row r="5359" spans="1:4" ht="12.75" customHeight="1">
      <c r="A5359" s="2410" t="str">
        <f t="shared" si="95"/>
        <v>nein</v>
      </c>
      <c r="B5359" s="2410" t="s">
        <v>3274</v>
      </c>
      <c r="C5359" s="2410" t="s">
        <v>5640</v>
      </c>
      <c r="D5359" s="2414" t="s">
        <v>1744</v>
      </c>
    </row>
    <row r="5360" spans="1:4" ht="12.75" customHeight="1">
      <c r="A5360" s="2410" t="str">
        <f t="shared" si="95"/>
        <v>Remontierungsrate</v>
      </c>
      <c r="B5360" s="2410" t="s">
        <v>1858</v>
      </c>
      <c r="C5360" s="2410" t="s">
        <v>1859</v>
      </c>
      <c r="D5360" s="2414" t="s">
        <v>1742</v>
      </c>
    </row>
    <row r="5361" spans="1:4" ht="12.75" customHeight="1">
      <c r="A5361" s="2410" t="str">
        <f t="shared" si="95"/>
        <v>Ø Nutzungsdauer Mutterkühe</v>
      </c>
      <c r="B5361" s="2410" t="s">
        <v>4763</v>
      </c>
      <c r="C5361" s="2410" t="s">
        <v>3314</v>
      </c>
      <c r="D5361" s="2414" t="s">
        <v>10769</v>
      </c>
    </row>
    <row r="5362" spans="1:4" ht="12.75" customHeight="1">
      <c r="A5362" s="2410" t="str">
        <f t="shared" si="95"/>
        <v>Ø Nutzungsdauer Stier</v>
      </c>
      <c r="B5362" s="2410" t="s">
        <v>3315</v>
      </c>
      <c r="C5362" s="2410" t="s">
        <v>3316</v>
      </c>
      <c r="D5362" s="2414" t="s">
        <v>10770</v>
      </c>
    </row>
    <row r="5363" spans="1:4" ht="12.75" customHeight="1">
      <c r="A5363" s="2410" t="str">
        <f t="shared" si="95"/>
        <v>Zwischenkalbezeit</v>
      </c>
      <c r="B5363" s="2410" t="s">
        <v>3317</v>
      </c>
      <c r="C5363" s="2410" t="s">
        <v>4143</v>
      </c>
      <c r="D5363" s="2414" t="s">
        <v>7089</v>
      </c>
    </row>
    <row r="5364" spans="1:4" ht="12.75" customHeight="1">
      <c r="A5364" s="2410" t="str">
        <f t="shared" si="95"/>
        <v>Tage</v>
      </c>
      <c r="B5364" s="2410" t="s">
        <v>6497</v>
      </c>
      <c r="C5364" s="2410" t="s">
        <v>3318</v>
      </c>
      <c r="D5364" s="2414" t="s">
        <v>649</v>
      </c>
    </row>
    <row r="5365" spans="1:4" ht="12.75" customHeight="1">
      <c r="A5365" s="2410" t="str">
        <f t="shared" si="95"/>
        <v>Kälberverlust</v>
      </c>
      <c r="B5365" s="2410" t="s">
        <v>3319</v>
      </c>
      <c r="C5365" s="2410" t="s">
        <v>3320</v>
      </c>
      <c r="D5365" s="2414" t="s">
        <v>10771</v>
      </c>
    </row>
    <row r="5366" spans="1:4" ht="12.75" customHeight="1">
      <c r="A5366" s="2410" t="str">
        <f t="shared" si="95"/>
        <v>Anzahl Ausmastplätze</v>
      </c>
      <c r="B5366" s="2410" t="s">
        <v>3321</v>
      </c>
      <c r="C5366" s="2410" t="s">
        <v>2579</v>
      </c>
      <c r="D5366" s="2414" t="s">
        <v>10772</v>
      </c>
    </row>
    <row r="5367" spans="1:4" ht="12.75" customHeight="1">
      <c r="A5367" s="2410" t="str">
        <f t="shared" si="95"/>
        <v>Ø Aufenthalt im Betrieb</v>
      </c>
      <c r="B5367" s="2410" t="s">
        <v>11035</v>
      </c>
      <c r="C5367" s="2410" t="s">
        <v>11034</v>
      </c>
      <c r="D5367" s="2414" t="s">
        <v>11033</v>
      </c>
    </row>
    <row r="5368" spans="1:4" ht="12.75" customHeight="1">
      <c r="A5368" s="2410" t="str">
        <f t="shared" si="95"/>
        <v>Die Anzahl der Ausmastplätze wird nicht automatisch in das Blatt Tiere übertragen.</v>
      </c>
      <c r="B5368" s="2410" t="s">
        <v>4612</v>
      </c>
      <c r="C5368" s="2410" t="s">
        <v>8123</v>
      </c>
      <c r="D5368" s="2414" t="s">
        <v>11323</v>
      </c>
    </row>
    <row r="5369" spans="1:4" ht="12.75" customHeight="1">
      <c r="A5369" s="2410" t="str">
        <f t="shared" si="95"/>
        <v>Kommentar</v>
      </c>
      <c r="B5369" s="2410" t="s">
        <v>2580</v>
      </c>
      <c r="C5369" s="2410" t="s">
        <v>4131</v>
      </c>
      <c r="D5369" s="2414" t="s">
        <v>8478</v>
      </c>
    </row>
    <row r="5370" spans="1:4" ht="12.75" customHeight="1">
      <c r="A5370" s="2410" t="str">
        <f t="shared" si="95"/>
        <v>Die hier aufgeführte Berechnung bezieht sich auf die Situation nach Aufbau der Herde!</v>
      </c>
      <c r="B5370" s="2410" t="s">
        <v>7274</v>
      </c>
      <c r="C5370" s="2410" t="s">
        <v>416</v>
      </c>
      <c r="D5370" s="2414" t="s">
        <v>10773</v>
      </c>
    </row>
    <row r="5371" spans="1:4" ht="12.75" customHeight="1">
      <c r="A5371" s="2410" t="str">
        <f t="shared" si="95"/>
        <v xml:space="preserve">Verkauf Ausmerzkühe </v>
      </c>
      <c r="B5371" s="2410" t="s">
        <v>417</v>
      </c>
      <c r="C5371" s="2410" t="s">
        <v>418</v>
      </c>
      <c r="D5371" s="2414" t="s">
        <v>10774</v>
      </c>
    </row>
    <row r="5372" spans="1:4" ht="12.75" customHeight="1">
      <c r="A5372" s="2410" t="str">
        <f t="shared" si="95"/>
        <v>Verkauf Nutz- oder Zuchtkühe</v>
      </c>
      <c r="B5372" s="2410" t="s">
        <v>419</v>
      </c>
      <c r="C5372" s="2410" t="s">
        <v>420</v>
      </c>
      <c r="D5372" s="2414" t="s">
        <v>11324</v>
      </c>
    </row>
    <row r="5373" spans="1:4" ht="12.75" customHeight="1">
      <c r="A5373" s="2410" t="str">
        <f t="shared" si="95"/>
        <v>Verkauf tragende Rinder</v>
      </c>
      <c r="B5373" s="2410" t="s">
        <v>421</v>
      </c>
      <c r="C5373" s="2410" t="s">
        <v>422</v>
      </c>
      <c r="D5373" s="2414" t="s">
        <v>10775</v>
      </c>
    </row>
    <row r="5374" spans="1:4" ht="12.75" customHeight="1">
      <c r="A5374" s="2410" t="str">
        <f t="shared" si="95"/>
        <v>Verkauf Kuh mit Kalb</v>
      </c>
      <c r="B5374" s="2410" t="s">
        <v>423</v>
      </c>
      <c r="C5374" s="2410" t="s">
        <v>424</v>
      </c>
      <c r="D5374" s="2414" t="s">
        <v>10776</v>
      </c>
    </row>
    <row r="5375" spans="1:4" ht="12.75" customHeight="1">
      <c r="A5375" s="2410" t="str">
        <f t="shared" si="95"/>
        <v>Verkauf Stier</v>
      </c>
      <c r="B5375" s="2410" t="s">
        <v>4213</v>
      </c>
      <c r="C5375" s="2410" t="s">
        <v>4214</v>
      </c>
      <c r="D5375" s="2414" t="s">
        <v>10777</v>
      </c>
    </row>
    <row r="5376" spans="1:4" ht="12.75" customHeight="1">
      <c r="A5376" s="2410" t="str">
        <f t="shared" si="95"/>
        <v>Verkauf Mastremonten</v>
      </c>
      <c r="B5376" s="2410" t="s">
        <v>3541</v>
      </c>
      <c r="C5376" s="2410" t="s">
        <v>4215</v>
      </c>
      <c r="D5376" s="2414" t="s">
        <v>8857</v>
      </c>
    </row>
    <row r="5377" spans="1:4" ht="12.75" customHeight="1">
      <c r="A5377" s="2410" t="str">
        <f t="shared" si="95"/>
        <v>Verkauf Natura-Veal</v>
      </c>
      <c r="B5377" s="2410" t="s">
        <v>8121</v>
      </c>
      <c r="C5377" s="2410" t="s">
        <v>8122</v>
      </c>
      <c r="D5377" s="2414" t="s">
        <v>10778</v>
      </c>
    </row>
    <row r="5378" spans="1:4" ht="12.75" customHeight="1">
      <c r="A5378" s="2410" t="str">
        <f t="shared" si="95"/>
        <v>Verkauf Natura-Beef</v>
      </c>
      <c r="B5378" s="2410" t="s">
        <v>4216</v>
      </c>
      <c r="C5378" s="2410" t="s">
        <v>4217</v>
      </c>
      <c r="D5378" s="2414" t="s">
        <v>3746</v>
      </c>
    </row>
    <row r="5379" spans="1:4" ht="12.75" customHeight="1">
      <c r="A5379" s="2410" t="str">
        <f t="shared" si="95"/>
        <v>Verkauf SwissPrimBeef</v>
      </c>
      <c r="B5379" s="2410" t="s">
        <v>4218</v>
      </c>
      <c r="C5379" s="2410" t="s">
        <v>7304</v>
      </c>
      <c r="D5379" s="2414" t="s">
        <v>1218</v>
      </c>
    </row>
    <row r="5380" spans="1:4" ht="12.75" customHeight="1">
      <c r="A5380" s="2410" t="str">
        <f t="shared" si="95"/>
        <v>Anderes:</v>
      </c>
      <c r="B5380" s="2410" t="s">
        <v>5592</v>
      </c>
      <c r="C5380" s="2410" t="s">
        <v>3350</v>
      </c>
      <c r="D5380" s="2414" t="s">
        <v>10779</v>
      </c>
    </row>
    <row r="5381" spans="1:4" ht="12.75" customHeight="1">
      <c r="A5381" s="2410" t="str">
        <f t="shared" si="95"/>
        <v xml:space="preserve">Direktvermarktung ab Hof </v>
      </c>
      <c r="B5381" s="2410" t="s">
        <v>224</v>
      </c>
      <c r="C5381" s="2410" t="s">
        <v>225</v>
      </c>
      <c r="D5381" s="2414" t="s">
        <v>5446</v>
      </c>
    </row>
    <row r="5382" spans="1:4" ht="12.75" customHeight="1">
      <c r="A5382" s="2410" t="str">
        <f t="shared" si="95"/>
        <v>kg Fleisch:</v>
      </c>
      <c r="B5382" s="2410" t="s">
        <v>226</v>
      </c>
      <c r="C5382" s="2410" t="s">
        <v>227</v>
      </c>
      <c r="D5382" s="2414" t="s">
        <v>10780</v>
      </c>
    </row>
    <row r="5383" spans="1:4" ht="12.75" customHeight="1">
      <c r="A5383" s="2410" t="str">
        <f t="shared" si="95"/>
        <v>kg Schlachtgewicht:</v>
      </c>
      <c r="B5383" s="2410" t="s">
        <v>7441</v>
      </c>
      <c r="C5383" s="2410" t="s">
        <v>7442</v>
      </c>
      <c r="D5383" s="2414" t="s">
        <v>10781</v>
      </c>
    </row>
    <row r="5384" spans="1:4" ht="12.75" customHeight="1">
      <c r="A5384" s="2410" t="str">
        <f t="shared" si="95"/>
        <v>Zukauf Mutterkühe</v>
      </c>
      <c r="B5384" s="2410" t="s">
        <v>7443</v>
      </c>
      <c r="C5384" s="2410" t="s">
        <v>7444</v>
      </c>
      <c r="D5384" s="2414" t="s">
        <v>10782</v>
      </c>
    </row>
    <row r="5385" spans="1:4" ht="12.75" customHeight="1">
      <c r="A5385" s="2410" t="str">
        <f t="shared" si="95"/>
        <v>Zukauf tragendes Rind</v>
      </c>
      <c r="B5385" s="2410" t="s">
        <v>7445</v>
      </c>
      <c r="C5385" s="2410" t="s">
        <v>7446</v>
      </c>
      <c r="D5385" s="2414" t="s">
        <v>10783</v>
      </c>
    </row>
    <row r="5386" spans="1:4" ht="12.75" customHeight="1">
      <c r="A5386" s="2410" t="str">
        <f t="shared" si="95"/>
        <v>Zukauf Kuh mit Kalb</v>
      </c>
      <c r="B5386" s="2410" t="s">
        <v>7447</v>
      </c>
      <c r="C5386" s="2410" t="s">
        <v>7448</v>
      </c>
      <c r="D5386" s="2414" t="s">
        <v>10784</v>
      </c>
    </row>
    <row r="5387" spans="1:4" ht="12.75" customHeight="1">
      <c r="A5387" s="2410" t="str">
        <f t="shared" si="95"/>
        <v>Zukauf Kalb</v>
      </c>
      <c r="B5387" s="2410" t="s">
        <v>7449</v>
      </c>
      <c r="C5387" s="2410" t="s">
        <v>7450</v>
      </c>
      <c r="D5387" s="2414" t="s">
        <v>10785</v>
      </c>
    </row>
    <row r="5388" spans="1:4" ht="12.75" customHeight="1">
      <c r="A5388" s="2410" t="str">
        <f t="shared" si="95"/>
        <v>Zukauf Deck- / Zuchtstier</v>
      </c>
      <c r="B5388" s="2410" t="s">
        <v>7451</v>
      </c>
      <c r="C5388" s="2410" t="s">
        <v>3377</v>
      </c>
      <c r="D5388" s="2414" t="s">
        <v>9244</v>
      </c>
    </row>
    <row r="5389" spans="1:4" ht="12.75" customHeight="1">
      <c r="A5389" s="2410" t="str">
        <f t="shared" si="95"/>
        <v xml:space="preserve">Zukauf Mastremonten </v>
      </c>
      <c r="B5389" s="2410" t="s">
        <v>7452</v>
      </c>
      <c r="C5389" s="2410" t="s">
        <v>6079</v>
      </c>
      <c r="D5389" s="2414" t="s">
        <v>8856</v>
      </c>
    </row>
    <row r="5390" spans="1:4" ht="12.75" customHeight="1">
      <c r="A5390" s="2410" t="str">
        <f t="shared" si="95"/>
        <v>Kraftfutter Kälber, inkl. Kühe</v>
      </c>
      <c r="B5390" s="2410" t="s">
        <v>8142</v>
      </c>
      <c r="C5390" s="2410" t="s">
        <v>8144</v>
      </c>
      <c r="D5390" s="2414" t="s">
        <v>10786</v>
      </c>
    </row>
    <row r="5391" spans="1:4" ht="12.75" customHeight="1">
      <c r="A5391" s="2410" t="str">
        <f t="shared" si="95"/>
        <v>Kosten für Ausmast: Kraftfutter, Tierarzt etc.</v>
      </c>
      <c r="B5391" s="2410" t="s">
        <v>8143</v>
      </c>
      <c r="C5391" s="2410" t="s">
        <v>8145</v>
      </c>
      <c r="D5391" s="2414" t="s">
        <v>10787</v>
      </c>
    </row>
    <row r="5392" spans="1:4" ht="12.75" customHeight="1">
      <c r="A5392" s="2410" t="str">
        <f t="shared" si="95"/>
        <v>Mineralsalz, Viehsalz</v>
      </c>
      <c r="B5392" s="2410" t="s">
        <v>1648</v>
      </c>
      <c r="C5392" s="2410" t="s">
        <v>6204</v>
      </c>
      <c r="D5392" s="2414" t="s">
        <v>1219</v>
      </c>
    </row>
    <row r="5393" spans="1:4" ht="12.75" customHeight="1">
      <c r="A5393" s="2410" t="str">
        <f t="shared" ref="A5393:A5433" si="96">IF($A$2=1,B5393,IF($A$2=2,C5393,IF($A$2=3,IF(D5393="",C5393,D5393),"")))</f>
        <v>Tierarzt, Medikamente</v>
      </c>
      <c r="B5393" s="2410" t="s">
        <v>165</v>
      </c>
      <c r="C5393" s="2410" t="s">
        <v>2906</v>
      </c>
      <c r="D5393" s="2414" t="s">
        <v>9252</v>
      </c>
    </row>
    <row r="5394" spans="1:4" ht="12.75" customHeight="1">
      <c r="A5394" s="2410" t="str">
        <f t="shared" si="96"/>
        <v xml:space="preserve">Besamungen </v>
      </c>
      <c r="B5394" s="2410" t="s">
        <v>6205</v>
      </c>
      <c r="C5394" s="2410" t="s">
        <v>4256</v>
      </c>
      <c r="D5394" s="2414" t="s">
        <v>9254</v>
      </c>
    </row>
    <row r="5395" spans="1:4" ht="12.75" customHeight="1">
      <c r="A5395" s="2410" t="str">
        <f t="shared" si="96"/>
        <v>Verschiedene Kosten:  MKS Dienstleistungen etc.</v>
      </c>
      <c r="B5395" s="2410" t="s">
        <v>8146</v>
      </c>
      <c r="C5395" s="2410" t="s">
        <v>5205</v>
      </c>
      <c r="D5395" s="2414" t="s">
        <v>10788</v>
      </c>
    </row>
    <row r="5396" spans="1:4" ht="12.75" customHeight="1">
      <c r="A5396" s="2410" t="str">
        <f t="shared" si="96"/>
        <v>Diverse Kosten</v>
      </c>
      <c r="B5396" s="2410" t="s">
        <v>5206</v>
      </c>
      <c r="C5396" s="2410" t="s">
        <v>4255</v>
      </c>
      <c r="D5396" s="2414" t="s">
        <v>9253</v>
      </c>
    </row>
    <row r="5397" spans="1:4" ht="12.75" customHeight="1">
      <c r="A5397" s="2410" t="str">
        <f t="shared" si="96"/>
        <v>Sömmerung</v>
      </c>
      <c r="B5397" s="2410" t="s">
        <v>6349</v>
      </c>
      <c r="C5397" s="2410" t="s">
        <v>5044</v>
      </c>
      <c r="D5397" s="2414" t="s">
        <v>1384</v>
      </c>
    </row>
    <row r="5398" spans="1:4" ht="12.75" customHeight="1">
      <c r="A5398" s="2410" t="str">
        <f t="shared" si="96"/>
        <v>Lohnarbeit Metzgerei: schlachten, verpacken etc.</v>
      </c>
      <c r="B5398" s="2410" t="s">
        <v>8147</v>
      </c>
      <c r="C5398" s="2410" t="s">
        <v>8148</v>
      </c>
      <c r="D5398" s="2414" t="s">
        <v>10789</v>
      </c>
    </row>
    <row r="5399" spans="1:4" ht="12.75" customHeight="1">
      <c r="A5399" s="2410">
        <f t="shared" si="96"/>
        <v>0</v>
      </c>
      <c r="B5399" s="2410"/>
      <c r="C5399" s="2410"/>
      <c r="D5399" s="2414"/>
    </row>
    <row r="5400" spans="1:4" ht="12.75" customHeight="1">
      <c r="A5400" s="2410" t="str">
        <f t="shared" si="96"/>
        <v>Detaillierte Berechnung des DB Mutterkühe</v>
      </c>
      <c r="B5400" s="2410" t="s">
        <v>5849</v>
      </c>
      <c r="C5400" s="2410" t="s">
        <v>6475</v>
      </c>
      <c r="D5400" s="2414" t="s">
        <v>10790</v>
      </c>
    </row>
    <row r="5401" spans="1:4" ht="12.75" customHeight="1">
      <c r="A5401" s="2410">
        <f t="shared" si="96"/>
        <v>0</v>
      </c>
      <c r="B5401" s="2410"/>
      <c r="C5401" s="2410"/>
      <c r="D5401" s="2414"/>
    </row>
    <row r="5402" spans="1:4" ht="12.75" customHeight="1">
      <c r="A5402" s="2410" t="str">
        <f t="shared" si="96"/>
        <v xml:space="preserve">Mutterkühe </v>
      </c>
      <c r="B5402" s="2410" t="s">
        <v>5903</v>
      </c>
      <c r="C5402" s="2410" t="s">
        <v>5904</v>
      </c>
      <c r="D5402" s="2414" t="s">
        <v>8996</v>
      </c>
    </row>
    <row r="5403" spans="1:4" ht="12.75" customHeight="1">
      <c r="A5403" s="2410" t="str">
        <f t="shared" si="96"/>
        <v>Löschen einzelne Linien "Mutterkühe"</v>
      </c>
      <c r="B5403" s="2410" t="s">
        <v>6476</v>
      </c>
      <c r="C5403" s="2410" t="s">
        <v>5900</v>
      </c>
      <c r="D5403" s="2424" t="s">
        <v>10791</v>
      </c>
    </row>
    <row r="5404" spans="1:4" ht="12.75" customHeight="1">
      <c r="A5404" s="2410">
        <f t="shared" si="96"/>
        <v>0</v>
      </c>
      <c r="B5404" s="2410"/>
      <c r="C5404" s="2410"/>
      <c r="D5404" s="2414"/>
    </row>
    <row r="5405" spans="1:4" ht="12.75" customHeight="1">
      <c r="A5405" s="2410" t="str">
        <f t="shared" si="96"/>
        <v>Pauschale</v>
      </c>
      <c r="B5405" s="2410" t="s">
        <v>5901</v>
      </c>
      <c r="C5405" s="2410" t="s">
        <v>5902</v>
      </c>
      <c r="D5405" s="2424" t="s">
        <v>10792</v>
      </c>
    </row>
    <row r="5406" spans="1:4" ht="12.75" customHeight="1">
      <c r="A5406" s="2410">
        <f t="shared" si="96"/>
        <v>0</v>
      </c>
      <c r="B5406" s="2410"/>
      <c r="C5406" s="2410"/>
      <c r="D5406" s="2414"/>
    </row>
    <row r="5407" spans="1:4" ht="12.75" customHeight="1">
      <c r="A5407" s="2410" t="str">
        <f t="shared" si="96"/>
        <v xml:space="preserve">Mutterkühe </v>
      </c>
      <c r="B5407" s="2410" t="s">
        <v>5903</v>
      </c>
      <c r="C5407" s="2410" t="s">
        <v>5904</v>
      </c>
      <c r="D5407" s="2424" t="s">
        <v>8996</v>
      </c>
    </row>
    <row r="5408" spans="1:4" ht="12.75" customHeight="1">
      <c r="A5408" s="2410" t="str">
        <f t="shared" si="96"/>
        <v>Anzahl Tiere im Überblick, Stück</v>
      </c>
      <c r="B5408" s="2410" t="s">
        <v>8124</v>
      </c>
      <c r="C5408" s="2410" t="s">
        <v>8125</v>
      </c>
      <c r="D5408" s="2414" t="s">
        <v>10793</v>
      </c>
    </row>
    <row r="5409" spans="1:4" ht="12.75" customHeight="1">
      <c r="A5409" s="2410" t="str">
        <f t="shared" si="96"/>
        <v>Anzahl Plätze im Überblick</v>
      </c>
      <c r="B5409" s="2410" t="s">
        <v>8128</v>
      </c>
      <c r="C5409" s="2410" t="s">
        <v>8127</v>
      </c>
      <c r="D5409" s="2414" t="s">
        <v>8126</v>
      </c>
    </row>
    <row r="5410" spans="1:4" ht="12.75" customHeight="1">
      <c r="A5410" s="2410" t="str">
        <f t="shared" si="96"/>
        <v>Plätze</v>
      </c>
      <c r="B5410" s="2410" t="s">
        <v>3218</v>
      </c>
      <c r="C5410" s="2410" t="s">
        <v>2919</v>
      </c>
      <c r="D5410" s="2414" t="s">
        <v>8570</v>
      </c>
    </row>
    <row r="5411" spans="1:4" ht="12.75" customHeight="1">
      <c r="A5411" s="2410" t="str">
        <f>IF($A$2=1,B5411,IF($A$2=2,C5411,IF($A$2=3,IF(D5411="",C5411,D5411),"")))</f>
        <v>Betriebszweig Mutterkühe, Jungvieh, bis 1-jährig</v>
      </c>
      <c r="B5411" s="2410" t="s">
        <v>8137</v>
      </c>
      <c r="C5411" s="2410" t="s">
        <v>38</v>
      </c>
      <c r="D5411" s="2414" t="s">
        <v>10794</v>
      </c>
    </row>
    <row r="5412" spans="1:4" ht="12.75" customHeight="1">
      <c r="A5412" s="2410" t="str">
        <f t="shared" si="96"/>
        <v>Betriebszweig Mutterkühe, Jungvieh, 1 bis 2-jährig</v>
      </c>
      <c r="B5412" s="2410" t="s">
        <v>8138</v>
      </c>
      <c r="C5412" s="2410" t="s">
        <v>39</v>
      </c>
      <c r="D5412" s="2414" t="s">
        <v>11325</v>
      </c>
    </row>
    <row r="5413" spans="1:4" ht="12.75" customHeight="1">
      <c r="A5413" s="2410" t="str">
        <f t="shared" si="96"/>
        <v>Betriebszweig Mutterkühe, Jungvieh, über  2-jährig</v>
      </c>
      <c r="B5413" s="2410" t="s">
        <v>8139</v>
      </c>
      <c r="C5413" s="2410" t="s">
        <v>40</v>
      </c>
      <c r="D5413" s="2414" t="s">
        <v>9001</v>
      </c>
    </row>
    <row r="5414" spans="1:4" ht="12.75" customHeight="1">
      <c r="A5414" s="2410" t="str">
        <f t="shared" si="96"/>
        <v>Betriebszweig Mutterkühe, Stiere, über 2-jährig</v>
      </c>
      <c r="B5414" s="2410" t="s">
        <v>7285</v>
      </c>
      <c r="C5414" s="2410" t="s">
        <v>2728</v>
      </c>
      <c r="D5414" s="2414" t="s">
        <v>9002</v>
      </c>
    </row>
    <row r="5415" spans="1:4" ht="12.75" customHeight="1">
      <c r="A5415" s="2410" t="str">
        <f t="shared" si="96"/>
        <v>ja</v>
      </c>
      <c r="B5415" s="2410" t="s">
        <v>4356</v>
      </c>
      <c r="C5415" s="2410" t="s">
        <v>5639</v>
      </c>
      <c r="D5415" s="2414" t="s">
        <v>1741</v>
      </c>
    </row>
    <row r="5416" spans="1:4" ht="12.75" customHeight="1">
      <c r="A5416" s="2410" t="str">
        <f t="shared" si="96"/>
        <v>nein</v>
      </c>
      <c r="B5416" s="2410" t="s">
        <v>3274</v>
      </c>
      <c r="C5416" s="2410" t="s">
        <v>5640</v>
      </c>
      <c r="D5416" s="2414" t="s">
        <v>1744</v>
      </c>
    </row>
    <row r="5417" spans="1:4" ht="12.75" customHeight="1">
      <c r="A5417" s="2410" t="str">
        <f t="shared" si="96"/>
        <v>Anteil Eigenremontierung</v>
      </c>
      <c r="B5417" s="2410" t="s">
        <v>2729</v>
      </c>
      <c r="C5417" s="2410" t="s">
        <v>2730</v>
      </c>
      <c r="D5417" s="2414" t="s">
        <v>10795</v>
      </c>
    </row>
    <row r="5418" spans="1:4">
      <c r="A5418" s="2410" t="str">
        <f t="shared" si="96"/>
        <v>200 bis 250 kg SG</v>
      </c>
      <c r="B5418" s="2410" t="s">
        <v>8129</v>
      </c>
      <c r="C5418" s="2410" t="s">
        <v>8130</v>
      </c>
      <c r="D5418" s="2414" t="s">
        <v>8314</v>
      </c>
    </row>
    <row r="5419" spans="1:4" ht="12.75" customHeight="1">
      <c r="A5419" s="2410" t="str">
        <f t="shared" si="96"/>
        <v>CHF / Tag</v>
      </c>
      <c r="B5419" s="2410" t="s">
        <v>1132</v>
      </c>
      <c r="C5419" s="2410" t="s">
        <v>1133</v>
      </c>
      <c r="D5419" s="2414" t="s">
        <v>10796</v>
      </c>
    </row>
    <row r="5420" spans="1:4" ht="12.75" customHeight="1">
      <c r="A5420" s="2410" t="str">
        <f t="shared" si="96"/>
        <v>Monate</v>
      </c>
      <c r="B5420" s="2410" t="s">
        <v>4984</v>
      </c>
      <c r="C5420" s="2410" t="s">
        <v>5151</v>
      </c>
      <c r="D5420" s="2414" t="s">
        <v>5875</v>
      </c>
    </row>
    <row r="5421" spans="1:4" ht="12.75" customHeight="1">
      <c r="A5421" s="2410" t="str">
        <f t="shared" si="96"/>
        <v>Jahre</v>
      </c>
      <c r="B5421" s="2410" t="s">
        <v>3516</v>
      </c>
      <c r="C5421" s="2410" t="s">
        <v>5421</v>
      </c>
      <c r="D5421" s="2414" t="s">
        <v>1573</v>
      </c>
    </row>
    <row r="5422" spans="1:4" ht="12.75" customHeight="1">
      <c r="A5422" s="2410" t="str">
        <f t="shared" si="96"/>
        <v>Stück</v>
      </c>
      <c r="B5422" s="2410" t="s">
        <v>4322</v>
      </c>
      <c r="C5422" s="2410" t="s">
        <v>5258</v>
      </c>
      <c r="D5422" s="2414" t="s">
        <v>8569</v>
      </c>
    </row>
    <row r="5423" spans="1:4" ht="12.75" customHeight="1">
      <c r="A5423" s="2410" t="str">
        <f t="shared" si="96"/>
        <v>Anzahl</v>
      </c>
      <c r="B5423" s="2410" t="s">
        <v>7044</v>
      </c>
      <c r="C5423" s="2410" t="s">
        <v>5260</v>
      </c>
      <c r="D5423" s="2414" t="s">
        <v>4991</v>
      </c>
    </row>
    <row r="5424" spans="1:4" ht="12.75" customHeight="1">
      <c r="A5424" s="2410" t="str">
        <f t="shared" si="96"/>
        <v>Einheit</v>
      </c>
      <c r="B5424" s="2410" t="s">
        <v>6392</v>
      </c>
      <c r="C5424" s="2410" t="s">
        <v>6215</v>
      </c>
      <c r="D5424" s="2414" t="s">
        <v>1418</v>
      </c>
    </row>
    <row r="5425" spans="1:4" ht="12.75" customHeight="1">
      <c r="A5425" s="2410" t="str">
        <f t="shared" si="96"/>
        <v>Menge</v>
      </c>
      <c r="B5425" s="2410" t="s">
        <v>5418</v>
      </c>
      <c r="C5425" s="2410" t="s">
        <v>3429</v>
      </c>
      <c r="D5425" s="2414" t="s">
        <v>2271</v>
      </c>
    </row>
    <row r="5426" spans="1:4" ht="12.75" customHeight="1">
      <c r="A5426" s="2410" t="str">
        <f t="shared" si="96"/>
        <v>Leistung</v>
      </c>
      <c r="B5426" s="2410" t="s">
        <v>3444</v>
      </c>
      <c r="C5426" s="2410" t="s">
        <v>4720</v>
      </c>
      <c r="D5426" s="2414" t="s">
        <v>11326</v>
      </c>
    </row>
    <row r="5427" spans="1:4" ht="12.75" customHeight="1">
      <c r="A5427" s="2410" t="str">
        <f t="shared" si="96"/>
        <v>CHF / Einheit</v>
      </c>
      <c r="B5427" s="2410" t="s">
        <v>1680</v>
      </c>
      <c r="C5427" s="2410" t="s">
        <v>1134</v>
      </c>
      <c r="D5427" s="2414" t="s">
        <v>9550</v>
      </c>
    </row>
    <row r="5428" spans="1:4" ht="12.75" customHeight="1">
      <c r="A5428" s="2410" t="str">
        <f t="shared" si="96"/>
        <v>Betrag / CHF</v>
      </c>
      <c r="B5428" s="2410" t="s">
        <v>6557</v>
      </c>
      <c r="C5428" s="2410" t="s">
        <v>6558</v>
      </c>
      <c r="D5428" s="2414" t="s">
        <v>9224</v>
      </c>
    </row>
    <row r="5429" spans="1:4" ht="12.75" customHeight="1">
      <c r="A5429" s="2410" t="str">
        <f>IF($A$2=1,B5429,IF($A$2=2,C5429,IF($A$2=3,IF(D5429="",C5429,D5429),"")))</f>
        <v>Variable Kosten</v>
      </c>
      <c r="B5429" s="2410" t="s">
        <v>5662</v>
      </c>
      <c r="C5429" s="2410" t="s">
        <v>1901</v>
      </c>
      <c r="D5429" s="2414" t="s">
        <v>9239</v>
      </c>
    </row>
    <row r="5430" spans="1:4" ht="12.75" customHeight="1">
      <c r="A5430" s="2410" t="str">
        <f>IF($A$2=1,B5430,IF($A$2=2,C5430,IF($A$2=3,IF(D5430="",C5430,D5430),"")))</f>
        <v>Variable Kosten total</v>
      </c>
      <c r="B5430" s="2410" t="s">
        <v>8149</v>
      </c>
      <c r="C5430" s="2410" t="s">
        <v>8151</v>
      </c>
      <c r="D5430" s="2414" t="s">
        <v>9258</v>
      </c>
    </row>
    <row r="5431" spans="1:4" ht="12.75" customHeight="1">
      <c r="A5431" s="2410" t="str">
        <f t="shared" si="96"/>
        <v>Leistung total, Ertrag</v>
      </c>
      <c r="B5431" s="2410" t="s">
        <v>8150</v>
      </c>
      <c r="C5431" s="2410" t="s">
        <v>2574</v>
      </c>
      <c r="D5431" s="2414" t="s">
        <v>9223</v>
      </c>
    </row>
    <row r="5432" spans="1:4" ht="12.75" customHeight="1">
      <c r="A5432" s="2410" t="str">
        <f t="shared" si="96"/>
        <v>à</v>
      </c>
      <c r="B5432" s="2410" t="s">
        <v>3306</v>
      </c>
      <c r="C5432" s="2413" t="s">
        <v>3306</v>
      </c>
      <c r="D5432" s="2414" t="s">
        <v>4272</v>
      </c>
    </row>
    <row r="5433" spans="1:4" ht="12.75" customHeight="1">
      <c r="A5433" s="2410" t="str">
        <f t="shared" si="96"/>
        <v>Summe</v>
      </c>
      <c r="B5433" s="2410" t="s">
        <v>4321</v>
      </c>
      <c r="C5433" s="2413" t="s">
        <v>4802</v>
      </c>
      <c r="D5433" s="2414" t="s">
        <v>8612</v>
      </c>
    </row>
  </sheetData>
  <autoFilter ref="A6:F5433"/>
  <phoneticPr fontId="65" type="noConversion"/>
  <conditionalFormatting sqref="C1159:C1165 B5036:B5038 C914:C999 C447:C453 C420:C432 C455:C620 C270:C322 C622:C912 C2558:C2675 C2678:C2686 C2688 C2690:C2691 C2695:C2748 C7:C268 C1006:C1154 C2752:C2995 C324:C399 C434:C445 C2461:C2556 C1167:C2458 C2997:C3755 C402:C418 C5038:C5223 C3757:C5036 C5225:C1048576">
    <cfRule type="expression" dxfId="61" priority="69">
      <formula>$E7 =2</formula>
    </cfRule>
  </conditionalFormatting>
  <conditionalFormatting sqref="D3808 D447:D453 D420:D432 D455:D620 D270:D322 D622:D912 D914:D999 D2678:D2686 D2688 D2690:D2691 D2695:D2748 D324:D399 D7:D268 D2558:D2675 D434:D445 D2461:D2556 D1006:D2458 D402:D418 D3757:D3805 D2752:D3755 D3810:D5223 D5225:D1048576">
    <cfRule type="expression" dxfId="60" priority="68">
      <formula xml:space="preserve"> $E7 &gt;= 2</formula>
    </cfRule>
  </conditionalFormatting>
  <conditionalFormatting sqref="C1166">
    <cfRule type="expression" dxfId="59" priority="67">
      <formula>$E1166 =2</formula>
    </cfRule>
  </conditionalFormatting>
  <conditionalFormatting sqref="C1155">
    <cfRule type="expression" dxfId="58" priority="66">
      <formula>$E1155 =2</formula>
    </cfRule>
  </conditionalFormatting>
  <conditionalFormatting sqref="C1156">
    <cfRule type="expression" dxfId="57" priority="65">
      <formula>$E1156 =2</formula>
    </cfRule>
  </conditionalFormatting>
  <conditionalFormatting sqref="C1157:C1158">
    <cfRule type="expression" dxfId="56" priority="64">
      <formula>$E1157 =2</formula>
    </cfRule>
  </conditionalFormatting>
  <conditionalFormatting sqref="C2996">
    <cfRule type="expression" dxfId="55" priority="152">
      <formula>$E2995 =2</formula>
    </cfRule>
  </conditionalFormatting>
  <conditionalFormatting sqref="C5037">
    <cfRule type="expression" dxfId="54" priority="154">
      <formula>$E5038 =2</formula>
    </cfRule>
  </conditionalFormatting>
  <conditionalFormatting sqref="C913">
    <cfRule type="expression" dxfId="53" priority="61">
      <formula>$E913 =2</formula>
    </cfRule>
  </conditionalFormatting>
  <conditionalFormatting sqref="D913">
    <cfRule type="expression" dxfId="52" priority="60">
      <formula xml:space="preserve"> $E913 &gt;= 2</formula>
    </cfRule>
  </conditionalFormatting>
  <conditionalFormatting sqref="C446">
    <cfRule type="expression" dxfId="51" priority="59">
      <formula>$E446 =2</formula>
    </cfRule>
  </conditionalFormatting>
  <conditionalFormatting sqref="D446">
    <cfRule type="expression" dxfId="50" priority="58">
      <formula xml:space="preserve"> $E446 &gt;= 2</formula>
    </cfRule>
  </conditionalFormatting>
  <conditionalFormatting sqref="C419">
    <cfRule type="expression" dxfId="49" priority="57">
      <formula>$E419 =2</formula>
    </cfRule>
  </conditionalFormatting>
  <conditionalFormatting sqref="D419">
    <cfRule type="expression" dxfId="48" priority="56">
      <formula xml:space="preserve"> $E419 &gt;= 2</formula>
    </cfRule>
  </conditionalFormatting>
  <conditionalFormatting sqref="C454">
    <cfRule type="expression" dxfId="47" priority="55">
      <formula>$E454 =2</formula>
    </cfRule>
  </conditionalFormatting>
  <conditionalFormatting sqref="D454">
    <cfRule type="expression" dxfId="46" priority="54">
      <formula xml:space="preserve"> $E454 &gt;= 2</formula>
    </cfRule>
  </conditionalFormatting>
  <conditionalFormatting sqref="C269">
    <cfRule type="expression" dxfId="45" priority="53">
      <formula>$E269 =2</formula>
    </cfRule>
  </conditionalFormatting>
  <conditionalFormatting sqref="D269">
    <cfRule type="expression" dxfId="44" priority="52">
      <formula xml:space="preserve"> $E269 &gt;= 2</formula>
    </cfRule>
  </conditionalFormatting>
  <conditionalFormatting sqref="C621">
    <cfRule type="expression" dxfId="43" priority="51">
      <formula>$E621 =2</formula>
    </cfRule>
  </conditionalFormatting>
  <conditionalFormatting sqref="D621">
    <cfRule type="expression" dxfId="42" priority="50">
      <formula xml:space="preserve"> $E621 &gt;= 2</formula>
    </cfRule>
  </conditionalFormatting>
  <conditionalFormatting sqref="C2557">
    <cfRule type="expression" dxfId="41" priority="49">
      <formula>$E2557 =2</formula>
    </cfRule>
  </conditionalFormatting>
  <conditionalFormatting sqref="D2557">
    <cfRule type="expression" dxfId="40" priority="48">
      <formula xml:space="preserve"> $E2557 &gt;= 2</formula>
    </cfRule>
  </conditionalFormatting>
  <conditionalFormatting sqref="D2676:D2677">
    <cfRule type="expression" dxfId="39" priority="46">
      <formula xml:space="preserve"> $E2676 &gt;= 2</formula>
    </cfRule>
  </conditionalFormatting>
  <conditionalFormatting sqref="C2676:C2677">
    <cfRule type="expression" dxfId="38" priority="47">
      <formula>$E2676 =2</formula>
    </cfRule>
  </conditionalFormatting>
  <conditionalFormatting sqref="C2687">
    <cfRule type="expression" dxfId="37" priority="45">
      <formula>$E2687 =2</formula>
    </cfRule>
  </conditionalFormatting>
  <conditionalFormatting sqref="D2687">
    <cfRule type="expression" dxfId="36" priority="44">
      <formula xml:space="preserve"> $E2687 &gt;= 2</formula>
    </cfRule>
  </conditionalFormatting>
  <conditionalFormatting sqref="C2689">
    <cfRule type="expression" dxfId="35" priority="43">
      <formula>$E2689 =2</formula>
    </cfRule>
  </conditionalFormatting>
  <conditionalFormatting sqref="D2689">
    <cfRule type="expression" dxfId="34" priority="42">
      <formula xml:space="preserve"> $E2689 &gt;= 2</formula>
    </cfRule>
  </conditionalFormatting>
  <conditionalFormatting sqref="C2692:C2694">
    <cfRule type="expression" dxfId="33" priority="41">
      <formula>$E2692 =2</formula>
    </cfRule>
  </conditionalFormatting>
  <conditionalFormatting sqref="D2692:D2694">
    <cfRule type="expression" dxfId="32" priority="40">
      <formula xml:space="preserve"> $E2692 &gt;= 2</formula>
    </cfRule>
  </conditionalFormatting>
  <conditionalFormatting sqref="C2749">
    <cfRule type="expression" dxfId="31" priority="39">
      <formula>$E2749 =2</formula>
    </cfRule>
  </conditionalFormatting>
  <conditionalFormatting sqref="C1000:C1001">
    <cfRule type="expression" dxfId="30" priority="37">
      <formula>$E1000 =2</formula>
    </cfRule>
  </conditionalFormatting>
  <conditionalFormatting sqref="D1000:D1001">
    <cfRule type="expression" dxfId="29" priority="36">
      <formula xml:space="preserve"> $E1000 &gt;= 2</formula>
    </cfRule>
  </conditionalFormatting>
  <conditionalFormatting sqref="C1002">
    <cfRule type="expression" dxfId="28" priority="35">
      <formula>$E1002 =2</formula>
    </cfRule>
  </conditionalFormatting>
  <conditionalFormatting sqref="D1002">
    <cfRule type="expression" dxfId="27" priority="34">
      <formula xml:space="preserve"> $E1002 &gt;= 2</formula>
    </cfRule>
  </conditionalFormatting>
  <conditionalFormatting sqref="C1004">
    <cfRule type="expression" dxfId="26" priority="33">
      <formula>$E1004 =2</formula>
    </cfRule>
  </conditionalFormatting>
  <conditionalFormatting sqref="D1004">
    <cfRule type="expression" dxfId="25" priority="32">
      <formula xml:space="preserve"> $E1004 &gt;= 2</formula>
    </cfRule>
  </conditionalFormatting>
  <conditionalFormatting sqref="C1005">
    <cfRule type="expression" dxfId="24" priority="31">
      <formula>$E1005 =2</formula>
    </cfRule>
  </conditionalFormatting>
  <conditionalFormatting sqref="D1005">
    <cfRule type="expression" dxfId="23" priority="30">
      <formula xml:space="preserve"> $E1005 &gt;= 2</formula>
    </cfRule>
  </conditionalFormatting>
  <conditionalFormatting sqref="C1003">
    <cfRule type="expression" dxfId="22" priority="29">
      <formula>$E1003 =2</formula>
    </cfRule>
  </conditionalFormatting>
  <conditionalFormatting sqref="D1003">
    <cfRule type="expression" dxfId="21" priority="28">
      <formula xml:space="preserve"> $E1003 &gt;= 2</formula>
    </cfRule>
  </conditionalFormatting>
  <conditionalFormatting sqref="D2749">
    <cfRule type="expression" dxfId="20" priority="25">
      <formula xml:space="preserve"> $E2749 &gt;= 2</formula>
    </cfRule>
  </conditionalFormatting>
  <conditionalFormatting sqref="C2750">
    <cfRule type="expression" dxfId="19" priority="24">
      <formula>$E2750 =2</formula>
    </cfRule>
  </conditionalFormatting>
  <conditionalFormatting sqref="D2750">
    <cfRule type="expression" dxfId="18" priority="23">
      <formula xml:space="preserve"> $E2750 &gt;= 2</formula>
    </cfRule>
  </conditionalFormatting>
  <conditionalFormatting sqref="C2751">
    <cfRule type="expression" dxfId="17" priority="22">
      <formula>$E2751 =2</formula>
    </cfRule>
  </conditionalFormatting>
  <conditionalFormatting sqref="D2751">
    <cfRule type="expression" dxfId="16" priority="21">
      <formula xml:space="preserve"> $E2751 &gt;= 2</formula>
    </cfRule>
  </conditionalFormatting>
  <conditionalFormatting sqref="C1">
    <cfRule type="expression" dxfId="15" priority="20">
      <formula>$E1 =2</formula>
    </cfRule>
  </conditionalFormatting>
  <conditionalFormatting sqref="D1">
    <cfRule type="expression" dxfId="14" priority="19">
      <formula xml:space="preserve"> $E1 &gt;= 2</formula>
    </cfRule>
  </conditionalFormatting>
  <conditionalFormatting sqref="C2">
    <cfRule type="expression" dxfId="13" priority="14">
      <formula>$E2 =2</formula>
    </cfRule>
  </conditionalFormatting>
  <conditionalFormatting sqref="D2">
    <cfRule type="expression" dxfId="12" priority="13">
      <formula xml:space="preserve"> $E2 &gt;= 2</formula>
    </cfRule>
  </conditionalFormatting>
  <conditionalFormatting sqref="C3">
    <cfRule type="expression" dxfId="11" priority="12">
      <formula>$E3 =2</formula>
    </cfRule>
  </conditionalFormatting>
  <conditionalFormatting sqref="D3">
    <cfRule type="expression" dxfId="10" priority="11">
      <formula xml:space="preserve"> $E3 &gt;= 2</formula>
    </cfRule>
  </conditionalFormatting>
  <conditionalFormatting sqref="C433">
    <cfRule type="expression" dxfId="9" priority="10">
      <formula>$E433 =2</formula>
    </cfRule>
  </conditionalFormatting>
  <conditionalFormatting sqref="D433">
    <cfRule type="expression" dxfId="8" priority="9">
      <formula xml:space="preserve"> $E433 &gt;= 2</formula>
    </cfRule>
  </conditionalFormatting>
  <conditionalFormatting sqref="C400">
    <cfRule type="expression" dxfId="7" priority="8">
      <formula>$E400 =2</formula>
    </cfRule>
  </conditionalFormatting>
  <conditionalFormatting sqref="D400">
    <cfRule type="expression" dxfId="6" priority="7">
      <formula xml:space="preserve"> $E400 &gt;= 2</formula>
    </cfRule>
  </conditionalFormatting>
  <conditionalFormatting sqref="C401">
    <cfRule type="expression" dxfId="5" priority="6">
      <formula>$E401 =2</formula>
    </cfRule>
  </conditionalFormatting>
  <conditionalFormatting sqref="D401">
    <cfRule type="expression" dxfId="4" priority="5">
      <formula xml:space="preserve"> $E401 &gt;= 2</formula>
    </cfRule>
  </conditionalFormatting>
  <conditionalFormatting sqref="C3756">
    <cfRule type="expression" dxfId="3" priority="4">
      <formula>$E3756 =2</formula>
    </cfRule>
  </conditionalFormatting>
  <conditionalFormatting sqref="D3756">
    <cfRule type="expression" dxfId="2" priority="3">
      <formula xml:space="preserve"> $E3756 &gt;= 2</formula>
    </cfRule>
  </conditionalFormatting>
  <conditionalFormatting sqref="C5224">
    <cfRule type="expression" dxfId="1" priority="2">
      <formula>$E5224 =2</formula>
    </cfRule>
  </conditionalFormatting>
  <conditionalFormatting sqref="D5224">
    <cfRule type="expression" dxfId="0" priority="1">
      <formula xml:space="preserve"> $E5224 &gt;= 2</formula>
    </cfRule>
  </conditionalFormatting>
  <pageMargins left="0.42" right="0.27" top="0.984251969" bottom="0.984251969" header="0.4921259845" footer="0.4921259845"/>
  <pageSetup paperSize="9" orientation="landscape" r:id="rId1"/>
  <headerFooter alignWithMargins="0">
    <oddFooter>&amp;R&amp;"Arial,Standard"&amp;9Seite &amp;P&amp;L&amp;"Arial,Fett"&amp;11AGRIDEA &amp;"Arial,Standard"&amp;9 Nachweis Version 9.9</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31b810c-e1bd-460f-9377-b918a6c9e4ac" xsi:nil="true"/>
    <lcf76f155ced4ddcb4097134ff3c332f xmlns="037a597d-8484-4329-9125-68337a00ee3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9FE29911118CA0479937AAE205BDAF7C" ma:contentTypeVersion="14" ma:contentTypeDescription="Ein neues Dokument erstellen." ma:contentTypeScope="" ma:versionID="b4c5adb3cfad1f2571d6376e56f63994">
  <xsd:schema xmlns:xsd="http://www.w3.org/2001/XMLSchema" xmlns:xs="http://www.w3.org/2001/XMLSchema" xmlns:p="http://schemas.microsoft.com/office/2006/metadata/properties" xmlns:ns2="037a597d-8484-4329-9125-68337a00ee36" xmlns:ns3="931b810c-e1bd-460f-9377-b918a6c9e4ac" targetNamespace="http://schemas.microsoft.com/office/2006/metadata/properties" ma:root="true" ma:fieldsID="22584e626050ca18b4744b247f067c4b" ns2:_="" ns3:_="">
    <xsd:import namespace="037a597d-8484-4329-9125-68337a00ee36"/>
    <xsd:import namespace="931b810c-e1bd-460f-9377-b918a6c9e4a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a597d-8484-4329-9125-68337a00ee3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ildmarkierungen" ma:readOnly="false" ma:fieldId="{5cf76f15-5ced-4ddc-b409-7134ff3c332f}" ma:taxonomyMulti="true" ma:sspId="6f276c77-5f33-4e85-96f7-d7788600d606"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1"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31b810c-e1bd-460f-9377-b918a6c9e4ac"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81e66c3-7f0e-43a6-b6ce-5971a629562a}" ma:internalName="TaxCatchAll" ma:showField="CatchAllData" ma:web="931b810c-e1bd-460f-9377-b918a6c9e4a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0" ma:displayName="Autor"/>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E81BA2-C2E0-40D2-920F-E596A3E6FF2C}">
  <ds:schemaRefs>
    <ds:schemaRef ds:uri="http://purl.org/dc/terms/"/>
    <ds:schemaRef ds:uri="931b810c-e1bd-460f-9377-b918a6c9e4ac"/>
    <ds:schemaRef ds:uri="http://schemas.microsoft.com/office/2006/metadata/propertie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037a597d-8484-4329-9125-68337a00ee36"/>
    <ds:schemaRef ds:uri="http://www.w3.org/XML/1998/namespace"/>
    <ds:schemaRef ds:uri="http://purl.org/dc/dcmitype/"/>
  </ds:schemaRefs>
</ds:datastoreItem>
</file>

<file path=customXml/itemProps2.xml><?xml version="1.0" encoding="utf-8"?>
<ds:datastoreItem xmlns:ds="http://schemas.openxmlformats.org/officeDocument/2006/customXml" ds:itemID="{2BD88FF8-7DCC-4583-B050-3BEE3EA2B7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a597d-8484-4329-9125-68337a00ee36"/>
    <ds:schemaRef ds:uri="931b810c-e1bd-460f-9377-b918a6c9e4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F4ECC3E-20C1-474E-AE00-2411082F1F5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41</vt:i4>
      </vt:variant>
      <vt:variant>
        <vt:lpstr>Dialoge</vt:lpstr>
      </vt:variant>
      <vt:variant>
        <vt:i4>9</vt:i4>
      </vt:variant>
      <vt:variant>
        <vt:lpstr>Benannte Bereiche</vt:lpstr>
      </vt:variant>
      <vt:variant>
        <vt:i4>1019</vt:i4>
      </vt:variant>
    </vt:vector>
  </HeadingPairs>
  <TitlesOfParts>
    <vt:vector size="1069" baseType="lpstr">
      <vt:lpstr>Q</vt:lpstr>
      <vt:lpstr>Dblatt</vt:lpstr>
      <vt:lpstr>Allg</vt:lpstr>
      <vt:lpstr>Fläche</vt:lpstr>
      <vt:lpstr>Tierb</vt:lpstr>
      <vt:lpstr>Kennz</vt:lpstr>
      <vt:lpstr>BioKennz</vt:lpstr>
      <vt:lpstr>Fzukauf</vt:lpstr>
      <vt:lpstr>Ff</vt:lpstr>
      <vt:lpstr>FormE</vt:lpstr>
      <vt:lpstr>SB1</vt:lpstr>
      <vt:lpstr>SB2</vt:lpstr>
      <vt:lpstr>RH</vt:lpstr>
      <vt:lpstr>Gem1</vt:lpstr>
      <vt:lpstr>Gem2</vt:lpstr>
      <vt:lpstr>OB</vt:lpstr>
      <vt:lpstr>Hd</vt:lpstr>
      <vt:lpstr>HDA</vt:lpstr>
      <vt:lpstr>HDB</vt:lpstr>
      <vt:lpstr>HDC</vt:lpstr>
      <vt:lpstr>KLB</vt:lpstr>
      <vt:lpstr>VSB</vt:lpstr>
      <vt:lpstr>BDB</vt:lpstr>
      <vt:lpstr>LQB</vt:lpstr>
      <vt:lpstr>GMF</vt:lpstr>
      <vt:lpstr>PSB</vt:lpstr>
      <vt:lpstr>REB</vt:lpstr>
      <vt:lpstr>ÜGB</vt:lpstr>
      <vt:lpstr>SAK</vt:lpstr>
      <vt:lpstr>RED</vt:lpstr>
      <vt:lpstr>D_Fläche</vt:lpstr>
      <vt:lpstr>D_Tierb</vt:lpstr>
      <vt:lpstr>D_Gemüse1</vt:lpstr>
      <vt:lpstr>D_Gemüse2</vt:lpstr>
      <vt:lpstr>D_ObstBeeren</vt:lpstr>
      <vt:lpstr>D_Bsi</vt:lpstr>
      <vt:lpstr>D_Hd</vt:lpstr>
      <vt:lpstr>TG</vt:lpstr>
      <vt:lpstr>TW</vt:lpstr>
      <vt:lpstr>D_Klick</vt:lpstr>
      <vt:lpstr>Texte</vt:lpstr>
      <vt:lpstr>Dialog_Nb2</vt:lpstr>
      <vt:lpstr>Dialog_Gem1</vt:lpstr>
      <vt:lpstr>Dialog_Gem2</vt:lpstr>
      <vt:lpstr>Dialog_Obst</vt:lpstr>
      <vt:lpstr>Dialog_Beeren</vt:lpstr>
      <vt:lpstr>Dialog_GVE</vt:lpstr>
      <vt:lpstr>Dialog_Imp</vt:lpstr>
      <vt:lpstr>Dialog_Blatt</vt:lpstr>
      <vt:lpstr>Dialog_Drucken</vt:lpstr>
      <vt:lpstr>D_Tierb!AbUndZuSchlag</vt:lpstr>
      <vt:lpstr>GMF!AbUndZuSchlag</vt:lpstr>
      <vt:lpstr>'SB1'!AbUndZuSchlag</vt:lpstr>
      <vt:lpstr>D_Klick!Abzug_Eink</vt:lpstr>
      <vt:lpstr>D_Klick!Abzug_SAK</vt:lpstr>
      <vt:lpstr>D_Klick!Abzug_Verm</vt:lpstr>
      <vt:lpstr>D_Tierb!AbzugTage</vt:lpstr>
      <vt:lpstr>D_Tierb!AbzugTiere</vt:lpstr>
      <vt:lpstr>Tierb!AbZuTage</vt:lpstr>
      <vt:lpstr>Tierb!AbZuTiere</vt:lpstr>
      <vt:lpstr>D_Fläche!Ackerkultur</vt:lpstr>
      <vt:lpstr>'SB2'!Ackerkultur</vt:lpstr>
      <vt:lpstr>D_Klick!AckerschonBtr</vt:lpstr>
      <vt:lpstr>D_Fläche!AckerZusatz</vt:lpstr>
      <vt:lpstr>'SB2'!AckerZusatz</vt:lpstr>
      <vt:lpstr>Tierb!AFP</vt:lpstr>
      <vt:lpstr>Tierb!Alp_GVE</vt:lpstr>
      <vt:lpstr>D_Klick!AnbauBtr_Faser</vt:lpstr>
      <vt:lpstr>D_Klick!AnbauBtr_Körnerleg</vt:lpstr>
      <vt:lpstr>D_Klick!AnbauBtr_Oel</vt:lpstr>
      <vt:lpstr>D_Klick!AnbauBtr_ZR</vt:lpstr>
      <vt:lpstr>D_Klick!AnbaumethListe</vt:lpstr>
      <vt:lpstr>Tierb!Anz_MuKu</vt:lpstr>
      <vt:lpstr>Tierb!Anz_MuKu_K1</vt:lpstr>
      <vt:lpstr>Tierb!Anz_MuKu_K21</vt:lpstr>
      <vt:lpstr>Tierb!Anz_MuKu_K22</vt:lpstr>
      <vt:lpstr>Tierb!Anz_MuKu_K23</vt:lpstr>
      <vt:lpstr>HDA!Anzahl</vt:lpstr>
      <vt:lpstr>HDC!Anzahl</vt:lpstr>
      <vt:lpstr>Tierb!Anzahl</vt:lpstr>
      <vt:lpstr>Tierb!Anzahl_Alp</vt:lpstr>
      <vt:lpstr>Tierb!Anzahl_Betrieb</vt:lpstr>
      <vt:lpstr>HDA!AnzahlKorr</vt:lpstr>
      <vt:lpstr>HDC!AnzahlKorr</vt:lpstr>
      <vt:lpstr>HDB!AnzEinh</vt:lpstr>
      <vt:lpstr>Tierb!AnzEinh</vt:lpstr>
      <vt:lpstr>Tierb!AnzEinh_BZwMuKu</vt:lpstr>
      <vt:lpstr>Tierb!AnzEinh_MuKu</vt:lpstr>
      <vt:lpstr>D_Tierb!AnzKorrigiert</vt:lpstr>
      <vt:lpstr>GMF!AnzKorrigiert</vt:lpstr>
      <vt:lpstr>'SB1'!AnzKorrigiert</vt:lpstr>
      <vt:lpstr>GMF!AnzKorrZeile1</vt:lpstr>
      <vt:lpstr>Tierb!AnzMikuKorr</vt:lpstr>
      <vt:lpstr>D_Klick!AnzTeilfchListe</vt:lpstr>
      <vt:lpstr>D_Tierb!AnzTiere</vt:lpstr>
      <vt:lpstr>D_Tierb!AnzUnkorr</vt:lpstr>
      <vt:lpstr>GMF!AnzUnkorr</vt:lpstr>
      <vt:lpstr>'SB1'!AnzUnkorr</vt:lpstr>
      <vt:lpstr>D_Klick!AS_LS_Liste</vt:lpstr>
      <vt:lpstr>BDB!AufteilenZonen</vt:lpstr>
      <vt:lpstr>KLB!AufteilenZonen</vt:lpstr>
      <vt:lpstr>VSB!AufteilenZonen</vt:lpstr>
      <vt:lpstr>Tierb!AufzRinder_2_3j</vt:lpstr>
      <vt:lpstr>TG!AusblendSpalte</vt:lpstr>
      <vt:lpstr>Allg!AusblendSpalten</vt:lpstr>
      <vt:lpstr>BDB!AusblendSpalten</vt:lpstr>
      <vt:lpstr>D_Fläche!AusblendSpalten</vt:lpstr>
      <vt:lpstr>D_Gemüse1!AusblendSpalten</vt:lpstr>
      <vt:lpstr>D_Gemüse2!AusblendSpalten</vt:lpstr>
      <vt:lpstr>D_Hd!AusblendSpalten</vt:lpstr>
      <vt:lpstr>D_ObstBeeren!AusblendSpalten</vt:lpstr>
      <vt:lpstr>D_Tierb!AusblendSpalten</vt:lpstr>
      <vt:lpstr>Fläche!AusblendSpalten</vt:lpstr>
      <vt:lpstr>GMF!AusblendSpalten</vt:lpstr>
      <vt:lpstr>Hd!AusblendSpalten</vt:lpstr>
      <vt:lpstr>HDA!AusblendSpalten</vt:lpstr>
      <vt:lpstr>HDC!AusblendSpalten</vt:lpstr>
      <vt:lpstr>Kennz!AusblendSpalten</vt:lpstr>
      <vt:lpstr>KLB!AusblendSpalten</vt:lpstr>
      <vt:lpstr>PSB!AusblendSpalten</vt:lpstr>
      <vt:lpstr>REB!AusblendSpalten</vt:lpstr>
      <vt:lpstr>RED!AusblendSpalten</vt:lpstr>
      <vt:lpstr>'SB1'!AusblendSpalten</vt:lpstr>
      <vt:lpstr>'SB2'!AusblendSpalten</vt:lpstr>
      <vt:lpstr>Tierb!AusblendSpalten</vt:lpstr>
      <vt:lpstr>ÜGB!AusblendSpalten</vt:lpstr>
      <vt:lpstr>VSB!AusblendSpalten</vt:lpstr>
      <vt:lpstr>Allg!AusblendZeilen</vt:lpstr>
      <vt:lpstr>BDB!AusblendZeilen</vt:lpstr>
      <vt:lpstr>D_Tierb!AusblendZeilen</vt:lpstr>
      <vt:lpstr>FormE!AusblendZeilen</vt:lpstr>
      <vt:lpstr>GMF!AusblendZeilen</vt:lpstr>
      <vt:lpstr>HDA!AusblendZeilen</vt:lpstr>
      <vt:lpstr>Kennz!AusblendZeilen</vt:lpstr>
      <vt:lpstr>PSB!AusblendZeilen</vt:lpstr>
      <vt:lpstr>REB!AusblendZeilen</vt:lpstr>
      <vt:lpstr>RED!AusblendZeilen</vt:lpstr>
      <vt:lpstr>SAK!AusblendZeilen</vt:lpstr>
      <vt:lpstr>'SB2'!AusblendZeilen</vt:lpstr>
      <vt:lpstr>Tierb!AusblendZeilen</vt:lpstr>
      <vt:lpstr>HDA!AusblendZeilen_RindAnderes</vt:lpstr>
      <vt:lpstr>Allg!AusblendZeilen3</vt:lpstr>
      <vt:lpstr>Allg!AusblendZeilen4</vt:lpstr>
      <vt:lpstr>Kennz!AusblendZeilenLight</vt:lpstr>
      <vt:lpstr>HDA!AusblendZeilenRindAnderes</vt:lpstr>
      <vt:lpstr>Tierb!AusblendZeilenRindAnderes</vt:lpstr>
      <vt:lpstr>Q!auswählen</vt:lpstr>
      <vt:lpstr>GMF!BackupSpalten</vt:lpstr>
      <vt:lpstr>Fläche!Bauzone</vt:lpstr>
      <vt:lpstr>Hd!Bedarf_Anfall</vt:lpstr>
      <vt:lpstr>Fläche!BeerenGewürz</vt:lpstr>
      <vt:lpstr>BDB!BeitragsSumme</vt:lpstr>
      <vt:lpstr>Tierb!BeitrGr1</vt:lpstr>
      <vt:lpstr>Tierb!BeitrGr1_oRi</vt:lpstr>
      <vt:lpstr>Tierb!BeitrGr2</vt:lpstr>
      <vt:lpstr>Tierb!BeitrGVE_tot</vt:lpstr>
      <vt:lpstr>Allg!Berater</vt:lpstr>
      <vt:lpstr>D_Tierb!Beteiligt</vt:lpstr>
      <vt:lpstr>BDB!BetragBez</vt:lpstr>
      <vt:lpstr>Allg!Betriebsnummer</vt:lpstr>
      <vt:lpstr>Kennz!BFF_ExtWiese</vt:lpstr>
      <vt:lpstr>Fläche!BFF_grün</vt:lpstr>
      <vt:lpstr>Kennz!BFF_Streue</vt:lpstr>
      <vt:lpstr>Kennz!BFF_WenigIntWiese</vt:lpstr>
      <vt:lpstr>D_Klick!BG_Liste</vt:lpstr>
      <vt:lpstr>Allg!BGIdx</vt:lpstr>
      <vt:lpstr>Q!BlattKürzel</vt:lpstr>
      <vt:lpstr>Q!BlattListe</vt:lpstr>
      <vt:lpstr>Q!BlattRef</vt:lpstr>
      <vt:lpstr>D_Klick!BTS_Gefl1</vt:lpstr>
      <vt:lpstr>D_Klick!BTS_Gefl2</vt:lpstr>
      <vt:lpstr>D_Klick!BTS_Schw</vt:lpstr>
      <vt:lpstr>D_Klick!BTS_WK</vt:lpstr>
      <vt:lpstr>D_Klick!BuntbracheBtr</vt:lpstr>
      <vt:lpstr>Q!BV</vt:lpstr>
      <vt:lpstr>Q!BV_L</vt:lpstr>
      <vt:lpstr>D_Tierb!chk_LH</vt:lpstr>
      <vt:lpstr>D_Tierb!chk_W</vt:lpstr>
      <vt:lpstr>Fläche!Christbaum</vt:lpstr>
      <vt:lpstr>D_Klick!CorrByCon</vt:lpstr>
      <vt:lpstr>'SB2'!D_K_Gehalt</vt:lpstr>
      <vt:lpstr>'SB2'!D_Mg_Gehalt</vt:lpstr>
      <vt:lpstr>'SB2'!D_N_Gehalt</vt:lpstr>
      <vt:lpstr>'SB2'!D_P_Gehalt</vt:lpstr>
      <vt:lpstr>Allg!Datum</vt:lpstr>
      <vt:lpstr>Fläche!Dauerkulturen</vt:lpstr>
      <vt:lpstr>Tierb!DBM_sichtbar</vt:lpstr>
      <vt:lpstr>Tierb!DBT_sichtbar</vt:lpstr>
      <vt:lpstr>D_Klick!DGVE_Fakt</vt:lpstr>
      <vt:lpstr>Hd!DGVE_Faktor</vt:lpstr>
      <vt:lpstr>HDA!DGVE_Faktor</vt:lpstr>
      <vt:lpstr>HDC!DGVE_Faktor</vt:lpstr>
      <vt:lpstr>Fläche!DK</vt:lpstr>
      <vt:lpstr>Allg!Druckbereich</vt:lpstr>
      <vt:lpstr>BDB!Druckbereich</vt:lpstr>
      <vt:lpstr>BioKennz!Druckbereich</vt:lpstr>
      <vt:lpstr>D_Bsi!Druckbereich</vt:lpstr>
      <vt:lpstr>D_Fläche!Druckbereich</vt:lpstr>
      <vt:lpstr>D_Gemüse1!Druckbereich</vt:lpstr>
      <vt:lpstr>D_Gemüse2!Druckbereich</vt:lpstr>
      <vt:lpstr>D_Hd!Druckbereich</vt:lpstr>
      <vt:lpstr>D_Klick!Druckbereich</vt:lpstr>
      <vt:lpstr>D_ObstBeeren!Druckbereich</vt:lpstr>
      <vt:lpstr>D_Tierb!Druckbereich</vt:lpstr>
      <vt:lpstr>Ff!Druckbereich</vt:lpstr>
      <vt:lpstr>Fläche!Druckbereich</vt:lpstr>
      <vt:lpstr>Fzukauf!Druckbereich</vt:lpstr>
      <vt:lpstr>'Gem1'!Druckbereich</vt:lpstr>
      <vt:lpstr>'Gem2'!Druckbereich</vt:lpstr>
      <vt:lpstr>GMF!Druckbereich</vt:lpstr>
      <vt:lpstr>Hd!Druckbereich</vt:lpstr>
      <vt:lpstr>HDA!Druckbereich</vt:lpstr>
      <vt:lpstr>HDB!Druckbereich</vt:lpstr>
      <vt:lpstr>HDC!Druckbereich</vt:lpstr>
      <vt:lpstr>Kennz!Druckbereich</vt:lpstr>
      <vt:lpstr>KLB!Druckbereich</vt:lpstr>
      <vt:lpstr>LQB!Druckbereich</vt:lpstr>
      <vt:lpstr>OB!Druckbereich</vt:lpstr>
      <vt:lpstr>PSB!Druckbereich</vt:lpstr>
      <vt:lpstr>REB!Druckbereich</vt:lpstr>
      <vt:lpstr>RED!Druckbereich</vt:lpstr>
      <vt:lpstr>RH!Druckbereich</vt:lpstr>
      <vt:lpstr>SAK!Druckbereich</vt:lpstr>
      <vt:lpstr>'SB1'!Druckbereich</vt:lpstr>
      <vt:lpstr>'SB2'!Druckbereich</vt:lpstr>
      <vt:lpstr>TG!Druckbereich</vt:lpstr>
      <vt:lpstr>Tierb!Druckbereich</vt:lpstr>
      <vt:lpstr>ÜGB!Druckbereich</vt:lpstr>
      <vt:lpstr>VSB!Druckbereich</vt:lpstr>
      <vt:lpstr>Q!drucken</vt:lpstr>
      <vt:lpstr>HDC!Drucktitel</vt:lpstr>
      <vt:lpstr>'SB2'!DüngerEinheit</vt:lpstr>
      <vt:lpstr>D_Klick!DüngerEinhListe</vt:lpstr>
      <vt:lpstr>'SB2'!DüngerMenge</vt:lpstr>
      <vt:lpstr>'SB2'!DüngerName</vt:lpstr>
      <vt:lpstr>'SB2'!DüngerZeilenvorlage</vt:lpstr>
      <vt:lpstr>'SB2'!DüngFaktoren</vt:lpstr>
      <vt:lpstr>TG!DungtypIdx</vt:lpstr>
      <vt:lpstr>Q!DZ</vt:lpstr>
      <vt:lpstr>Q!DZ_Tit</vt:lpstr>
      <vt:lpstr>Tierb!DZLösch</vt:lpstr>
      <vt:lpstr>Fläche!DZweiss</vt:lpstr>
      <vt:lpstr>Allg!Eigenland</vt:lpstr>
      <vt:lpstr>Allg!EigenlandA</vt:lpstr>
      <vt:lpstr>Allg!EigenlandB</vt:lpstr>
      <vt:lpstr>Allg!EigenlandC</vt:lpstr>
      <vt:lpstr>Allg!EigenlandD</vt:lpstr>
      <vt:lpstr>Allg!EigentumIdx</vt:lpstr>
      <vt:lpstr>Allg!EinblendZeilen</vt:lpstr>
      <vt:lpstr>Kennz!EinblendZeilenBio</vt:lpstr>
      <vt:lpstr>HDA!EinblendzeilenMuKu</vt:lpstr>
      <vt:lpstr>Tierb!EinblendZeilenMuKu</vt:lpstr>
      <vt:lpstr>HDA!Eingestreut</vt:lpstr>
      <vt:lpstr>HDC!Eingestreut</vt:lpstr>
      <vt:lpstr>D_Tierb!Einheit</vt:lpstr>
      <vt:lpstr>GMF!Einheit</vt:lpstr>
      <vt:lpstr>Hd!Einheit</vt:lpstr>
      <vt:lpstr>'SB1'!Einheit</vt:lpstr>
      <vt:lpstr>Tierb!Einheit</vt:lpstr>
      <vt:lpstr>Q!entsperren</vt:lpstr>
      <vt:lpstr>D_Klick!EquidListe1</vt:lpstr>
      <vt:lpstr>D_Klick!EquidListe2</vt:lpstr>
      <vt:lpstr>D_Klick!EquidListe3</vt:lpstr>
      <vt:lpstr>D_Klick!EquidListe4</vt:lpstr>
      <vt:lpstr>D_Klick!EquidListe5</vt:lpstr>
      <vt:lpstr>D_Klick!EquidListe6</vt:lpstr>
      <vt:lpstr>BDB!ErfassenPausch</vt:lpstr>
      <vt:lpstr>Allg!Erntejahr</vt:lpstr>
      <vt:lpstr>D_Klick!ErnteJahrListe</vt:lpstr>
      <vt:lpstr>D_Fläche!Ertrag</vt:lpstr>
      <vt:lpstr>'SB2'!Ertrag</vt:lpstr>
      <vt:lpstr>Fläche!Ertrag1</vt:lpstr>
      <vt:lpstr>Fläche!Ertrag2</vt:lpstr>
      <vt:lpstr>'SB2'!ErtragInt</vt:lpstr>
      <vt:lpstr>'SB2'!ErtragMittel</vt:lpstr>
      <vt:lpstr>D_Klick!ExtensoBtr</vt:lpstr>
      <vt:lpstr>D_Klick!ExtWiesenBtr</vt:lpstr>
      <vt:lpstr>D_Klick!f_MuKK_1</vt:lpstr>
      <vt:lpstr>D_Klick!f_MuKK_2</vt:lpstr>
      <vt:lpstr>D_Klick!F_Quot_2</vt:lpstr>
      <vt:lpstr>D_Klick!F_Quot_3</vt:lpstr>
      <vt:lpstr>D_Klick!F_Quot_4</vt:lpstr>
      <vt:lpstr>D_Tierb!factNgesJungvieh</vt:lpstr>
      <vt:lpstr>D_Tierb!factNgesMiKu</vt:lpstr>
      <vt:lpstr>D_Tierb!factNgesNormal</vt:lpstr>
      <vt:lpstr>D_Tierb!factNgesRed</vt:lpstr>
      <vt:lpstr>Tierb!Faktor</vt:lpstr>
      <vt:lpstr>Allg!Fax_Email</vt:lpstr>
      <vt:lpstr>Fläche!FehlerBedingung</vt:lpstr>
      <vt:lpstr>PSB!FehlerGMF</vt:lpstr>
      <vt:lpstr>Fläche!FehlerMarkieren</vt:lpstr>
      <vt:lpstr>Fläche!FehlerMeldung</vt:lpstr>
      <vt:lpstr>GMF!Fehlermeldung</vt:lpstr>
      <vt:lpstr>Q!FehlerZellen</vt:lpstr>
      <vt:lpstr>Fläche!FHF</vt:lpstr>
      <vt:lpstr>Q!Finished</vt:lpstr>
      <vt:lpstr>VSB!FL_BFF_grün_1</vt:lpstr>
      <vt:lpstr>VSB!FL_BFF_grün_2</vt:lpstr>
      <vt:lpstr>VSB!FL_BFF_grün_3</vt:lpstr>
      <vt:lpstr>VSB!FL_BFF_grün_4</vt:lpstr>
      <vt:lpstr>VSB!FL_BFF_grün_5</vt:lpstr>
      <vt:lpstr>VSB!FL_BFF_grün_6</vt:lpstr>
      <vt:lpstr>VSB!FL_BFF_grün_Summe</vt:lpstr>
      <vt:lpstr>VSB!FL_BFF_grün_Zonen</vt:lpstr>
      <vt:lpstr>VSB!FL_KW_1</vt:lpstr>
      <vt:lpstr>VSB!FL_KW_2</vt:lpstr>
      <vt:lpstr>VSB!FL_KW_3</vt:lpstr>
      <vt:lpstr>VSB!FL_KW_4</vt:lpstr>
      <vt:lpstr>VSB!FL_KW_5</vt:lpstr>
      <vt:lpstr>VSB!FL_KW_6</vt:lpstr>
      <vt:lpstr>VSB!FL_KW_Summe</vt:lpstr>
      <vt:lpstr>VSB!FL_KW_Zonen</vt:lpstr>
      <vt:lpstr>VSB!FL_NW_n_ÖA_1</vt:lpstr>
      <vt:lpstr>VSB!FL_NW_n_ÖA_2</vt:lpstr>
      <vt:lpstr>VSB!FL_NW_n_ÖA_3</vt:lpstr>
      <vt:lpstr>VSB!FL_NW_n_ÖA_4</vt:lpstr>
      <vt:lpstr>VSB!FL_NW_n_ÖA_5</vt:lpstr>
      <vt:lpstr>VSB!FL_NW_n_ÖA_6</vt:lpstr>
      <vt:lpstr>VSB!FL_NW_n_ÖA_Summe</vt:lpstr>
      <vt:lpstr>VSB!FL_NW_n_ÖA_Zonen</vt:lpstr>
      <vt:lpstr>VSB!FL_oA_DK_1</vt:lpstr>
      <vt:lpstr>VSB!FL_oA_DK_2</vt:lpstr>
      <vt:lpstr>VSB!FL_oA_DK_3</vt:lpstr>
      <vt:lpstr>VSB!FL_oA_DK_4</vt:lpstr>
      <vt:lpstr>VSB!FL_oA_DK_5</vt:lpstr>
      <vt:lpstr>VSB!FL_oA_DK_6</vt:lpstr>
      <vt:lpstr>VSB!FL_oA_DK_Summe</vt:lpstr>
      <vt:lpstr>VSB!FL_oA_DK_Zonen</vt:lpstr>
      <vt:lpstr>KLB!FL_Summe</vt:lpstr>
      <vt:lpstr>KLB!FL_Zone0</vt:lpstr>
      <vt:lpstr>KLB!FL_Zone1</vt:lpstr>
      <vt:lpstr>BDB!FL_Zone11</vt:lpstr>
      <vt:lpstr>BDB!FL_Zone12</vt:lpstr>
      <vt:lpstr>BDB!FL_Zone13</vt:lpstr>
      <vt:lpstr>BDB!FL_Zone14</vt:lpstr>
      <vt:lpstr>KLB!FL_Zone2</vt:lpstr>
      <vt:lpstr>BDB!FL_Zone21</vt:lpstr>
      <vt:lpstr>BDB!FL_Zone22</vt:lpstr>
      <vt:lpstr>BDB!FL_Zone23</vt:lpstr>
      <vt:lpstr>BDB!FL_Zone24</vt:lpstr>
      <vt:lpstr>KLB!FL_Zone3</vt:lpstr>
      <vt:lpstr>BDB!FL_Zone31</vt:lpstr>
      <vt:lpstr>BDB!FL_Zone32</vt:lpstr>
      <vt:lpstr>KLB!FL_Zone4</vt:lpstr>
      <vt:lpstr>KLB!FL_Zone5</vt:lpstr>
      <vt:lpstr>KLB!FL_Zonen</vt:lpstr>
      <vt:lpstr>BDB!FL_Zonen1</vt:lpstr>
      <vt:lpstr>BDB!FL_Zonen1Summe</vt:lpstr>
      <vt:lpstr>BDB!FL_Zonen2</vt:lpstr>
      <vt:lpstr>BDB!FL_Zonen2Summe</vt:lpstr>
      <vt:lpstr>BDB!FL_Zonen3</vt:lpstr>
      <vt:lpstr>BDB!FL_Zonen3Summe</vt:lpstr>
      <vt:lpstr>D_Fläche!Fläche</vt:lpstr>
      <vt:lpstr>'SB2'!Fläche</vt:lpstr>
      <vt:lpstr>Fläche!Fläche1</vt:lpstr>
      <vt:lpstr>Fläche!Fläche1Bis9.0</vt:lpstr>
      <vt:lpstr>Fläche!Fläche2</vt:lpstr>
      <vt:lpstr>PSB!FlächeGMF</vt:lpstr>
      <vt:lpstr>D_Fläche!FlächeMinusAckerSF</vt:lpstr>
      <vt:lpstr>D_Klick!FlächenBtr</vt:lpstr>
      <vt:lpstr>D_Klick!Flächenkonst</vt:lpstr>
      <vt:lpstr>D_Klick!Flächenziffer</vt:lpstr>
      <vt:lpstr>D_Klick!FlächKonst</vt:lpstr>
      <vt:lpstr>D_Klick!Förderlim</vt:lpstr>
      <vt:lpstr>D_Klick!FreilandListe</vt:lpstr>
      <vt:lpstr>HDC!FutterGehalt</vt:lpstr>
      <vt:lpstr>HDC!FutterGehaltStd</vt:lpstr>
      <vt:lpstr>Fläche!G</vt:lpstr>
      <vt:lpstr>D_Tierb!g_P</vt:lpstr>
      <vt:lpstr>D_Tierb!g_RP</vt:lpstr>
      <vt:lpstr>Allg!GeburtsJahr</vt:lpstr>
      <vt:lpstr>D_Tierb!Geflügel</vt:lpstr>
      <vt:lpstr>Tierb!Geflügel</vt:lpstr>
      <vt:lpstr>Fläche!Gem</vt:lpstr>
      <vt:lpstr>D_Bsi!GemKultur</vt:lpstr>
      <vt:lpstr>Fläche!GL</vt:lpstr>
      <vt:lpstr>Q!GMF_Nr</vt:lpstr>
      <vt:lpstr>D_Klick!GMF_Zone</vt:lpstr>
      <vt:lpstr>D_Klick!Grenze_SAK</vt:lpstr>
      <vt:lpstr>D_Klick!Grenze1</vt:lpstr>
      <vt:lpstr>D_Klick!Grenze2</vt:lpstr>
      <vt:lpstr>D_Klick!Grenze3</vt:lpstr>
      <vt:lpstr>HDA!GrubenNo</vt:lpstr>
      <vt:lpstr>D_Klick!GrünbracheBtr</vt:lpstr>
      <vt:lpstr>Hd!Gülle</vt:lpstr>
      <vt:lpstr>TG!Gülle</vt:lpstr>
      <vt:lpstr>HDA!Gülle_Mt</vt:lpstr>
      <vt:lpstr>HDC!Gülle_Mt</vt:lpstr>
      <vt:lpstr>HDA!Gülle_Typ</vt:lpstr>
      <vt:lpstr>HDC!Gülle_Typ</vt:lpstr>
      <vt:lpstr>HDC!Gülle1Sys1</vt:lpstr>
      <vt:lpstr>HDC!Gülle1Sys2</vt:lpstr>
      <vt:lpstr>HDC!Gülle2Sys1</vt:lpstr>
      <vt:lpstr>HDC!Gülle2Sys2</vt:lpstr>
      <vt:lpstr>HDC!Gülle3Sys1</vt:lpstr>
      <vt:lpstr>HDC!Gülle3Sys2</vt:lpstr>
      <vt:lpstr>D_Klick!GüllegrubenListe</vt:lpstr>
      <vt:lpstr>HDA!GülleNo</vt:lpstr>
      <vt:lpstr>Q!GültigAb_Nachweis</vt:lpstr>
      <vt:lpstr>Q!GültigAbErntejahr</vt:lpstr>
      <vt:lpstr>D_Tierb!GVE</vt:lpstr>
      <vt:lpstr>GMF!GVE</vt:lpstr>
      <vt:lpstr>Tierb!GVE_aRfv</vt:lpstr>
      <vt:lpstr>Tierb!GVE_Gfl</vt:lpstr>
      <vt:lpstr>Tierb!GVE_KWK</vt:lpstr>
      <vt:lpstr>Tierb!GVE_Pf</vt:lpstr>
      <vt:lpstr>Tierb!GVE_Rv</vt:lpstr>
      <vt:lpstr>Tierb!GVE_Schw</vt:lpstr>
      <vt:lpstr>HDA!H2O_S</vt:lpstr>
      <vt:lpstr>HDC!H2O_S</vt:lpstr>
      <vt:lpstr>HDA!H2O_W</vt:lpstr>
      <vt:lpstr>HDC!H2O_W</vt:lpstr>
      <vt:lpstr>D_Klick!ha_GVE</vt:lpstr>
      <vt:lpstr>D_Klick!HangBtr18_35</vt:lpstr>
      <vt:lpstr>D_Klick!HangBtr35_</vt:lpstr>
      <vt:lpstr>D_Klick!HeckenBtr</vt:lpstr>
      <vt:lpstr>D_Klick!HennenListe</vt:lpstr>
      <vt:lpstr>Fläche!HF_Fläche</vt:lpstr>
      <vt:lpstr>Fläche!HF_Fläche_B</vt:lpstr>
      <vt:lpstr>Fläche!HF_Kultur</vt:lpstr>
      <vt:lpstr>Fläche!HF_Kultur_B</vt:lpstr>
      <vt:lpstr>Fläche!HF_Kultur2</vt:lpstr>
      <vt:lpstr>Fläche!HF_Kultur2_B</vt:lpstr>
      <vt:lpstr>Tierb!Hi_La_Alp_üZ_üS</vt:lpstr>
      <vt:lpstr>Texte!HinweisPK</vt:lpstr>
      <vt:lpstr>Fläche!Hochstamm</vt:lpstr>
      <vt:lpstr>D_Klick!HochstammBtr</vt:lpstr>
      <vt:lpstr>Fläche!Hochstämme</vt:lpstr>
      <vt:lpstr>Allg!HöheÜberMeer</vt:lpstr>
      <vt:lpstr>D_Klick!HornListe</vt:lpstr>
      <vt:lpstr>Q!inBetvorlight</vt:lpstr>
      <vt:lpstr>D_Bsi!IndexFeb</vt:lpstr>
      <vt:lpstr>D_Bsi!IndexNov</vt:lpstr>
      <vt:lpstr>Q!inDirzahl</vt:lpstr>
      <vt:lpstr>Dblatt!Inhaltsverzeichnis</vt:lpstr>
      <vt:lpstr>Tierb!InitZelle</vt:lpstr>
      <vt:lpstr>Q!inNachweis</vt:lpstr>
      <vt:lpstr>Q!Input_AendernLeistung</vt:lpstr>
      <vt:lpstr>Q!Input_Anpassen_Kühe</vt:lpstr>
      <vt:lpstr>Q!Input_AnzahlKühe</vt:lpstr>
      <vt:lpstr>Q!Input_EingabePW</vt:lpstr>
      <vt:lpstr>Q!Input_Kühe</vt:lpstr>
      <vt:lpstr>Q!Input_Kuhzahl</vt:lpstr>
      <vt:lpstr>Q!Input_Milchmenge</vt:lpstr>
      <vt:lpstr>Q!Input_MLautom</vt:lpstr>
      <vt:lpstr>D_Klick!JahrListe1</vt:lpstr>
      <vt:lpstr>D_Klick!JahrListe2</vt:lpstr>
      <vt:lpstr>D_Klick!JaNeinListe</vt:lpstr>
      <vt:lpstr>D_Klick!JaNeinPlusListe</vt:lpstr>
      <vt:lpstr>Tierb!JvFormeln</vt:lpstr>
      <vt:lpstr>Tierb!JVGVE_eff</vt:lpstr>
      <vt:lpstr>D_Fläche!K_Bedarf</vt:lpstr>
      <vt:lpstr>'SB2'!K_Bedarf</vt:lpstr>
      <vt:lpstr>'SB1'!K_Einh_Jahr</vt:lpstr>
      <vt:lpstr>Tierb!K_Equid</vt:lpstr>
      <vt:lpstr>Tierb!K_FL</vt:lpstr>
      <vt:lpstr>D_Tierb!K_ges</vt:lpstr>
      <vt:lpstr>Tierb!K_He</vt:lpstr>
      <vt:lpstr>'SB1'!K_Jahr</vt:lpstr>
      <vt:lpstr>Tierb!K_KAG</vt:lpstr>
      <vt:lpstr>Tierb!K_MAK</vt:lpstr>
      <vt:lpstr>Tierb!K_MKK</vt:lpstr>
      <vt:lpstr>Tierb!K_MTR</vt:lpstr>
      <vt:lpstr>Tierb!K_Sch</vt:lpstr>
      <vt:lpstr>Tierb!K_St</vt:lpstr>
      <vt:lpstr>D_Tierb!Kaninchen</vt:lpstr>
      <vt:lpstr>Allg!Kanton</vt:lpstr>
      <vt:lpstr>Fläche!Kart_ZR</vt:lpstr>
      <vt:lpstr>Fläche!Kartoffeln</vt:lpstr>
      <vt:lpstr>D_Tierb!Kennnummer</vt:lpstr>
      <vt:lpstr>Hd!Key</vt:lpstr>
      <vt:lpstr>HDA!Key</vt:lpstr>
      <vt:lpstr>Tierb!Key</vt:lpstr>
      <vt:lpstr>D_Tierb!KF_Bereich</vt:lpstr>
      <vt:lpstr>D_Tierb!KFutter</vt:lpstr>
      <vt:lpstr>D_Tierb!kg_Nges</vt:lpstr>
      <vt:lpstr>D_Tierb!kg_Ntot</vt:lpstr>
      <vt:lpstr>D_Tierb!kg_P2O5</vt:lpstr>
      <vt:lpstr>Fläche!KgA</vt:lpstr>
      <vt:lpstr>Allg!KlickAnbaumeth</vt:lpstr>
      <vt:lpstr>Allg!KlickBG</vt:lpstr>
      <vt:lpstr>'SB2'!KlickDüngerEinh</vt:lpstr>
      <vt:lpstr>Allg!KlickEigentum</vt:lpstr>
      <vt:lpstr>Tierb!KlickEquid</vt:lpstr>
      <vt:lpstr>Tierb!KlickFreiland</vt:lpstr>
      <vt:lpstr>HDA!KlickGüllegrube</vt:lpstr>
      <vt:lpstr>HDC!KlickGüllegrube</vt:lpstr>
      <vt:lpstr>Tierb!KlickHennen</vt:lpstr>
      <vt:lpstr>Allg!KlickJahr</vt:lpstr>
      <vt:lpstr>HDA!KlickJaNein</vt:lpstr>
      <vt:lpstr>Tierb!KlickKuhAusmGalt</vt:lpstr>
      <vt:lpstr>'SB1'!KlickMist</vt:lpstr>
      <vt:lpstr>HDA!KlickMistplatz</vt:lpstr>
      <vt:lpstr>HDC!KlickMistplatzK</vt:lpstr>
      <vt:lpstr>HDC!KlickMistplatzS</vt:lpstr>
      <vt:lpstr>Tierb!KlickMTruten</vt:lpstr>
      <vt:lpstr>Tierb!KlickMutterkuh</vt:lpstr>
      <vt:lpstr>Allg!KlickSilozone</vt:lpstr>
      <vt:lpstr>Hd!KlickStallsys</vt:lpstr>
      <vt:lpstr>HDA!KlickStallSys</vt:lpstr>
      <vt:lpstr>Tierb!KlickStuten</vt:lpstr>
      <vt:lpstr>GMF!KlickVerZukauf</vt:lpstr>
      <vt:lpstr>'SB1'!KlickVollmist</vt:lpstr>
      <vt:lpstr>Allg!KlickZonenEintlg</vt:lpstr>
      <vt:lpstr>GMF!KlickZukaufahFF</vt:lpstr>
      <vt:lpstr>Fläche!KörnerG</vt:lpstr>
      <vt:lpstr>Fläche!Korr</vt:lpstr>
      <vt:lpstr>HDC!KorrekturGülle</vt:lpstr>
      <vt:lpstr>HDC!KorrekturMist</vt:lpstr>
      <vt:lpstr>D_Klick!KostBtr</vt:lpstr>
      <vt:lpstr>D_Klick!KostenBtr_Grenze</vt:lpstr>
      <vt:lpstr>GMF!Kraftfutter</vt:lpstr>
      <vt:lpstr>GMF!KraftfutterMiKu</vt:lpstr>
      <vt:lpstr>'SB1'!KraftfutterMiKu</vt:lpstr>
      <vt:lpstr>GMF!KraftfutterTotal</vt:lpstr>
      <vt:lpstr>D_Klick!KuhAusmGaltListe</vt:lpstr>
      <vt:lpstr>Fläche!Kultur</vt:lpstr>
      <vt:lpstr>'Gem1'!Kultur</vt:lpstr>
      <vt:lpstr>'Gem2'!Kultur</vt:lpstr>
      <vt:lpstr>OB!KulturBeeren</vt:lpstr>
      <vt:lpstr>D_Bsi!KulturenListe</vt:lpstr>
      <vt:lpstr>OB!KulturObst</vt:lpstr>
      <vt:lpstr>Q!KürzelListe</vt:lpstr>
      <vt:lpstr>D_Klick!Kürzung</vt:lpstr>
      <vt:lpstr>Fläche!KW</vt:lpstr>
      <vt:lpstr>Allg!LandwTotal</vt:lpstr>
      <vt:lpstr>HDA!Laufhofabzug</vt:lpstr>
      <vt:lpstr>HDC!Laufhofabzug</vt:lpstr>
      <vt:lpstr>HDA!LaufhofEinh</vt:lpstr>
      <vt:lpstr>D_Tierb!LaufhofJahre</vt:lpstr>
      <vt:lpstr>'SB1'!LaufhofJahre</vt:lpstr>
      <vt:lpstr>HDA!LaufhofTage</vt:lpstr>
      <vt:lpstr>'SB1'!Legende</vt:lpstr>
      <vt:lpstr>D_Tierb!Leistung</vt:lpstr>
      <vt:lpstr>Tierb!LHP</vt:lpstr>
      <vt:lpstr>Fläche!LNHangBeitrag</vt:lpstr>
      <vt:lpstr>Fläche!LNmitBauland</vt:lpstr>
      <vt:lpstr>GMF!LöschGVE</vt:lpstr>
      <vt:lpstr>Allg!LöschZellen</vt:lpstr>
      <vt:lpstr>Allg!LöschZellen3</vt:lpstr>
      <vt:lpstr>Allg!LöschZellen4</vt:lpstr>
      <vt:lpstr>Allg!LöschZellenBG</vt:lpstr>
      <vt:lpstr>D_Klick!lstEigentum</vt:lpstr>
      <vt:lpstr>D_Tierb!Mastkälber</vt:lpstr>
      <vt:lpstr>Tierb!MastKälber</vt:lpstr>
      <vt:lpstr>D_Klick!MastSW_GF</vt:lpstr>
      <vt:lpstr>D_Klick!MastTrutenListe</vt:lpstr>
      <vt:lpstr>Texte!mBG</vt:lpstr>
      <vt:lpstr>D_Klick!Mehrarbeit</vt:lpstr>
      <vt:lpstr>Hd!Menge</vt:lpstr>
      <vt:lpstr>D_Fläche!Mg_Bedarf</vt:lpstr>
      <vt:lpstr>'SB2'!Mg_Bedarf</vt:lpstr>
      <vt:lpstr>'SB1'!Mg_Einh_Jahr</vt:lpstr>
      <vt:lpstr>D_Tierb!Mg_ges</vt:lpstr>
      <vt:lpstr>'SB1'!Mg_Jahr</vt:lpstr>
      <vt:lpstr>Fläche!MHF</vt:lpstr>
      <vt:lpstr>Tierb!MiKuh</vt:lpstr>
      <vt:lpstr>D_Tierb!Milch</vt:lpstr>
      <vt:lpstr>GMF!Milch</vt:lpstr>
      <vt:lpstr>'SB1'!Milch</vt:lpstr>
      <vt:lpstr>Allg!MilchKont</vt:lpstr>
      <vt:lpstr>GMF!MilchkuhKraftfutter</vt:lpstr>
      <vt:lpstr>GMF!MilchkuhKraftfutterSöm</vt:lpstr>
      <vt:lpstr>HDA!Milchleistung</vt:lpstr>
      <vt:lpstr>Hd!Milchmenge</vt:lpstr>
      <vt:lpstr>Tierb!MilchMenge</vt:lpstr>
      <vt:lpstr>D_Tierb!MilkQuant</vt:lpstr>
      <vt:lpstr>D_Klick!MilkQuantGoat</vt:lpstr>
      <vt:lpstr>D_Tierb!MilkQuantGoat</vt:lpstr>
      <vt:lpstr>Tierb!MilkQuantGoat</vt:lpstr>
      <vt:lpstr>D_Klick!MIlkQuantGoatDiff</vt:lpstr>
      <vt:lpstr>D_Klick!MilkQuantGoatStand</vt:lpstr>
      <vt:lpstr>D_Klick!MilkQuantityDiff</vt:lpstr>
      <vt:lpstr>D_Klick!MilkQuantityStandard</vt:lpstr>
      <vt:lpstr>D_Klick!MilkQuantSheep</vt:lpstr>
      <vt:lpstr>D_Tierb!MilkQuantSheep</vt:lpstr>
      <vt:lpstr>Tierb!MilkQuantSheep</vt:lpstr>
      <vt:lpstr>D_Klick!MilkQuantSheepDiff</vt:lpstr>
      <vt:lpstr>D_Klick!MilkQuantSheepStand</vt:lpstr>
      <vt:lpstr>Hd!Mist</vt:lpstr>
      <vt:lpstr>HDA!Mist_Mt</vt:lpstr>
      <vt:lpstr>HDC!Mist_Mt</vt:lpstr>
      <vt:lpstr>HDA!Mist_Typ</vt:lpstr>
      <vt:lpstr>HDC!Mist_Typ</vt:lpstr>
      <vt:lpstr>HDC!Mist1Sys1</vt:lpstr>
      <vt:lpstr>HDC!Mist1Sys2</vt:lpstr>
      <vt:lpstr>HDC!Mist2Sys1</vt:lpstr>
      <vt:lpstr>HDC!Mist2Sys2</vt:lpstr>
      <vt:lpstr>HDA!MistNo</vt:lpstr>
      <vt:lpstr>D_Klick!MistplatzListe</vt:lpstr>
      <vt:lpstr>HDA!MistplatzNo</vt:lpstr>
      <vt:lpstr>D_Tierb!MJ</vt:lpstr>
      <vt:lpstr>D_Klick!MKälberListe</vt:lpstr>
      <vt:lpstr>Tierb!MKGVE_eff</vt:lpstr>
      <vt:lpstr>D_Klick!MKK_Platz</vt:lpstr>
      <vt:lpstr>Q!Msg_AKBilanz</vt:lpstr>
      <vt:lpstr>Q!Msg_AllgAngaben</vt:lpstr>
      <vt:lpstr>Q!Msg_Ausführen</vt:lpstr>
      <vt:lpstr>Q!Msg_Bereiche</vt:lpstr>
      <vt:lpstr>Q!Msg_DateiName</vt:lpstr>
      <vt:lpstr>Q!Msg_Dateiwahl</vt:lpstr>
      <vt:lpstr>Q!Msg_DatumFertig</vt:lpstr>
      <vt:lpstr>Q!Msg_DBMuKu</vt:lpstr>
      <vt:lpstr>Q!Msg_DlgValDel</vt:lpstr>
      <vt:lpstr>Q!Msg_Eingetragen</vt:lpstr>
      <vt:lpstr>Q!Msg_Erfolgsrechnung</vt:lpstr>
      <vt:lpstr>Q!Msg_Erntejahr</vt:lpstr>
      <vt:lpstr>Q!Msg_Erntejahr1</vt:lpstr>
      <vt:lpstr>Q!Msg_Erntejahr2</vt:lpstr>
      <vt:lpstr>Q!Msg_ErntejahrWahl</vt:lpstr>
      <vt:lpstr>Q!Msg_FalscheMappe</vt:lpstr>
      <vt:lpstr>Q!Msg_FeBuVers</vt:lpstr>
      <vt:lpstr>Q!Msg_Fehlerknopf</vt:lpstr>
      <vt:lpstr>Q!Msg_Fehlerkorrektur</vt:lpstr>
      <vt:lpstr>Q!Msg_FehlerMarkieren</vt:lpstr>
      <vt:lpstr>Q!Msg_FehlerMeldung</vt:lpstr>
      <vt:lpstr>Q!Msg_FehlerMldg</vt:lpstr>
      <vt:lpstr>Q!Msg_Feldbuch1</vt:lpstr>
      <vt:lpstr>Q!Msg_Feldbuch2</vt:lpstr>
      <vt:lpstr>Q!Msg_FlächenEintrag</vt:lpstr>
      <vt:lpstr>Q!Msg_FlächenErträge</vt:lpstr>
      <vt:lpstr>Q!Msg_Fortfahren</vt:lpstr>
      <vt:lpstr>Q!Msg_FutterflächenEintrag</vt:lpstr>
      <vt:lpstr>Q!Msg_GFKosten</vt:lpstr>
      <vt:lpstr>Q!Msg_GleicheMappe</vt:lpstr>
      <vt:lpstr>Q!Msg_Grassamen</vt:lpstr>
      <vt:lpstr>Q!Msg_Grube</vt:lpstr>
      <vt:lpstr>Q!Msg_Güllentrog</vt:lpstr>
      <vt:lpstr>Q!Msg_HF_ZF</vt:lpstr>
      <vt:lpstr>Q!Msg_Hinweis</vt:lpstr>
      <vt:lpstr>Q!Msg_HinweisSuiBi</vt:lpstr>
      <vt:lpstr>Q!Msg_Hofdüngeranfall</vt:lpstr>
      <vt:lpstr>Q!Msg_KeineZahl</vt:lpstr>
      <vt:lpstr>Q!Msg_KeinImport</vt:lpstr>
      <vt:lpstr>Q!Msg_Korrekturen</vt:lpstr>
      <vt:lpstr>Q!Msg_Kulturen_Tiere</vt:lpstr>
      <vt:lpstr>Q!Msg_Kulturfläche</vt:lpstr>
      <vt:lpstr>Q!Msg_LaufhofTiere</vt:lpstr>
      <vt:lpstr>Q!Msg_LöschBVL</vt:lpstr>
      <vt:lpstr>Q!Msg_LöschDZ</vt:lpstr>
      <vt:lpstr>Q!Msg_LöschNW</vt:lpstr>
      <vt:lpstr>Q!Msg_MehrereMappen</vt:lpstr>
      <vt:lpstr>Q!Msg_Mistplatz</vt:lpstr>
      <vt:lpstr>Q!Msg_MK_Zahl</vt:lpstr>
      <vt:lpstr>Q!Msg_MPlatz</vt:lpstr>
      <vt:lpstr>Q!Msg_NegativeZahl</vt:lpstr>
      <vt:lpstr>Q!Msg_NichtGeladen</vt:lpstr>
      <vt:lpstr>Q!Msg_NichtPositiv</vt:lpstr>
      <vt:lpstr>Q!Msg_NurBetvor</vt:lpstr>
      <vt:lpstr>Q!Msg_NurEineMappe</vt:lpstr>
      <vt:lpstr>Q!Msg_Objekte</vt:lpstr>
      <vt:lpstr>Q!Msg_Passwort</vt:lpstr>
      <vt:lpstr>Q!Msg_Platz_MK_K1</vt:lpstr>
      <vt:lpstr>Q!Msg_Platz_MK_K2</vt:lpstr>
      <vt:lpstr>Q!Msg_Position</vt:lpstr>
      <vt:lpstr>Q!Msg_Raufutterverzehrer</vt:lpstr>
      <vt:lpstr>Q!Msg_SeiteDrei</vt:lpstr>
      <vt:lpstr>Q!Msg_Sömmerung_Diff</vt:lpstr>
      <vt:lpstr>Q!Msg_Speichern</vt:lpstr>
      <vt:lpstr>Q!Msg_Stallsys</vt:lpstr>
      <vt:lpstr>Q!Msg_SuiBiRechnen</vt:lpstr>
      <vt:lpstr>Q!Msg_Tabelle_voll</vt:lpstr>
      <vt:lpstr>Q!Msg_TechPlan</vt:lpstr>
      <vt:lpstr>Q!Msg_TF_Markierung</vt:lpstr>
      <vt:lpstr>Q!Msg_TF_Meldung</vt:lpstr>
      <vt:lpstr>Q!Msg_Tierbestand</vt:lpstr>
      <vt:lpstr>Q!Msg_TiereEingetragen</vt:lpstr>
      <vt:lpstr>Q!Msg_Tiersumme</vt:lpstr>
      <vt:lpstr>Q!Msg_TSBilanz</vt:lpstr>
      <vt:lpstr>Q!Msg_Uebernahme</vt:lpstr>
      <vt:lpstr>Q!Msg_Umwandeln</vt:lpstr>
      <vt:lpstr>Q!Msg_Warnung</vt:lpstr>
      <vt:lpstr>Q!Msg_WeideTiere</vt:lpstr>
      <vt:lpstr>Q!Msg_WeitereMldg</vt:lpstr>
      <vt:lpstr>Q!Msg_Weiterfahren</vt:lpstr>
      <vt:lpstr>Q!Msg_WelcheMappe</vt:lpstr>
      <vt:lpstr>Q!Msg_WF_Zahl</vt:lpstr>
      <vt:lpstr>Q!Msg_Zeichen</vt:lpstr>
      <vt:lpstr>Q!Msg_Zeichenfolge</vt:lpstr>
      <vt:lpstr>Q!Msg_ZS_Markierung</vt:lpstr>
      <vt:lpstr>Q!Msg_ZS_Meldung</vt:lpstr>
      <vt:lpstr>Q!Msg_ZuvieleGattungen</vt:lpstr>
      <vt:lpstr>Q!Msg_ZuvieleKategorien</vt:lpstr>
      <vt:lpstr>Q!Msg_ZuvieleKulturen</vt:lpstr>
      <vt:lpstr>Q!Msg_ZuvieleTiere</vt:lpstr>
      <vt:lpstr>Q!Msg_ZuvieleZweige</vt:lpstr>
      <vt:lpstr>Q!Msg_ZuWegTiere</vt:lpstr>
      <vt:lpstr>Q!Msg_Zuweisung</vt:lpstr>
      <vt:lpstr>Tierb!MSP</vt:lpstr>
      <vt:lpstr>Tierb!MuKu_BZw</vt:lpstr>
      <vt:lpstr>Allg!MüssenDefSein</vt:lpstr>
      <vt:lpstr>Fläche!MüssenDefSein</vt:lpstr>
      <vt:lpstr>Allg!mussPosSein</vt:lpstr>
      <vt:lpstr>Ff!mussPosSein</vt:lpstr>
      <vt:lpstr>Fläche!mussPosSein</vt:lpstr>
      <vt:lpstr>'Gem1'!mussPosSein</vt:lpstr>
      <vt:lpstr>'Gem2'!mussPosSein</vt:lpstr>
      <vt:lpstr>Kennz!mussPosSein</vt:lpstr>
      <vt:lpstr>OB!mussPosSein</vt:lpstr>
      <vt:lpstr>RH!mussPosSein</vt:lpstr>
      <vt:lpstr>'SB2'!mussPosSein</vt:lpstr>
      <vt:lpstr>Tierb!mussPosSein</vt:lpstr>
      <vt:lpstr>D_Tierb!mussZahlSein</vt:lpstr>
      <vt:lpstr>Hd!mussZahlSein</vt:lpstr>
      <vt:lpstr>Kennz!mussZahlSein</vt:lpstr>
      <vt:lpstr>'SB2'!mussZahlSein</vt:lpstr>
      <vt:lpstr>Tierb!mussZahlSein</vt:lpstr>
      <vt:lpstr>Tierb!Mutterkuhkälber</vt:lpstr>
      <vt:lpstr>D_Klick!MutterkuhListe</vt:lpstr>
      <vt:lpstr>'SB2'!N_Bedarf</vt:lpstr>
      <vt:lpstr>'SB1'!N_Einh_Jahr</vt:lpstr>
      <vt:lpstr>Tierb!N_Equid</vt:lpstr>
      <vt:lpstr>D_Tierb!N_ges</vt:lpstr>
      <vt:lpstr>GMF!N_UebrigeRFTiere</vt:lpstr>
      <vt:lpstr>D_Tierb!N_Umsatz</vt:lpstr>
      <vt:lpstr>Allg!Namen</vt:lpstr>
      <vt:lpstr>Allg!NameVorname</vt:lpstr>
      <vt:lpstr>Texte!NE_EK</vt:lpstr>
      <vt:lpstr>Q!NE_Fam</vt:lpstr>
      <vt:lpstr>Fläche!Nebenprod2Zus</vt:lpstr>
      <vt:lpstr>Fläche!Nebenprodukte1</vt:lpstr>
      <vt:lpstr>Fläche!Nebenprodukte2</vt:lpstr>
      <vt:lpstr>D_Fläche!Nfix_Bedarf</vt:lpstr>
      <vt:lpstr>'SB1'!Nges_Einh_Jahr</vt:lpstr>
      <vt:lpstr>'SB1'!Nges_Jahr</vt:lpstr>
      <vt:lpstr>'SB1'!NgesAnteil</vt:lpstr>
      <vt:lpstr>'SB1'!NgesAnteilMist</vt:lpstr>
      <vt:lpstr>D_Tierb!NichtWeideTiere</vt:lpstr>
      <vt:lpstr>'SB1'!NichtWeideTiere</vt:lpstr>
      <vt:lpstr>D_Fläche!Nkorr_Bedarf</vt:lpstr>
      <vt:lpstr>'SB2'!Nkorr_Bedarf</vt:lpstr>
      <vt:lpstr>D_Fläche!Nkorr_Darst</vt:lpstr>
      <vt:lpstr>'SB2'!NKorr_Darst</vt:lpstr>
      <vt:lpstr>Tierb!NST_Ab</vt:lpstr>
      <vt:lpstr>Q!NW</vt:lpstr>
      <vt:lpstr>Fläche!NW_n_ÖA</vt:lpstr>
      <vt:lpstr>Q!NW_Tit</vt:lpstr>
      <vt:lpstr>Fläche!oA_DK_VSB</vt:lpstr>
      <vt:lpstr>D_Klick!oAF_DKBtr</vt:lpstr>
      <vt:lpstr>Texte!oBG</vt:lpstr>
      <vt:lpstr>Fläche!Obstanlage</vt:lpstr>
      <vt:lpstr>Fläche!offeneAckerfläche</vt:lpstr>
      <vt:lpstr>D_Tierb!OGrenze</vt:lpstr>
      <vt:lpstr>Fläche!OHB_Fläche</vt:lpstr>
      <vt:lpstr>Tierb!OKGVE_eff</vt:lpstr>
      <vt:lpstr>D_Fläche!P_Bedarf</vt:lpstr>
      <vt:lpstr>'SB2'!P_Bedarf</vt:lpstr>
      <vt:lpstr>'SB1'!P_Einh_Jahr</vt:lpstr>
      <vt:lpstr>D_Tierb!P_ges</vt:lpstr>
      <vt:lpstr>'SB1'!P_Jahr</vt:lpstr>
      <vt:lpstr>Allg!Pachtland</vt:lpstr>
      <vt:lpstr>Allg!PachtlandA</vt:lpstr>
      <vt:lpstr>Allg!PachtlandB</vt:lpstr>
      <vt:lpstr>Allg!PachtlandC</vt:lpstr>
      <vt:lpstr>Allg!PachtlandD</vt:lpstr>
      <vt:lpstr>D_Klick!Parz_AckerListe</vt:lpstr>
      <vt:lpstr>D_Klick!Parz_FutterListe</vt:lpstr>
      <vt:lpstr>BDB!PauschBetrag</vt:lpstr>
      <vt:lpstr>BDB!PauschBez</vt:lpstr>
      <vt:lpstr>Allg!PFIdx</vt:lpstr>
      <vt:lpstr>Allg!PLZ_Ort</vt:lpstr>
      <vt:lpstr>Q!ProgrammTyp</vt:lpstr>
      <vt:lpstr>D_Klick!QualBtrHecken</vt:lpstr>
      <vt:lpstr>D_Klick!QualBtrHochstamm</vt:lpstr>
      <vt:lpstr>D_Klick!QualBtrReben</vt:lpstr>
      <vt:lpstr>D_Klick!QualBtrWeiden</vt:lpstr>
      <vt:lpstr>D_Klick!QualBtrWiesen</vt:lpstr>
      <vt:lpstr>Fläche!Raps</vt:lpstr>
      <vt:lpstr>Allg!RapsKont</vt:lpstr>
      <vt:lpstr>Texte!RapsKuchen</vt:lpstr>
      <vt:lpstr>D_Klick!RauBtr_Milch</vt:lpstr>
      <vt:lpstr>D_Klick!RauBtr_Rind</vt:lpstr>
      <vt:lpstr>D_Klick!RauBtr_übrige</vt:lpstr>
      <vt:lpstr>D_Tierb!RaufutterVerzehrer</vt:lpstr>
      <vt:lpstr>Tierb!RaufutterVerzehrer</vt:lpstr>
      <vt:lpstr>D_Klick!RAUS_Galtsauen</vt:lpstr>
      <vt:lpstr>D_Klick!RAUS_Gefl</vt:lpstr>
      <vt:lpstr>D_Klick!RAUS_Schw</vt:lpstr>
      <vt:lpstr>D_Klick!RAUS_WK</vt:lpstr>
      <vt:lpstr>D_Klick!RebBtr35_50</vt:lpstr>
      <vt:lpstr>D_Klick!RebBtr50</vt:lpstr>
      <vt:lpstr>D_Klick!RebBtrTerr</vt:lpstr>
      <vt:lpstr>Fläche!Reben</vt:lpstr>
      <vt:lpstr>D_Klick!ReduktionDW</vt:lpstr>
      <vt:lpstr>Q!reparieren</vt:lpstr>
      <vt:lpstr>Tierb!RGVE</vt:lpstr>
      <vt:lpstr>Tierb!RGVE_korr</vt:lpstr>
      <vt:lpstr>Tierb!RGVE_oRi</vt:lpstr>
      <vt:lpstr>Tierb!RGVE_tot</vt:lpstr>
      <vt:lpstr>Tierb!Ri_Pf_Bi_MZ_MS</vt:lpstr>
      <vt:lpstr>PSB!RiAlle_Raus</vt:lpstr>
      <vt:lpstr>Tierb!RiAlle_Raus</vt:lpstr>
      <vt:lpstr>Tierb!RiGVE_Alp</vt:lpstr>
      <vt:lpstr>Tierb!RiGVE_Betrieb</vt:lpstr>
      <vt:lpstr>Tierb!RiGVE_BTS</vt:lpstr>
      <vt:lpstr>Tierb!RiGVE_eff</vt:lpstr>
      <vt:lpstr>Tierb!RiGVE_Faktor</vt:lpstr>
      <vt:lpstr>Tierb!RiGVE_RAUS</vt:lpstr>
      <vt:lpstr>Tierb!RiGVE_Söm</vt:lpstr>
      <vt:lpstr>Tierb!RiGVE_Total</vt:lpstr>
      <vt:lpstr>GMF!RiMaALG</vt:lpstr>
      <vt:lpstr>'SB1'!RiMaALG</vt:lpstr>
      <vt:lpstr>D_Klick!RiMaALG_SB</vt:lpstr>
      <vt:lpstr>GMF!RiMaTZW</vt:lpstr>
      <vt:lpstr>'SB1'!RiMaTZW</vt:lpstr>
      <vt:lpstr>D_Klick!RiMaTZW_SB</vt:lpstr>
      <vt:lpstr>D_Tierb!Rindvieh</vt:lpstr>
      <vt:lpstr>GMF!Rindvieh</vt:lpstr>
      <vt:lpstr>D_Klick!RMastListe</vt:lpstr>
      <vt:lpstr>D_Klick!RotatbracheBtr</vt:lpstr>
      <vt:lpstr>D_Klick!SAK_Beeren</vt:lpstr>
      <vt:lpstr>D_Klick!SAK_BioProz</vt:lpstr>
      <vt:lpstr>D_Klick!SAK_BioZschlg</vt:lpstr>
      <vt:lpstr>D_Klick!SAK_Brüsseler</vt:lpstr>
      <vt:lpstr>D_Klick!SAK_Champ</vt:lpstr>
      <vt:lpstr>D_Klick!SAK_Christ</vt:lpstr>
      <vt:lpstr>D_Klick!SAK_GHaus</vt:lpstr>
      <vt:lpstr>D_Klick!SAK_Hang</vt:lpstr>
      <vt:lpstr>D_Klick!SAK_Hochst</vt:lpstr>
      <vt:lpstr>D_Klick!SAK_Hochtunnel</vt:lpstr>
      <vt:lpstr>D_Klick!SAK_Kart</vt:lpstr>
      <vt:lpstr>D_Klick!SAK_Kelt</vt:lpstr>
      <vt:lpstr>D_Klick!SAK_LNoSpez</vt:lpstr>
      <vt:lpstr>D_Klick!SAK_LWnah</vt:lpstr>
      <vt:lpstr>D_Klick!SAK_Mast</vt:lpstr>
      <vt:lpstr>D_Klick!SAK_Milch</vt:lpstr>
      <vt:lpstr>D_Klick!SAK_MKSö</vt:lpstr>
      <vt:lpstr>D_Klick!SAK_NTSö</vt:lpstr>
      <vt:lpstr>D_Klick!SAK_Pilz</vt:lpstr>
      <vt:lpstr>D_Klick!SAK_ProdGarten</vt:lpstr>
      <vt:lpstr>D_Klick!SAK_Reb</vt:lpstr>
      <vt:lpstr>D_Klick!SAK_Selbstprod</vt:lpstr>
      <vt:lpstr>D_Klick!SAK_Spez</vt:lpstr>
      <vt:lpstr>D_Klick!SAK_Sprossen</vt:lpstr>
      <vt:lpstr>D_Klick!SAK_Steil</vt:lpstr>
      <vt:lpstr>D_Klick!SAK_Steilü50</vt:lpstr>
      <vt:lpstr>D_Klick!SAK_übrTier</vt:lpstr>
      <vt:lpstr>D_Klick!SAK_Wald</vt:lpstr>
      <vt:lpstr>D_Klick!SAK_Zucht</vt:lpstr>
      <vt:lpstr>SAK!SAKBasis</vt:lpstr>
      <vt:lpstr>D_Klick!SaumBtr</vt:lpstr>
      <vt:lpstr>GMF!SaveGVE</vt:lpstr>
      <vt:lpstr>BDB!SavePausch</vt:lpstr>
      <vt:lpstr>D_Klick!SchafListe</vt:lpstr>
      <vt:lpstr>D_Tierb!Schweine</vt:lpstr>
      <vt:lpstr>Tierb!Schweine</vt:lpstr>
      <vt:lpstr>HDA!SchweineGülle</vt:lpstr>
      <vt:lpstr>HDC!SchweineGülle</vt:lpstr>
      <vt:lpstr>HDA!Schwemmentmistung</vt:lpstr>
      <vt:lpstr>HDC!Schwemmentmistung</vt:lpstr>
      <vt:lpstr>Texte!Seite</vt:lpstr>
      <vt:lpstr>Dblatt!SeitenNo</vt:lpstr>
      <vt:lpstr>D_Klick!SöBtr_Milch</vt:lpstr>
      <vt:lpstr>D_Klick!SöBtr_Schafe</vt:lpstr>
      <vt:lpstr>D_Klick!SöBtr_übrigeRF</vt:lpstr>
      <vt:lpstr>HDA!Sommermonate</vt:lpstr>
      <vt:lpstr>KLB!Sömmerung</vt:lpstr>
      <vt:lpstr>GMF!SömTage</vt:lpstr>
      <vt:lpstr>GMF!SömTiere</vt:lpstr>
      <vt:lpstr>Q!sperren</vt:lpstr>
      <vt:lpstr>Tierb!SperrZellen</vt:lpstr>
      <vt:lpstr>D_Fläche!Spezialkultur</vt:lpstr>
      <vt:lpstr>'SB2'!Spezialkultur</vt:lpstr>
      <vt:lpstr>Fläche!Spezialkulturen</vt:lpstr>
      <vt:lpstr>Fläche!Spezialkulturen_oT</vt:lpstr>
      <vt:lpstr>Fläche!SpezialkulturenDZ</vt:lpstr>
      <vt:lpstr>D_Klick!SpezkulturenBtr</vt:lpstr>
      <vt:lpstr>Tierb!SPlatz</vt:lpstr>
      <vt:lpstr>Texte!SprachIdx</vt:lpstr>
      <vt:lpstr>HDA!StallSys1</vt:lpstr>
      <vt:lpstr>HDA!StallSys2</vt:lpstr>
      <vt:lpstr>D_Klick!StartCon</vt:lpstr>
      <vt:lpstr>D_Tierb!StartKF</vt:lpstr>
      <vt:lpstr>Allg!StartZelle</vt:lpstr>
      <vt:lpstr>BDB!StartZelle</vt:lpstr>
      <vt:lpstr>BioKennz!StartZelle</vt:lpstr>
      <vt:lpstr>D_Bsi!StartZelle</vt:lpstr>
      <vt:lpstr>D_Fläche!StartZelle</vt:lpstr>
      <vt:lpstr>D_Gemüse1!StartZelle</vt:lpstr>
      <vt:lpstr>D_Gemüse2!StartZelle</vt:lpstr>
      <vt:lpstr>D_Hd!StartZelle</vt:lpstr>
      <vt:lpstr>D_Klick!StartZelle</vt:lpstr>
      <vt:lpstr>D_ObstBeeren!StartZelle</vt:lpstr>
      <vt:lpstr>D_Tierb!StartZelle</vt:lpstr>
      <vt:lpstr>Dblatt!StartZelle</vt:lpstr>
      <vt:lpstr>Ff!StartZelle</vt:lpstr>
      <vt:lpstr>Fläche!StartZelle</vt:lpstr>
      <vt:lpstr>FormE!StartZelle</vt:lpstr>
      <vt:lpstr>Fzukauf!Startzelle</vt:lpstr>
      <vt:lpstr>'Gem1'!StartZelle</vt:lpstr>
      <vt:lpstr>'Gem2'!StartZelle</vt:lpstr>
      <vt:lpstr>GMF!StartZelle</vt:lpstr>
      <vt:lpstr>Hd!StartZelle</vt:lpstr>
      <vt:lpstr>HDA!StartZelle</vt:lpstr>
      <vt:lpstr>HDB!StartZelle</vt:lpstr>
      <vt:lpstr>HDC!StartZelle</vt:lpstr>
      <vt:lpstr>Kennz!StartZelle</vt:lpstr>
      <vt:lpstr>KLB!StartZelle</vt:lpstr>
      <vt:lpstr>LQB!StartZelle</vt:lpstr>
      <vt:lpstr>OB!StartZelle</vt:lpstr>
      <vt:lpstr>PSB!StartZelle</vt:lpstr>
      <vt:lpstr>REB!StartZelle</vt:lpstr>
      <vt:lpstr>RED!StartZelle</vt:lpstr>
      <vt:lpstr>RH!Startzelle</vt:lpstr>
      <vt:lpstr>SAK!StartZelle</vt:lpstr>
      <vt:lpstr>'SB1'!StartZelle</vt:lpstr>
      <vt:lpstr>'SB2'!StartZelle</vt:lpstr>
      <vt:lpstr>Texte!StartZelle</vt:lpstr>
      <vt:lpstr>TG!StartZelle</vt:lpstr>
      <vt:lpstr>Tierb!StartZelle</vt:lpstr>
      <vt:lpstr>TW!StartZelle</vt:lpstr>
      <vt:lpstr>ÜGB!StartZelle</vt:lpstr>
      <vt:lpstr>VSB!StartZelle</vt:lpstr>
      <vt:lpstr>D_Fläche!StdErtrag</vt:lpstr>
      <vt:lpstr>'SB2'!StdErtrag</vt:lpstr>
      <vt:lpstr>D_Klick!StkDivisor</vt:lpstr>
      <vt:lpstr>Allg!StrasseHof</vt:lpstr>
      <vt:lpstr>D_Tierb!Strd_g_P</vt:lpstr>
      <vt:lpstr>D_Tierb!Strd_g_RP</vt:lpstr>
      <vt:lpstr>D_Tierb!Strd_MJ</vt:lpstr>
      <vt:lpstr>Hd!Stroh</vt:lpstr>
      <vt:lpstr>HDA!Stroh_Mt</vt:lpstr>
      <vt:lpstr>HDC!Stroh_Mt</vt:lpstr>
      <vt:lpstr>Texte!Stück</vt:lpstr>
      <vt:lpstr>D_Klick!Stufe1</vt:lpstr>
      <vt:lpstr>D_Klick!Stufe2</vt:lpstr>
      <vt:lpstr>D_Klick!Stufe3</vt:lpstr>
      <vt:lpstr>D_Klick!Stufe4</vt:lpstr>
      <vt:lpstr>D_Klick!StutenListe</vt:lpstr>
      <vt:lpstr>Q!SuchSpalten</vt:lpstr>
      <vt:lpstr>Q!SuiBiNr</vt:lpstr>
      <vt:lpstr>BDB!SummeBez</vt:lpstr>
      <vt:lpstr>Tierb!SWeide</vt:lpstr>
      <vt:lpstr>Tierb!SWeideStd</vt:lpstr>
      <vt:lpstr>Tierb!SWeideTag</vt:lpstr>
      <vt:lpstr>Tierb!SWeideTier</vt:lpstr>
      <vt:lpstr>D_Klick!T_Quot_2</vt:lpstr>
      <vt:lpstr>D_Klick!T_Quot_3</vt:lpstr>
      <vt:lpstr>D_Klick!T_Quot_4</vt:lpstr>
      <vt:lpstr>Q!Tabellenblätter</vt:lpstr>
      <vt:lpstr>Allg!Telefon</vt:lpstr>
      <vt:lpstr>D_Klick!TestListe</vt:lpstr>
      <vt:lpstr>Fläche!TextErtrag</vt:lpstr>
      <vt:lpstr>Hd!Tierart</vt:lpstr>
      <vt:lpstr>HDA!Tierart</vt:lpstr>
      <vt:lpstr>HDC!Tierart</vt:lpstr>
      <vt:lpstr>TG!Tierart</vt:lpstr>
      <vt:lpstr>Tierb!Tierart</vt:lpstr>
      <vt:lpstr>HDA!TierartIdx</vt:lpstr>
      <vt:lpstr>HDC!TierartIdx</vt:lpstr>
      <vt:lpstr>Tierb!Tierbestand</vt:lpstr>
      <vt:lpstr>D_Klick!TierbKonst</vt:lpstr>
      <vt:lpstr>D_Hd!Tierkey</vt:lpstr>
      <vt:lpstr>D_Klick!Tierkonst</vt:lpstr>
      <vt:lpstr>Allg!Titel</vt:lpstr>
      <vt:lpstr>GMF!Titel</vt:lpstr>
      <vt:lpstr>HDA!Titel</vt:lpstr>
      <vt:lpstr>HDB!Titel</vt:lpstr>
      <vt:lpstr>HDC!Titel</vt:lpstr>
      <vt:lpstr>Kennz!Titel</vt:lpstr>
      <vt:lpstr>RH!Titel</vt:lpstr>
      <vt:lpstr>Tierb!Titel</vt:lpstr>
      <vt:lpstr>BDB!Total</vt:lpstr>
      <vt:lpstr>'SB2'!TS_Ertrag</vt:lpstr>
      <vt:lpstr>D_Tierb!TS_FS</vt:lpstr>
      <vt:lpstr>Fläche!TS_int</vt:lpstr>
      <vt:lpstr>Q!txt¹</vt:lpstr>
      <vt:lpstr>Q!txt²</vt:lpstr>
      <vt:lpstr>Q!txt³</vt:lpstr>
      <vt:lpstr>Q!txtAbsatz</vt:lpstr>
      <vt:lpstr>Q!txtAbstand_em</vt:lpstr>
      <vt:lpstr>Q!txtAbstand_en</vt:lpstr>
      <vt:lpstr>Q!txtBvSubject</vt:lpstr>
      <vt:lpstr>Q!txtDt</vt:lpstr>
      <vt:lpstr>Q!txtDtHa</vt:lpstr>
      <vt:lpstr>txtEins</vt:lpstr>
      <vt:lpstr>Q!txtMoreEQ</vt:lpstr>
      <vt:lpstr>Q!txtMoreThan</vt:lpstr>
      <vt:lpstr>Q!txtTo</vt:lpstr>
      <vt:lpstr>D_Klick!übrigeDZ</vt:lpstr>
      <vt:lpstr>Fläche!übrigeLN</vt:lpstr>
      <vt:lpstr>D_Klick!ÜbrigeLN_Btr</vt:lpstr>
      <vt:lpstr>Fläche!übrigeOA</vt:lpstr>
      <vt:lpstr>D_Klick!ÜbrigeOffAckerflBtr</vt:lpstr>
      <vt:lpstr>Fläche!Ue</vt:lpstr>
      <vt:lpstr>D_Klick!UebergangText</vt:lpstr>
      <vt:lpstr>D_Tierb!UebrigeGFTiere</vt:lpstr>
      <vt:lpstr>GMF!UebrigeGFTiere</vt:lpstr>
      <vt:lpstr>D_Tierb!UebrigeRFTiere</vt:lpstr>
      <vt:lpstr>GMF!UebrigeRFTiere</vt:lpstr>
      <vt:lpstr>D_Tierb!UGrenze</vt:lpstr>
      <vt:lpstr>Fläche!Unkorr</vt:lpstr>
      <vt:lpstr>Allg!Variante</vt:lpstr>
      <vt:lpstr>TG!Verfügbar</vt:lpstr>
      <vt:lpstr>D_Klick!VernBtrBäume</vt:lpstr>
      <vt:lpstr>D_Klick!VernBtrBrachen</vt:lpstr>
      <vt:lpstr>D_Klick!VernBtrHecken</vt:lpstr>
      <vt:lpstr>D_Klick!VernBtrWeiden</vt:lpstr>
      <vt:lpstr>D_Klick!VernBtrWiesen</vt:lpstr>
      <vt:lpstr>Q!VersionsDatum</vt:lpstr>
      <vt:lpstr>Q!VersionsNummer</vt:lpstr>
      <vt:lpstr>D_Tierb!VerweisTab</vt:lpstr>
      <vt:lpstr>D_Tierb!Verzehr_Jahr</vt:lpstr>
      <vt:lpstr>GMF!Verzehr_Jahr</vt:lpstr>
      <vt:lpstr>'SB1'!Verzehr_Jahr</vt:lpstr>
      <vt:lpstr>D_Tierb!Verzehr_Tag</vt:lpstr>
      <vt:lpstr>D_Tierb!VerzehrSöm_Jahr</vt:lpstr>
      <vt:lpstr>D_Tierb!VerzehrSöm_Tag</vt:lpstr>
      <vt:lpstr>GMF!VerzehrSöm_Tag</vt:lpstr>
      <vt:lpstr>D_Klick!VerZukaufListe</vt:lpstr>
      <vt:lpstr>GMF!Vgl_SB</vt:lpstr>
      <vt:lpstr>D_Bsi!VKGemJa</vt:lpstr>
      <vt:lpstr>'SB1'!Vollmist_N</vt:lpstr>
      <vt:lpstr>D_Klick!VollmistListe1</vt:lpstr>
      <vt:lpstr>D_Klick!VollmistListe2</vt:lpstr>
      <vt:lpstr>Q!VorVersNr</vt:lpstr>
      <vt:lpstr>Fläche!Wald</vt:lpstr>
      <vt:lpstr>Tierb!Wasser_LHP</vt:lpstr>
      <vt:lpstr>Tierb!Wasser_MPP</vt:lpstr>
      <vt:lpstr>Tierb!Wasser_MSP</vt:lpstr>
      <vt:lpstr>Tierb!Wasser_RiGVE</vt:lpstr>
      <vt:lpstr>TW!WasserSommer</vt:lpstr>
      <vt:lpstr>TW!WasserSommerKonst</vt:lpstr>
      <vt:lpstr>TW!WasserWinter</vt:lpstr>
      <vt:lpstr>TW!WasserWinterKonst</vt:lpstr>
      <vt:lpstr>HDA!Weideabzug</vt:lpstr>
      <vt:lpstr>HDC!Weideabzug</vt:lpstr>
      <vt:lpstr>HDA!WeideEinh</vt:lpstr>
      <vt:lpstr>D_Tierb!WeideJahre</vt:lpstr>
      <vt:lpstr>'SB1'!WeideJahre</vt:lpstr>
      <vt:lpstr>Tierb!WeideLaufhof</vt:lpstr>
      <vt:lpstr>D_Klick!WeideListe</vt:lpstr>
      <vt:lpstr>HDA!WeideStd</vt:lpstr>
      <vt:lpstr>D_Tierb!WeideStunden</vt:lpstr>
      <vt:lpstr>D_Tierb!WeideTage</vt:lpstr>
      <vt:lpstr>HDA!WeideTage</vt:lpstr>
      <vt:lpstr>D_Tierb!WeideVieh</vt:lpstr>
      <vt:lpstr>'SB1'!WeideVieh</vt:lpstr>
      <vt:lpstr>Allg!WeitereAng</vt:lpstr>
      <vt:lpstr>GMF!WeitereKraftfutterSöm</vt:lpstr>
      <vt:lpstr>D_Klick!WenigIntBtr</vt:lpstr>
      <vt:lpstr>Q!WertBVlight</vt:lpstr>
      <vt:lpstr>Q!WertDirzahl</vt:lpstr>
      <vt:lpstr>Q!WertNachw</vt:lpstr>
      <vt:lpstr>GMF!Wiesenfutter</vt:lpstr>
      <vt:lpstr>GMF!WiesenfutterPlatz</vt:lpstr>
      <vt:lpstr>Allg!Winterfütterung</vt:lpstr>
      <vt:lpstr>HDA!Wintermonate</vt:lpstr>
      <vt:lpstr>D_Klick!YearOld</vt:lpstr>
      <vt:lpstr>GMF!Z_AB7369C7_DE08_4AD5_A530_2D676F998F11_.wvu.Cols</vt:lpstr>
      <vt:lpstr>GMF!Z_AB7369C7_DE08_4AD5_A530_2D676F998F11_.wvu.PrintArea</vt:lpstr>
      <vt:lpstr>HDB!ZahlGefordert</vt:lpstr>
      <vt:lpstr>HDC!ZahlGefordert</vt:lpstr>
      <vt:lpstr>Q!ZeichPos</vt:lpstr>
      <vt:lpstr>Q!ZellBezBVlight</vt:lpstr>
      <vt:lpstr>Q!ZellBezDirzahl</vt:lpstr>
      <vt:lpstr>Q!ZellBezNachw</vt:lpstr>
      <vt:lpstr>Tierb!ZiegenSchafe</vt:lpstr>
      <vt:lpstr>D_Klick!ZonenListe</vt:lpstr>
      <vt:lpstr>Tierb!ZS_AFP</vt:lpstr>
      <vt:lpstr>Tierb!ZS_Komb</vt:lpstr>
      <vt:lpstr>Fläche!ZsZahl</vt:lpstr>
      <vt:lpstr>Fläche!ZsZweig</vt:lpstr>
      <vt:lpstr>HDA!ZuAbzEinh</vt:lpstr>
      <vt:lpstr>HDA!ZuAbzTage</vt:lpstr>
      <vt:lpstr>Allg!ZuckerKont</vt:lpstr>
      <vt:lpstr>D_Klick!ZukaufahFFListe</vt:lpstr>
      <vt:lpstr>Texte!ZuvielBäume</vt:lpstr>
      <vt:lpstr>Texte!ZuvielFläche</vt:lpstr>
    </vt:vector>
  </TitlesOfParts>
  <Company>Agridea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9.9 - Wegleitung 1.19</dc:title>
  <dc:subject>Suisse-Bilanz Nachweis</dc:subject>
  <dc:creator>PraktikantIn2</dc:creator>
  <dc:description>9.9|1.19|1.10</dc:description>
  <cp:lastModifiedBy>PraktikantIn2</cp:lastModifiedBy>
  <cp:revision>90035</cp:revision>
  <cp:lastPrinted>2026-08-19T15:37:07Z</cp:lastPrinted>
  <dcterms:created xsi:type="dcterms:W3CDTF">2003-10-22T11:36:34Z</dcterms:created>
  <dcterms:modified xsi:type="dcterms:W3CDTF">2026-08-19T15:37:27Z</dcterms:modified>
  <cp:version>9.9-1.19-1.10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ellFormatCounter-DateTime">
    <vt:lpwstr>14.08.2018 18:38:57</vt:lpwstr>
  </property>
  <property fmtid="{D5CDD505-2E9C-101B-9397-08002B2CF9AE}" pid="3" name="CellFormatCounter-CFUsed">
    <vt:lpwstr>3766</vt:lpwstr>
  </property>
  <property fmtid="{D5CDD505-2E9C-101B-9397-08002B2CF9AE}" pid="4" name="CellFormatCounter-CFFree">
    <vt:lpwstr>219</vt:lpwstr>
  </property>
  <property fmtid="{D5CDD505-2E9C-101B-9397-08002B2CF9AE}" pid="5" name="CellFormatCounter-CFMax">
    <vt:lpwstr>3985</vt:lpwstr>
  </property>
  <property fmtid="{D5CDD505-2E9C-101B-9397-08002B2CF9AE}" pid="6" name="CellFormatCounter-CFQuota">
    <vt:lpwstr>94.50 %</vt:lpwstr>
  </property>
  <property fmtid="{D5CDD505-2E9C-101B-9397-08002B2CF9AE}" pid="7" name="CellFormatCounter-CellsPerFormat">
    <vt:lpwstr>56</vt:lpwstr>
  </property>
  <property fmtid="{D5CDD505-2E9C-101B-9397-08002B2CF9AE}" pid="8" name="ContentTypeId">
    <vt:lpwstr>0x0101009FE29911118CA0479937AAE205BDAF7C</vt:lpwstr>
  </property>
</Properties>
</file>