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un\Desktop\"/>
    </mc:Choice>
  </mc:AlternateContent>
  <xr:revisionPtr revIDLastSave="0" documentId="8_{163012DF-6073-4E43-B498-D02E6C017BAA}" xr6:coauthVersionLast="45" xr6:coauthVersionMax="45" xr10:uidLastSave="{00000000-0000-0000-0000-000000000000}"/>
  <bookViews>
    <workbookView xWindow="-108" yWindow="-108" windowWidth="23256" windowHeight="12576" activeTab="1" xr2:uid="{FECEC371-60E9-494A-A2FD-2558CDAC5C0E}"/>
  </bookViews>
  <sheets>
    <sheet name="Session 1" sheetId="2" r:id="rId1"/>
    <sheet name="Session 2" sheetId="1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" i="2" l="1"/>
  <c r="D82" i="2"/>
  <c r="D86" i="2"/>
  <c r="D88" i="2"/>
  <c r="D89" i="2"/>
  <c r="F80" i="2"/>
  <c r="E80" i="2"/>
  <c r="E113" i="2"/>
  <c r="E42" i="2"/>
  <c r="E46" i="2"/>
  <c r="E47" i="2"/>
  <c r="E54" i="2"/>
  <c r="E61" i="2"/>
  <c r="E64" i="2"/>
  <c r="E66" i="2"/>
  <c r="E93" i="2"/>
  <c r="E95" i="2"/>
  <c r="E97" i="2"/>
  <c r="E98" i="2"/>
  <c r="E99" i="2"/>
  <c r="E102" i="2"/>
  <c r="E108" i="2"/>
  <c r="E110" i="2"/>
  <c r="E114" i="2"/>
  <c r="E115" i="2"/>
  <c r="F70" i="2"/>
  <c r="E70" i="2"/>
  <c r="H30" i="1"/>
  <c r="N30" i="1"/>
  <c r="H31" i="1"/>
  <c r="N31" i="1"/>
  <c r="H32" i="1"/>
  <c r="N32" i="1"/>
  <c r="H33" i="1"/>
  <c r="N33" i="1"/>
  <c r="H34" i="1"/>
  <c r="N34" i="1"/>
  <c r="N36" i="1"/>
  <c r="I8" i="1"/>
  <c r="J8" i="1"/>
  <c r="K8" i="1"/>
  <c r="E86" i="1"/>
  <c r="M30" i="1"/>
  <c r="M31" i="1"/>
  <c r="M32" i="1"/>
  <c r="M33" i="1"/>
  <c r="M34" i="1"/>
  <c r="M36" i="1"/>
  <c r="D86" i="1"/>
  <c r="N35" i="1"/>
  <c r="E85" i="1"/>
  <c r="M35" i="1"/>
  <c r="D85" i="1"/>
  <c r="C18" i="1"/>
  <c r="Q10" i="1"/>
  <c r="R10" i="1"/>
  <c r="S10" i="1"/>
  <c r="S18" i="1"/>
  <c r="C19" i="1"/>
  <c r="Q11" i="1"/>
  <c r="R11" i="1"/>
  <c r="S11" i="1"/>
  <c r="S19" i="1"/>
  <c r="C20" i="1"/>
  <c r="Q12" i="1"/>
  <c r="R12" i="1"/>
  <c r="S12" i="1"/>
  <c r="S20" i="1"/>
  <c r="C21" i="1"/>
  <c r="Q13" i="1"/>
  <c r="R13" i="1"/>
  <c r="S13" i="1"/>
  <c r="S21" i="1"/>
  <c r="C22" i="1"/>
  <c r="Q14" i="1"/>
  <c r="R14" i="1"/>
  <c r="S14" i="1"/>
  <c r="S22" i="1"/>
  <c r="S24" i="1"/>
  <c r="Q8" i="1"/>
  <c r="R8" i="1"/>
  <c r="S8" i="1"/>
  <c r="D7" i="2"/>
  <c r="K81" i="1"/>
  <c r="R18" i="1"/>
  <c r="R19" i="1"/>
  <c r="R20" i="1"/>
  <c r="R21" i="1"/>
  <c r="R22" i="1"/>
  <c r="R24" i="1"/>
  <c r="J81" i="1"/>
  <c r="S23" i="1"/>
  <c r="K80" i="1"/>
  <c r="R23" i="1"/>
  <c r="J80" i="1"/>
  <c r="E9" i="2"/>
  <c r="F9" i="2"/>
  <c r="H9" i="2"/>
  <c r="G18" i="1"/>
  <c r="I10" i="1"/>
  <c r="J10" i="1"/>
  <c r="K10" i="1"/>
  <c r="K18" i="1"/>
  <c r="E10" i="2"/>
  <c r="F10" i="2"/>
  <c r="G10" i="2"/>
  <c r="H10" i="2"/>
  <c r="G19" i="1"/>
  <c r="I11" i="1"/>
  <c r="J11" i="1"/>
  <c r="K11" i="1"/>
  <c r="K19" i="1"/>
  <c r="E11" i="2"/>
  <c r="F11" i="2"/>
  <c r="G11" i="2"/>
  <c r="H11" i="2"/>
  <c r="G20" i="1"/>
  <c r="I12" i="1"/>
  <c r="J12" i="1"/>
  <c r="K12" i="1"/>
  <c r="K20" i="1"/>
  <c r="E12" i="2"/>
  <c r="F12" i="2"/>
  <c r="G12" i="2"/>
  <c r="H12" i="2"/>
  <c r="G21" i="1"/>
  <c r="I13" i="1"/>
  <c r="J13" i="1"/>
  <c r="K13" i="1"/>
  <c r="K21" i="1"/>
  <c r="E13" i="2"/>
  <c r="F13" i="2"/>
  <c r="G13" i="2"/>
  <c r="H13" i="2"/>
  <c r="G22" i="1"/>
  <c r="I14" i="1"/>
  <c r="J14" i="1"/>
  <c r="K14" i="1"/>
  <c r="K22" i="1"/>
  <c r="K24" i="1"/>
  <c r="E81" i="1"/>
  <c r="J18" i="1"/>
  <c r="J19" i="1"/>
  <c r="J20" i="1"/>
  <c r="J21" i="1"/>
  <c r="J22" i="1"/>
  <c r="J24" i="1"/>
  <c r="D81" i="1"/>
  <c r="K23" i="1"/>
  <c r="E80" i="1"/>
  <c r="J23" i="1"/>
  <c r="D80" i="1"/>
  <c r="K73" i="1"/>
  <c r="K71" i="1"/>
  <c r="F7" i="2"/>
  <c r="K70" i="1"/>
  <c r="F61" i="1"/>
  <c r="F44" i="1"/>
  <c r="F62" i="1"/>
  <c r="G62" i="1"/>
  <c r="H62" i="1"/>
  <c r="I62" i="1"/>
  <c r="J62" i="1"/>
  <c r="K62" i="1"/>
  <c r="E44" i="1"/>
  <c r="F45" i="1"/>
  <c r="K45" i="1"/>
  <c r="G45" i="1"/>
  <c r="G44" i="1"/>
  <c r="H45" i="1"/>
  <c r="H44" i="1"/>
  <c r="I45" i="1"/>
  <c r="I44" i="1"/>
  <c r="J45" i="1"/>
  <c r="J44" i="1"/>
  <c r="K44" i="1"/>
  <c r="K61" i="1"/>
  <c r="J61" i="1"/>
  <c r="I61" i="1"/>
  <c r="H61" i="1"/>
  <c r="G61" i="1"/>
  <c r="K58" i="1"/>
  <c r="J58" i="1"/>
  <c r="I58" i="1"/>
  <c r="H58" i="1"/>
  <c r="G58" i="1"/>
  <c r="F55" i="1"/>
  <c r="F56" i="1"/>
  <c r="G56" i="1"/>
  <c r="H56" i="1"/>
  <c r="I56" i="1"/>
  <c r="J56" i="1"/>
  <c r="K56" i="1"/>
  <c r="K55" i="1"/>
  <c r="J55" i="1"/>
  <c r="I55" i="1"/>
  <c r="H55" i="1"/>
  <c r="G55" i="1"/>
  <c r="E61" i="1"/>
  <c r="D61" i="1"/>
  <c r="E55" i="1"/>
  <c r="D55" i="1"/>
  <c r="F47" i="1"/>
  <c r="E47" i="1"/>
  <c r="D47" i="1"/>
  <c r="D44" i="1"/>
  <c r="K34" i="1"/>
  <c r="Q34" i="1"/>
  <c r="P34" i="1"/>
  <c r="K33" i="1"/>
  <c r="Q33" i="1"/>
  <c r="P33" i="1"/>
  <c r="K32" i="1"/>
  <c r="Q32" i="1"/>
  <c r="P32" i="1"/>
  <c r="K31" i="1"/>
  <c r="Q31" i="1"/>
  <c r="P31" i="1"/>
  <c r="K30" i="1"/>
  <c r="Q30" i="1"/>
  <c r="P30" i="1"/>
  <c r="M24" i="2"/>
  <c r="M14" i="1"/>
  <c r="L24" i="2"/>
  <c r="N14" i="1"/>
  <c r="O14" i="1"/>
  <c r="O22" i="1"/>
  <c r="N22" i="1"/>
  <c r="M23" i="2"/>
  <c r="M13" i="1"/>
  <c r="L23" i="2"/>
  <c r="N13" i="1"/>
  <c r="O13" i="1"/>
  <c r="O21" i="1"/>
  <c r="N21" i="1"/>
  <c r="M22" i="2"/>
  <c r="M12" i="1"/>
  <c r="L22" i="2"/>
  <c r="N12" i="1"/>
  <c r="O12" i="1"/>
  <c r="O20" i="1"/>
  <c r="N20" i="1"/>
  <c r="M21" i="2"/>
  <c r="M11" i="1"/>
  <c r="L21" i="2"/>
  <c r="N11" i="1"/>
  <c r="O11" i="1"/>
  <c r="O19" i="1"/>
  <c r="N19" i="1"/>
  <c r="M20" i="2"/>
  <c r="M10" i="1"/>
  <c r="L20" i="2"/>
  <c r="N10" i="1"/>
  <c r="O10" i="1"/>
  <c r="O18" i="1"/>
  <c r="N18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42" i="2"/>
  <c r="F46" i="2"/>
  <c r="F47" i="2"/>
  <c r="F54" i="2"/>
  <c r="F61" i="2"/>
  <c r="F64" i="2"/>
  <c r="F66" i="2"/>
  <c r="F93" i="2"/>
  <c r="F95" i="2"/>
  <c r="F97" i="2"/>
  <c r="F98" i="2"/>
  <c r="F99" i="2"/>
  <c r="F102" i="2"/>
  <c r="F108" i="2"/>
  <c r="F110" i="2"/>
  <c r="F114" i="2"/>
  <c r="F113" i="2"/>
  <c r="F115" i="2"/>
  <c r="E75" i="2"/>
  <c r="F86" i="2"/>
  <c r="E86" i="2"/>
  <c r="F82" i="2"/>
  <c r="F88" i="2"/>
  <c r="E82" i="2"/>
  <c r="E88" i="2"/>
  <c r="F75" i="2"/>
  <c r="F59" i="2"/>
  <c r="E59" i="2"/>
  <c r="F56" i="2"/>
  <c r="E56" i="2"/>
  <c r="F53" i="2"/>
  <c r="E53" i="2"/>
  <c r="D42" i="2"/>
  <c r="D46" i="2"/>
  <c r="D47" i="2"/>
  <c r="E48" i="2"/>
  <c r="F51" i="2"/>
  <c r="E51" i="2"/>
  <c r="F48" i="2"/>
  <c r="E89" i="2"/>
  <c r="F89" i="2"/>
  <c r="D54" i="2"/>
  <c r="D53" i="2"/>
  <c r="D51" i="2"/>
  <c r="D59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29" i="2"/>
  <c r="L29" i="2"/>
  <c r="K29" i="2"/>
  <c r="K24" i="2"/>
  <c r="K23" i="2"/>
  <c r="K22" i="2"/>
  <c r="K21" i="2"/>
  <c r="K20" i="2"/>
  <c r="M18" i="2"/>
  <c r="L18" i="2"/>
  <c r="K18" i="2"/>
  <c r="E7" i="2"/>
  <c r="H7" i="2"/>
  <c r="D61" i="2"/>
  <c r="D48" i="2"/>
  <c r="D64" i="2"/>
  <c r="D66" i="2"/>
  <c r="D56" i="2"/>
  <c r="G79" i="1"/>
  <c r="J79" i="1"/>
  <c r="E79" i="1"/>
  <c r="H79" i="1"/>
  <c r="K79" i="1"/>
  <c r="M8" i="1"/>
  <c r="N8" i="1"/>
  <c r="E62" i="1"/>
  <c r="D62" i="1"/>
  <c r="E56" i="1"/>
  <c r="D56" i="1"/>
  <c r="F48" i="1"/>
  <c r="G48" i="1"/>
  <c r="E48" i="1"/>
  <c r="D48" i="1"/>
  <c r="E45" i="1"/>
  <c r="E43" i="1"/>
  <c r="F43" i="1"/>
  <c r="G43" i="1"/>
  <c r="H43" i="1"/>
  <c r="I43" i="1"/>
  <c r="J43" i="1"/>
  <c r="K43" i="1"/>
  <c r="Q36" i="1"/>
  <c r="Q35" i="1"/>
  <c r="O24" i="1"/>
  <c r="N24" i="1"/>
  <c r="O23" i="1"/>
  <c r="N23" i="1"/>
  <c r="N17" i="1"/>
  <c r="R17" i="1"/>
  <c r="M7" i="1"/>
  <c r="Q7" i="1"/>
  <c r="J7" i="1"/>
  <c r="N7" i="1"/>
  <c r="R7" i="1"/>
  <c r="L17" i="2"/>
  <c r="M17" i="2"/>
  <c r="O8" i="1"/>
  <c r="P35" i="1"/>
  <c r="G85" i="1"/>
  <c r="P36" i="1"/>
  <c r="G86" i="1"/>
  <c r="G81" i="1"/>
  <c r="G80" i="1"/>
  <c r="H48" i="1"/>
  <c r="G47" i="1"/>
  <c r="K7" i="1"/>
  <c r="O7" i="1"/>
  <c r="S7" i="1"/>
  <c r="K17" i="1"/>
  <c r="O17" i="1"/>
  <c r="S17" i="1"/>
  <c r="L28" i="2"/>
  <c r="M28" i="2"/>
  <c r="H28" i="2"/>
  <c r="I28" i="2"/>
  <c r="D28" i="2"/>
  <c r="E28" i="2"/>
  <c r="P17" i="2"/>
  <c r="Q17" i="2"/>
  <c r="H17" i="2"/>
  <c r="I17" i="2"/>
  <c r="D17" i="2"/>
  <c r="E17" i="2"/>
  <c r="G50" i="1"/>
  <c r="G53" i="1"/>
  <c r="G64" i="1"/>
  <c r="G65" i="1"/>
  <c r="I48" i="1"/>
  <c r="H47" i="1"/>
  <c r="H85" i="1"/>
  <c r="H80" i="1"/>
  <c r="H86" i="1"/>
  <c r="H81" i="1"/>
  <c r="H50" i="1"/>
  <c r="H53" i="1"/>
  <c r="H64" i="1"/>
  <c r="H65" i="1"/>
  <c r="J48" i="1"/>
  <c r="I47" i="1"/>
  <c r="I50" i="1"/>
  <c r="I53" i="1"/>
  <c r="I64" i="1"/>
  <c r="I65" i="1"/>
  <c r="K48" i="1"/>
  <c r="K47" i="1"/>
  <c r="J47" i="1"/>
  <c r="J50" i="1"/>
  <c r="J53" i="1"/>
  <c r="J64" i="1"/>
  <c r="J65" i="1"/>
  <c r="K50" i="1"/>
  <c r="K53" i="1"/>
  <c r="K64" i="1"/>
  <c r="K66" i="1"/>
  <c r="K67" i="1"/>
  <c r="K65" i="1"/>
  <c r="K69" i="1"/>
  <c r="C90" i="1"/>
  <c r="K72" i="1"/>
  <c r="C89" i="1"/>
  <c r="K74" i="1"/>
</calcChain>
</file>

<file path=xl/sharedStrings.xml><?xml version="1.0" encoding="utf-8"?>
<sst xmlns="http://schemas.openxmlformats.org/spreadsheetml/2006/main" count="203" uniqueCount="126">
  <si>
    <t>WACC</t>
  </si>
  <si>
    <t>TGR</t>
  </si>
  <si>
    <t>Cash</t>
  </si>
  <si>
    <t>Revenue</t>
  </si>
  <si>
    <t>% growth</t>
  </si>
  <si>
    <t>EBIT</t>
  </si>
  <si>
    <t>% margin</t>
  </si>
  <si>
    <t>Debt</t>
  </si>
  <si>
    <t>Taxes</t>
  </si>
  <si>
    <t>% tax rate</t>
  </si>
  <si>
    <t>EBIAT</t>
  </si>
  <si>
    <t>D&amp;A</t>
  </si>
  <si>
    <t>% sales</t>
  </si>
  <si>
    <t>Change in NWC</t>
  </si>
  <si>
    <t>% change in sales</t>
  </si>
  <si>
    <t>CapEx</t>
  </si>
  <si>
    <t>UFCF</t>
  </si>
  <si>
    <t>PV of FCF</t>
  </si>
  <si>
    <t>Terminal Value</t>
  </si>
  <si>
    <t>PV of TV</t>
  </si>
  <si>
    <t>Enterprise Value</t>
  </si>
  <si>
    <t>Equity Value</t>
  </si>
  <si>
    <t>Shares</t>
  </si>
  <si>
    <t>Price per share</t>
  </si>
  <si>
    <t>EPS</t>
  </si>
  <si>
    <t>Facebook</t>
  </si>
  <si>
    <t>Apple</t>
  </si>
  <si>
    <t>Twitter</t>
  </si>
  <si>
    <t>Microsoft</t>
  </si>
  <si>
    <t>Date</t>
  </si>
  <si>
    <t>Trading Comps</t>
  </si>
  <si>
    <t>Precedent Transactions</t>
  </si>
  <si>
    <t>DCF</t>
  </si>
  <si>
    <t>Amazon</t>
  </si>
  <si>
    <t>IBM</t>
  </si>
  <si>
    <t>Company</t>
  </si>
  <si>
    <t>Stock Price</t>
  </si>
  <si>
    <t>Market Cap</t>
  </si>
  <si>
    <t>EV</t>
  </si>
  <si>
    <t>Capital Expenditures</t>
  </si>
  <si>
    <t>Change in Net Working Capital</t>
  </si>
  <si>
    <t>EBITDA</t>
  </si>
  <si>
    <t>Diluted EPS</t>
  </si>
  <si>
    <t>Enterprise Value / Revenue</t>
  </si>
  <si>
    <t>Enterprise Value / EBITDA</t>
  </si>
  <si>
    <t>Price / EPS</t>
  </si>
  <si>
    <t>Enterprise</t>
  </si>
  <si>
    <t>Value</t>
  </si>
  <si>
    <t>Mean</t>
  </si>
  <si>
    <t>Median</t>
  </si>
  <si>
    <t>Transaction</t>
  </si>
  <si>
    <t>Microsoft / LinkedIn</t>
  </si>
  <si>
    <t>Dell / EMC</t>
  </si>
  <si>
    <t>Trading Comps (in MM's)</t>
  </si>
  <si>
    <t>Precedent Transactions (in MM's)</t>
  </si>
  <si>
    <t>Enterprise Value (in MM's)</t>
  </si>
  <si>
    <t>Income Statement (in MM's)</t>
  </si>
  <si>
    <t>Cash Flow Items (in MM's)</t>
  </si>
  <si>
    <t>Avago / Broadcom</t>
  </si>
  <si>
    <t>IBM / Red Hat</t>
  </si>
  <si>
    <t>Facebook / Whatsapp</t>
  </si>
  <si>
    <t>CY + 1</t>
  </si>
  <si>
    <t>CY + 2</t>
  </si>
  <si>
    <t>Diluted Shares</t>
  </si>
  <si>
    <t>Plus Cash</t>
  </si>
  <si>
    <t>Minus Debt</t>
  </si>
  <si>
    <t>DCF (in MM's) - Facebook</t>
  </si>
  <si>
    <t>Valuation</t>
  </si>
  <si>
    <t>Average</t>
  </si>
  <si>
    <t>COGS</t>
  </si>
  <si>
    <t>Net income</t>
  </si>
  <si>
    <t>Income statement</t>
  </si>
  <si>
    <t xml:space="preserve">Year 0 </t>
  </si>
  <si>
    <t>Year 1</t>
  </si>
  <si>
    <t>Year 2</t>
  </si>
  <si>
    <t xml:space="preserve">Volume </t>
  </si>
  <si>
    <t>Price</t>
  </si>
  <si>
    <t>Volume</t>
  </si>
  <si>
    <t>Unit COGS</t>
  </si>
  <si>
    <t>Gross Profit</t>
  </si>
  <si>
    <t>Sales and Marketing</t>
  </si>
  <si>
    <t>% of revenue</t>
  </si>
  <si>
    <t>General and Admin</t>
  </si>
  <si>
    <t>Total SG&amp;A</t>
  </si>
  <si>
    <t>Depreciation and Amortization</t>
  </si>
  <si>
    <t>EBIT (Operating income)</t>
  </si>
  <si>
    <t>(–) Interest expense</t>
  </si>
  <si>
    <t>Taxable income</t>
  </si>
  <si>
    <t>(–) Taxes</t>
  </si>
  <si>
    <t>Balance sheet items</t>
  </si>
  <si>
    <t>Assets</t>
  </si>
  <si>
    <t>Accounts receivable</t>
  </si>
  <si>
    <t>Prepaid expenses</t>
  </si>
  <si>
    <t>PPE</t>
  </si>
  <si>
    <t>Goodwill</t>
  </si>
  <si>
    <t>Total assets</t>
  </si>
  <si>
    <t>Liability</t>
  </si>
  <si>
    <t>Accounts payable</t>
  </si>
  <si>
    <t>Accrued expenses</t>
  </si>
  <si>
    <t>Revolver</t>
  </si>
  <si>
    <t>Total liability</t>
  </si>
  <si>
    <t xml:space="preserve">Shareholder's equity </t>
  </si>
  <si>
    <t xml:space="preserve">Retained earnings </t>
  </si>
  <si>
    <t>Total SHE</t>
  </si>
  <si>
    <t>L+SHE</t>
  </si>
  <si>
    <t>Check</t>
  </si>
  <si>
    <t>Cash flow statement</t>
  </si>
  <si>
    <t>(+) Non cash items included in IS</t>
  </si>
  <si>
    <t>(+ / –) Cash items not included in IS</t>
  </si>
  <si>
    <t>Change in AR</t>
  </si>
  <si>
    <t>Change in AP</t>
  </si>
  <si>
    <t>Operating cash flow</t>
  </si>
  <si>
    <t>(–) Capital expenditure</t>
  </si>
  <si>
    <t>Investing cash flow</t>
  </si>
  <si>
    <t>Debt raise / (repayment)</t>
  </si>
  <si>
    <t>Issuance of dividends</t>
  </si>
  <si>
    <t>Repurchase of MyCompanyCo. stock</t>
  </si>
  <si>
    <t>Purchase of other investment securities</t>
  </si>
  <si>
    <t>Financing cash flow</t>
  </si>
  <si>
    <t xml:space="preserve">Total change in cash </t>
  </si>
  <si>
    <t xml:space="preserve">Cash schedule </t>
  </si>
  <si>
    <t>Begin</t>
  </si>
  <si>
    <t>Change</t>
  </si>
  <si>
    <t>Ending</t>
  </si>
  <si>
    <t>Facebook: Financial Statements and Analysis</t>
  </si>
  <si>
    <t>Facebook: Company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</si>
</sst>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"/>
    <numFmt numFmtId="165" formatCode="0.0%"/>
    <numFmt numFmtId="166" formatCode="&quot;Year &quot;#"/>
    <numFmt numFmtId="167" formatCode="_(#,##0_)_%;_(\(#,##0\)_%;_(&quot;–&quot;_)_%;@_(_%"/>
    <numFmt numFmtId="168" formatCode="_([$$-409]#,##0_)_%;\([$$-409]#,##0\)_%;_(&quot;–&quot;_)_%;@_)_%"/>
    <numFmt numFmtId="169" formatCode="_(#,##0.0_)_%;_(\(#,##0.0\)_%;_(&quot;–&quot;_)_%;@_(_%"/>
    <numFmt numFmtId="170" formatCode="&quot;$&quot;#,##0"/>
    <numFmt numFmtId="171" formatCode="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u/>
      <sz val="10"/>
      <color theme="0"/>
      <name val="Arial"/>
      <family val="2"/>
    </font>
    <font>
      <sz val="10"/>
      <color theme="0"/>
      <name val="Arial"/>
      <family val="2"/>
    </font>
    <font>
      <b/>
      <u val="singleAccounting"/>
      <sz val="10"/>
      <color theme="1"/>
      <name val="Arial"/>
      <family val="2"/>
    </font>
    <font>
      <sz val="10"/>
      <color rgb="FF6AA94E"/>
      <name val="Arial"/>
      <family val="2"/>
    </font>
    <font>
      <u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theme="1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0" borderId="0" xfId="0" applyFont="1"/>
    <xf numFmtId="9" fontId="1" fillId="0" borderId="0" xfId="0" applyNumberFormat="1" applyFont="1"/>
    <xf numFmtId="0" fontId="5" fillId="0" borderId="0" xfId="0" applyFont="1"/>
    <xf numFmtId="0" fontId="4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3" borderId="2" xfId="0" applyFont="1" applyFill="1" applyBorder="1"/>
    <xf numFmtId="0" fontId="3" fillId="3" borderId="2" xfId="0" applyFont="1" applyFill="1" applyBorder="1"/>
    <xf numFmtId="0" fontId="1" fillId="0" borderId="2" xfId="0" applyFont="1" applyBorder="1"/>
    <xf numFmtId="0" fontId="1" fillId="0" borderId="0" xfId="0" applyFont="1" applyFill="1" applyBorder="1"/>
    <xf numFmtId="0" fontId="3" fillId="3" borderId="2" xfId="0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right"/>
    </xf>
    <xf numFmtId="0" fontId="3" fillId="2" borderId="2" xfId="0" applyFont="1" applyFill="1" applyBorder="1"/>
    <xf numFmtId="0" fontId="1" fillId="2" borderId="2" xfId="0" applyFont="1" applyFill="1" applyBorder="1"/>
    <xf numFmtId="164" fontId="1" fillId="0" borderId="0" xfId="0" applyNumberFormat="1" applyFont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3" borderId="0" xfId="0" applyFont="1" applyFill="1" applyBorder="1"/>
    <xf numFmtId="0" fontId="1" fillId="0" borderId="0" xfId="0" applyFont="1" applyBorder="1" applyAlignment="1">
      <alignment horizontal="right"/>
    </xf>
    <xf numFmtId="0" fontId="1" fillId="5" borderId="8" xfId="0" applyFont="1" applyFill="1" applyBorder="1"/>
    <xf numFmtId="0" fontId="1" fillId="5" borderId="10" xfId="0" applyFont="1" applyFill="1" applyBorder="1"/>
    <xf numFmtId="0" fontId="4" fillId="6" borderId="0" xfId="0" applyFont="1" applyFill="1" applyAlignment="1">
      <alignment horizontal="right"/>
    </xf>
    <xf numFmtId="0" fontId="4" fillId="6" borderId="2" xfId="0" applyFont="1" applyFill="1" applyBorder="1" applyAlignment="1">
      <alignment horizontal="right"/>
    </xf>
    <xf numFmtId="0" fontId="1" fillId="0" borderId="0" xfId="0" applyNumberFormat="1" applyFont="1" applyAlignment="1">
      <alignment horizontal="right"/>
    </xf>
    <xf numFmtId="14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2" xfId="0" applyFont="1" applyBorder="1"/>
    <xf numFmtId="0" fontId="6" fillId="5" borderId="6" xfId="0" applyFont="1" applyFill="1" applyBorder="1"/>
    <xf numFmtId="1" fontId="6" fillId="5" borderId="6" xfId="0" applyNumberFormat="1" applyFont="1" applyFill="1" applyBorder="1"/>
    <xf numFmtId="0" fontId="6" fillId="5" borderId="2" xfId="0" applyFont="1" applyFill="1" applyBorder="1"/>
    <xf numFmtId="1" fontId="6" fillId="5" borderId="2" xfId="0" applyNumberFormat="1" applyFont="1" applyFill="1" applyBorder="1"/>
    <xf numFmtId="164" fontId="1" fillId="4" borderId="3" xfId="0" applyNumberFormat="1" applyFont="1" applyFill="1" applyBorder="1" applyAlignment="1">
      <alignment horizontal="right"/>
    </xf>
    <xf numFmtId="164" fontId="6" fillId="0" borderId="0" xfId="0" applyNumberFormat="1" applyFont="1"/>
    <xf numFmtId="164" fontId="1" fillId="5" borderId="6" xfId="0" applyNumberFormat="1" applyFont="1" applyFill="1" applyBorder="1"/>
    <xf numFmtId="164" fontId="1" fillId="5" borderId="2" xfId="0" applyNumberFormat="1" applyFont="1" applyFill="1" applyBorder="1"/>
    <xf numFmtId="164" fontId="1" fillId="5" borderId="9" xfId="0" applyNumberFormat="1" applyFont="1" applyFill="1" applyBorder="1"/>
    <xf numFmtId="164" fontId="1" fillId="5" borderId="11" xfId="0" applyNumberFormat="1" applyFont="1" applyFill="1" applyBorder="1"/>
    <xf numFmtId="14" fontId="1" fillId="0" borderId="0" xfId="0" applyNumberFormat="1" applyFont="1"/>
    <xf numFmtId="0" fontId="6" fillId="3" borderId="2" xfId="0" applyFont="1" applyFill="1" applyBorder="1"/>
    <xf numFmtId="164" fontId="1" fillId="0" borderId="3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165" fontId="5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1" fontId="6" fillId="0" borderId="0" xfId="0" applyNumberFormat="1" applyFont="1"/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66" fontId="11" fillId="0" borderId="0" xfId="0" applyNumberFormat="1" applyFont="1" applyAlignment="1">
      <alignment horizontal="center"/>
    </xf>
    <xf numFmtId="0" fontId="3" fillId="9" borderId="6" xfId="0" applyFont="1" applyFill="1" applyBorder="1"/>
    <xf numFmtId="0" fontId="1" fillId="0" borderId="6" xfId="0" applyFont="1" applyBorder="1"/>
    <xf numFmtId="0" fontId="5" fillId="0" borderId="0" xfId="0" applyFont="1" applyFill="1" applyBorder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5" fillId="0" borderId="0" xfId="0" applyFont="1" applyAlignment="1">
      <alignment horizontal="left" indent="1"/>
    </xf>
    <xf numFmtId="0" fontId="3" fillId="0" borderId="6" xfId="0" applyFont="1" applyBorder="1"/>
    <xf numFmtId="0" fontId="13" fillId="0" borderId="0" xfId="0" applyFont="1"/>
    <xf numFmtId="167" fontId="1" fillId="0" borderId="0" xfId="0" applyNumberFormat="1" applyFont="1" applyFill="1"/>
    <xf numFmtId="167" fontId="1" fillId="0" borderId="0" xfId="0" applyNumberFormat="1" applyFont="1"/>
    <xf numFmtId="167" fontId="1" fillId="0" borderId="6" xfId="0" applyNumberFormat="1" applyFont="1" applyBorder="1"/>
    <xf numFmtId="0" fontId="1" fillId="0" borderId="0" xfId="0" applyFont="1" applyAlignment="1">
      <alignment horizontal="left" indent="1"/>
    </xf>
    <xf numFmtId="167" fontId="12" fillId="0" borderId="0" xfId="0" applyNumberFormat="1" applyFont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167" fontId="12" fillId="0" borderId="6" xfId="0" applyNumberFormat="1" applyFont="1" applyBorder="1"/>
    <xf numFmtId="169" fontId="1" fillId="0" borderId="0" xfId="0" applyNumberFormat="1" applyFont="1" applyAlignment="1">
      <alignment horizontal="right"/>
    </xf>
    <xf numFmtId="0" fontId="1" fillId="0" borderId="14" xfId="0" applyFont="1" applyFill="1" applyBorder="1"/>
    <xf numFmtId="167" fontId="1" fillId="0" borderId="7" xfId="0" applyNumberFormat="1" applyFont="1" applyFill="1" applyBorder="1"/>
    <xf numFmtId="2" fontId="1" fillId="4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4" borderId="4" xfId="0" applyNumberFormat="1" applyFont="1" applyFill="1" applyBorder="1" applyAlignment="1">
      <alignment horizontal="right"/>
    </xf>
    <xf numFmtId="3" fontId="1" fillId="4" borderId="3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4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2" fontId="4" fillId="7" borderId="12" xfId="0" applyNumberFormat="1" applyFont="1" applyFill="1" applyBorder="1" applyAlignment="1">
      <alignment horizontal="right"/>
    </xf>
    <xf numFmtId="2" fontId="4" fillId="7" borderId="13" xfId="0" applyNumberFormat="1" applyFont="1" applyFill="1" applyBorder="1" applyAlignment="1">
      <alignment horizontal="right"/>
    </xf>
    <xf numFmtId="9" fontId="1" fillId="4" borderId="3" xfId="2" applyFont="1" applyFill="1" applyBorder="1" applyAlignment="1">
      <alignment horizontal="right"/>
    </xf>
    <xf numFmtId="44" fontId="1" fillId="0" borderId="0" xfId="1" applyFont="1"/>
    <xf numFmtId="170" fontId="1" fillId="0" borderId="0" xfId="1" applyNumberFormat="1" applyFont="1" applyAlignment="1">
      <alignment horizontal="right"/>
    </xf>
    <xf numFmtId="170" fontId="1" fillId="0" borderId="0" xfId="1" applyNumberFormat="1" applyFont="1" applyFill="1" applyAlignment="1">
      <alignment horizontal="right"/>
    </xf>
    <xf numFmtId="170" fontId="1" fillId="4" borderId="3" xfId="1" applyNumberFormat="1" applyFont="1" applyFill="1" applyBorder="1" applyAlignment="1">
      <alignment horizontal="right"/>
    </xf>
    <xf numFmtId="170" fontId="1" fillId="0" borderId="0" xfId="0" applyNumberFormat="1" applyFont="1"/>
    <xf numFmtId="170" fontId="1" fillId="4" borderId="17" xfId="1" applyNumberFormat="1" applyFont="1" applyFill="1" applyBorder="1" applyAlignment="1">
      <alignment horizontal="right"/>
    </xf>
    <xf numFmtId="170" fontId="1" fillId="0" borderId="0" xfId="1" applyNumberFormat="1" applyFont="1"/>
    <xf numFmtId="170" fontId="1" fillId="0" borderId="0" xfId="1" applyNumberFormat="1" applyFont="1" applyFill="1"/>
    <xf numFmtId="2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6" fillId="0" borderId="2" xfId="0" applyNumberFormat="1" applyFont="1" applyBorder="1"/>
    <xf numFmtId="171" fontId="1" fillId="0" borderId="0" xfId="1" applyNumberFormat="1" applyFont="1"/>
    <xf numFmtId="171" fontId="1" fillId="0" borderId="0" xfId="0" applyNumberFormat="1" applyFont="1"/>
    <xf numFmtId="3" fontId="6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3870-078F-034D-A36E-EA39C817DC7B}">
  <dimension ref="A2:Q115"/>
  <sheetViews>
    <sheetView showGridLines="0" zoomScale="112" workbookViewId="0">
      <selection activeCell="I6" sqref="I6"/>
    </sheetView>
  </sheetViews>
  <sheetFormatPr defaultColWidth="10.796875" defaultRowHeight="13.2" x14ac:dyDescent="0.25"/>
  <cols>
    <col min="1" max="1" width="2.796875" style="7" customWidth="1"/>
    <col min="2" max="2" width="17.5" style="1" customWidth="1"/>
    <col min="3" max="9" width="10.796875" style="1" customWidth="1"/>
    <col min="10" max="11" width="11.69921875" style="1" bestFit="1" customWidth="1"/>
    <col min="12" max="13" width="10.796875" style="1"/>
    <col min="14" max="14" width="11.796875" style="1" bestFit="1" customWidth="1"/>
    <col min="15" max="16384" width="10.796875" style="1"/>
  </cols>
  <sheetData>
    <row r="2" spans="1:17" s="10" customFormat="1" ht="21" x14ac:dyDescent="0.4">
      <c r="A2" s="8"/>
      <c r="B2" s="9" t="s">
        <v>124</v>
      </c>
    </row>
    <row r="4" spans="1:17" x14ac:dyDescent="0.25">
      <c r="C4" s="54"/>
    </row>
    <row r="5" spans="1:17" x14ac:dyDescent="0.25">
      <c r="B5" s="22" t="s">
        <v>55</v>
      </c>
      <c r="C5" s="23"/>
      <c r="D5" s="23"/>
      <c r="E5" s="23"/>
      <c r="F5" s="23"/>
      <c r="G5" s="23"/>
      <c r="H5" s="23"/>
    </row>
    <row r="6" spans="1:17" x14ac:dyDescent="0.25">
      <c r="B6" s="17" t="s">
        <v>35</v>
      </c>
      <c r="C6" s="20" t="s">
        <v>36</v>
      </c>
      <c r="D6" s="20" t="s">
        <v>22</v>
      </c>
      <c r="E6" s="20" t="s">
        <v>37</v>
      </c>
      <c r="F6" s="20" t="s">
        <v>2</v>
      </c>
      <c r="G6" s="20" t="s">
        <v>7</v>
      </c>
      <c r="H6" s="20" t="s">
        <v>38</v>
      </c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B7" s="1" t="s">
        <v>25</v>
      </c>
      <c r="C7" s="90">
        <v>185.85</v>
      </c>
      <c r="D7" s="93">
        <f>2385.53394+468.45586</f>
        <v>2853.9897999999998</v>
      </c>
      <c r="E7" s="94">
        <f>C7*D7</f>
        <v>530414.00432999991</v>
      </c>
      <c r="F7" s="93">
        <f>10019+31095</f>
        <v>41114</v>
      </c>
      <c r="G7" s="93">
        <v>0</v>
      </c>
      <c r="H7" s="94">
        <f>E7-F7+G7</f>
        <v>489300.00432999991</v>
      </c>
    </row>
    <row r="8" spans="1:17" s="2" customFormat="1" x14ac:dyDescent="0.25">
      <c r="A8" s="7"/>
      <c r="B8" s="1"/>
      <c r="C8" s="91"/>
      <c r="D8" s="95"/>
      <c r="E8" s="95"/>
      <c r="F8" s="95"/>
      <c r="G8" s="95"/>
      <c r="H8" s="95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B9" s="1" t="s">
        <v>33</v>
      </c>
      <c r="C9" s="90">
        <v>1757.51</v>
      </c>
      <c r="D9" s="93">
        <v>491.20289000000002</v>
      </c>
      <c r="E9" s="94">
        <f t="shared" ref="E9:E12" si="0">C9*D9</f>
        <v>863293.99120390008</v>
      </c>
      <c r="F9" s="93">
        <f>31750+9500</f>
        <v>41250</v>
      </c>
      <c r="G9" s="93">
        <v>23495</v>
      </c>
      <c r="H9" s="94">
        <f>E9-F9+G9</f>
        <v>845538.99120390008</v>
      </c>
    </row>
    <row r="10" spans="1:17" x14ac:dyDescent="0.25">
      <c r="B10" s="1" t="s">
        <v>26</v>
      </c>
      <c r="C10" s="90">
        <v>236.41</v>
      </c>
      <c r="D10" s="93">
        <v>4745.3980000000001</v>
      </c>
      <c r="E10" s="94">
        <f t="shared" si="0"/>
        <v>1121859.5411799999</v>
      </c>
      <c r="F10" s="93">
        <f>25913+40388</f>
        <v>66301</v>
      </c>
      <c r="G10" s="93">
        <f>8784+93735</f>
        <v>102519</v>
      </c>
      <c r="H10" s="94">
        <f>E10-F10+G10</f>
        <v>1158077.5411799999</v>
      </c>
    </row>
    <row r="11" spans="1:17" x14ac:dyDescent="0.25">
      <c r="B11" s="1" t="s">
        <v>34</v>
      </c>
      <c r="C11" s="90">
        <v>134.09</v>
      </c>
      <c r="D11" s="93">
        <v>889.86625600000002</v>
      </c>
      <c r="E11" s="94">
        <f t="shared" si="0"/>
        <v>119322.16626704001</v>
      </c>
      <c r="F11" s="93">
        <f>11379+618</f>
        <v>11997</v>
      </c>
      <c r="G11" s="93">
        <f>10207+35605</f>
        <v>45812</v>
      </c>
      <c r="H11" s="94">
        <f>E11-F11+G11</f>
        <v>153137.16626704001</v>
      </c>
    </row>
    <row r="12" spans="1:17" x14ac:dyDescent="0.25">
      <c r="B12" s="1" t="s">
        <v>28</v>
      </c>
      <c r="C12" s="90">
        <v>137.41</v>
      </c>
      <c r="D12" s="93">
        <v>7668.2173160000002</v>
      </c>
      <c r="E12" s="94">
        <f t="shared" si="0"/>
        <v>1053689.7413915601</v>
      </c>
      <c r="F12" s="93">
        <f>11946+121822</f>
        <v>133768</v>
      </c>
      <c r="G12" s="93">
        <f>3998+72242</f>
        <v>76240</v>
      </c>
      <c r="H12" s="94">
        <f>E12-F12+G12</f>
        <v>996161.74139156006</v>
      </c>
    </row>
    <row r="13" spans="1:17" x14ac:dyDescent="0.25">
      <c r="B13" s="18" t="s">
        <v>27</v>
      </c>
      <c r="C13" s="92">
        <v>38.99</v>
      </c>
      <c r="D13" s="96">
        <v>766.82455000000004</v>
      </c>
      <c r="E13" s="97">
        <f>C13*D13</f>
        <v>29898.489204500002</v>
      </c>
      <c r="F13" s="96">
        <f>1894.444+4314.957</f>
        <v>6209.4009999999998</v>
      </c>
      <c r="G13" s="96">
        <f>897.328</f>
        <v>897.32799999999997</v>
      </c>
      <c r="H13" s="97">
        <f>E13-F13+G13</f>
        <v>24586.416204500005</v>
      </c>
    </row>
    <row r="15" spans="1:17" x14ac:dyDescent="0.25">
      <c r="B15" s="22" t="s">
        <v>56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25">
      <c r="B16" s="15"/>
      <c r="C16" s="119" t="s">
        <v>3</v>
      </c>
      <c r="D16" s="119"/>
      <c r="E16" s="119"/>
      <c r="F16" s="15"/>
      <c r="G16" s="121" t="s">
        <v>5</v>
      </c>
      <c r="H16" s="121"/>
      <c r="I16" s="121"/>
      <c r="J16" s="15"/>
      <c r="K16" s="119" t="s">
        <v>41</v>
      </c>
      <c r="L16" s="119"/>
      <c r="M16" s="119"/>
      <c r="N16" s="15"/>
      <c r="O16" s="119" t="s">
        <v>42</v>
      </c>
      <c r="P16" s="119"/>
      <c r="Q16" s="119"/>
    </row>
    <row r="17" spans="2:17" x14ac:dyDescent="0.25">
      <c r="B17" s="17" t="s">
        <v>35</v>
      </c>
      <c r="C17" s="20">
        <v>2016</v>
      </c>
      <c r="D17" s="20">
        <f>C17+1</f>
        <v>2017</v>
      </c>
      <c r="E17" s="20">
        <f>D17+1</f>
        <v>2018</v>
      </c>
      <c r="F17" s="20"/>
      <c r="G17" s="20">
        <v>2016</v>
      </c>
      <c r="H17" s="20">
        <f>G17+1</f>
        <v>2017</v>
      </c>
      <c r="I17" s="20">
        <f>H17+1</f>
        <v>2018</v>
      </c>
      <c r="J17" s="20"/>
      <c r="K17" s="20">
        <v>2016</v>
      </c>
      <c r="L17" s="20">
        <f>K17+1</f>
        <v>2017</v>
      </c>
      <c r="M17" s="20">
        <f>L17+1</f>
        <v>2018</v>
      </c>
      <c r="N17" s="20"/>
      <c r="O17" s="20">
        <v>2016</v>
      </c>
      <c r="P17" s="20">
        <f>O17+1</f>
        <v>2017</v>
      </c>
      <c r="Q17" s="20">
        <f>P17+1</f>
        <v>2018</v>
      </c>
    </row>
    <row r="18" spans="2:17" x14ac:dyDescent="0.25">
      <c r="B18" s="1" t="s">
        <v>25</v>
      </c>
      <c r="C18" s="93">
        <v>27638</v>
      </c>
      <c r="D18" s="93">
        <v>40653</v>
      </c>
      <c r="E18" s="93">
        <v>55838</v>
      </c>
      <c r="F18" s="98"/>
      <c r="G18" s="93">
        <v>12427</v>
      </c>
      <c r="H18" s="93">
        <v>20203</v>
      </c>
      <c r="I18" s="93">
        <v>24913</v>
      </c>
      <c r="J18" s="98"/>
      <c r="K18" s="93">
        <f>G18+G29</f>
        <v>14769</v>
      </c>
      <c r="L18" s="93">
        <f t="shared" ref="L18:M18" si="1">H18+H29</f>
        <v>23228</v>
      </c>
      <c r="M18" s="93">
        <f t="shared" si="1"/>
        <v>29228</v>
      </c>
      <c r="N18" s="7"/>
      <c r="O18" s="90">
        <v>3.49</v>
      </c>
      <c r="P18" s="100">
        <v>5.39</v>
      </c>
      <c r="Q18" s="101">
        <v>7.65</v>
      </c>
    </row>
    <row r="19" spans="2:17" x14ac:dyDescent="0.25">
      <c r="C19" s="95"/>
      <c r="D19" s="95"/>
      <c r="E19" s="95"/>
      <c r="F19" s="98"/>
      <c r="G19" s="95"/>
      <c r="H19" s="95"/>
      <c r="I19" s="95"/>
      <c r="J19" s="98"/>
      <c r="K19" s="95"/>
      <c r="L19" s="95"/>
      <c r="M19" s="95"/>
      <c r="N19" s="7"/>
      <c r="O19" s="91"/>
      <c r="P19" s="91"/>
      <c r="Q19" s="91"/>
    </row>
    <row r="20" spans="2:17" x14ac:dyDescent="0.25">
      <c r="B20" s="1" t="s">
        <v>33</v>
      </c>
      <c r="C20" s="93">
        <v>135987</v>
      </c>
      <c r="D20" s="93">
        <v>177866</v>
      </c>
      <c r="E20" s="93">
        <v>232887</v>
      </c>
      <c r="F20" s="98"/>
      <c r="G20" s="93">
        <v>4186</v>
      </c>
      <c r="H20" s="93">
        <v>4106</v>
      </c>
      <c r="I20" s="93">
        <v>12421</v>
      </c>
      <c r="J20" s="98"/>
      <c r="K20" s="93">
        <f>G20+G31</f>
        <v>12302</v>
      </c>
      <c r="L20" s="93">
        <f t="shared" ref="L20:L24" si="2">H20+H31</f>
        <v>15584</v>
      </c>
      <c r="M20" s="93">
        <f t="shared" ref="M20:M24" si="3">I20+I31</f>
        <v>27762</v>
      </c>
      <c r="N20" s="7"/>
      <c r="O20" s="90">
        <v>4.9000000000000004</v>
      </c>
      <c r="P20" s="90">
        <v>6.15</v>
      </c>
      <c r="Q20" s="90">
        <v>20.14</v>
      </c>
    </row>
    <row r="21" spans="2:17" x14ac:dyDescent="0.25">
      <c r="B21" s="1" t="s">
        <v>26</v>
      </c>
      <c r="C21" s="93">
        <v>215639</v>
      </c>
      <c r="D21" s="93">
        <v>229234</v>
      </c>
      <c r="E21" s="93">
        <v>265595</v>
      </c>
      <c r="F21" s="98"/>
      <c r="G21" s="93">
        <v>60024</v>
      </c>
      <c r="H21" s="93">
        <v>61344</v>
      </c>
      <c r="I21" s="93">
        <v>70898</v>
      </c>
      <c r="J21" s="98"/>
      <c r="K21" s="93">
        <f>G21+G32</f>
        <v>70529</v>
      </c>
      <c r="L21" s="93">
        <f t="shared" si="2"/>
        <v>71501</v>
      </c>
      <c r="M21" s="93">
        <f t="shared" si="3"/>
        <v>81801</v>
      </c>
      <c r="N21" s="7"/>
      <c r="O21" s="90">
        <v>8.31</v>
      </c>
      <c r="P21" s="90">
        <v>9.2100000000000009</v>
      </c>
      <c r="Q21" s="90">
        <v>11.91</v>
      </c>
    </row>
    <row r="22" spans="2:17" x14ac:dyDescent="0.25">
      <c r="B22" s="1" t="s">
        <v>34</v>
      </c>
      <c r="C22" s="93">
        <v>79919</v>
      </c>
      <c r="D22" s="93">
        <v>79139</v>
      </c>
      <c r="E22" s="93">
        <v>79591</v>
      </c>
      <c r="F22" s="98"/>
      <c r="G22" s="93">
        <v>12330</v>
      </c>
      <c r="H22" s="93">
        <v>11400</v>
      </c>
      <c r="I22" s="93">
        <v>11342</v>
      </c>
      <c r="J22" s="98"/>
      <c r="K22" s="93">
        <f>G22+G33</f>
        <v>15167</v>
      </c>
      <c r="L22" s="93">
        <f t="shared" si="2"/>
        <v>14421</v>
      </c>
      <c r="M22" s="93">
        <f t="shared" si="3"/>
        <v>14469</v>
      </c>
      <c r="N22" s="7"/>
      <c r="O22" s="90">
        <v>12.38</v>
      </c>
      <c r="P22" s="90">
        <v>6.14</v>
      </c>
      <c r="Q22" s="90">
        <v>9.52</v>
      </c>
    </row>
    <row r="23" spans="2:17" x14ac:dyDescent="0.25">
      <c r="B23" s="1" t="s">
        <v>28</v>
      </c>
      <c r="C23" s="93">
        <v>91154</v>
      </c>
      <c r="D23" s="93">
        <v>96571</v>
      </c>
      <c r="E23" s="93">
        <v>110360</v>
      </c>
      <c r="F23" s="98"/>
      <c r="G23" s="93">
        <v>26078</v>
      </c>
      <c r="H23" s="93">
        <v>29025</v>
      </c>
      <c r="I23" s="93">
        <v>35058</v>
      </c>
      <c r="J23" s="98"/>
      <c r="K23" s="93">
        <f>G23+G34</f>
        <v>32700</v>
      </c>
      <c r="L23" s="93">
        <f t="shared" si="2"/>
        <v>37803</v>
      </c>
      <c r="M23" s="93">
        <f t="shared" si="3"/>
        <v>45319</v>
      </c>
      <c r="N23" s="7"/>
      <c r="O23" s="90">
        <v>2.56</v>
      </c>
      <c r="P23" s="90">
        <v>3.25</v>
      </c>
      <c r="Q23" s="90">
        <v>2.13</v>
      </c>
    </row>
    <row r="24" spans="2:17" x14ac:dyDescent="0.25">
      <c r="B24" s="18" t="s">
        <v>27</v>
      </c>
      <c r="C24" s="96">
        <v>2529.6190000000001</v>
      </c>
      <c r="D24" s="96">
        <v>2443.299</v>
      </c>
      <c r="E24" s="96">
        <v>3042.3589999999999</v>
      </c>
      <c r="F24" s="99"/>
      <c r="G24" s="96">
        <v>-367.20800000000003</v>
      </c>
      <c r="H24" s="96">
        <v>38.74</v>
      </c>
      <c r="I24" s="96">
        <v>423.54399999999998</v>
      </c>
      <c r="J24" s="99"/>
      <c r="K24" s="96">
        <f>G24+G35</f>
        <v>34.963999999999999</v>
      </c>
      <c r="L24" s="96">
        <f t="shared" si="2"/>
        <v>434.60700000000003</v>
      </c>
      <c r="M24" s="96">
        <f t="shared" si="3"/>
        <v>849.04199999999992</v>
      </c>
      <c r="N24" s="67"/>
      <c r="O24" s="92">
        <v>-0.65</v>
      </c>
      <c r="P24" s="92">
        <v>-0.15</v>
      </c>
      <c r="Q24" s="92">
        <v>1.56</v>
      </c>
    </row>
    <row r="26" spans="2:17" x14ac:dyDescent="0.25">
      <c r="B26" s="22" t="s">
        <v>57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7" x14ac:dyDescent="0.25">
      <c r="B27" s="15"/>
      <c r="C27" s="119" t="s">
        <v>39</v>
      </c>
      <c r="D27" s="119"/>
      <c r="E27" s="119"/>
      <c r="F27" s="15"/>
      <c r="G27" s="121" t="s">
        <v>11</v>
      </c>
      <c r="H27" s="121"/>
      <c r="I27" s="121"/>
      <c r="J27" s="15"/>
      <c r="K27" s="119" t="s">
        <v>40</v>
      </c>
      <c r="L27" s="119"/>
      <c r="M27" s="119"/>
    </row>
    <row r="28" spans="2:17" x14ac:dyDescent="0.25">
      <c r="B28" s="17" t="s">
        <v>35</v>
      </c>
      <c r="C28" s="20">
        <v>2016</v>
      </c>
      <c r="D28" s="20">
        <f>C28+1</f>
        <v>2017</v>
      </c>
      <c r="E28" s="20">
        <f>D28+1</f>
        <v>2018</v>
      </c>
      <c r="F28" s="20"/>
      <c r="G28" s="20">
        <v>2016</v>
      </c>
      <c r="H28" s="20">
        <f>G28+1</f>
        <v>2017</v>
      </c>
      <c r="I28" s="20">
        <f>H28+1</f>
        <v>2018</v>
      </c>
      <c r="J28" s="20"/>
      <c r="K28" s="20">
        <v>2016</v>
      </c>
      <c r="L28" s="20">
        <f>K28+1</f>
        <v>2017</v>
      </c>
      <c r="M28" s="20">
        <f>L28+1</f>
        <v>2018</v>
      </c>
    </row>
    <row r="29" spans="2:17" x14ac:dyDescent="0.25">
      <c r="B29" s="1" t="s">
        <v>25</v>
      </c>
      <c r="C29" s="93">
        <v>4491</v>
      </c>
      <c r="D29" s="93">
        <v>6733</v>
      </c>
      <c r="E29" s="93">
        <v>13915</v>
      </c>
      <c r="F29" s="98"/>
      <c r="G29" s="93">
        <v>2342</v>
      </c>
      <c r="H29" s="93">
        <v>3025</v>
      </c>
      <c r="I29" s="93">
        <v>4315</v>
      </c>
      <c r="J29" s="98"/>
      <c r="K29" s="93">
        <f>(1489+159-14)-(14+67+1014+35+1262)</f>
        <v>-758</v>
      </c>
      <c r="L29" s="93">
        <f>(1609+192-154)-(43+95+309+4+3083)</f>
        <v>-1887</v>
      </c>
      <c r="M29" s="93">
        <f>(1892+690+159)-(221+157+1417+53-634)</f>
        <v>1527</v>
      </c>
    </row>
    <row r="30" spans="2:17" x14ac:dyDescent="0.25">
      <c r="C30" s="95"/>
      <c r="D30" s="95"/>
      <c r="E30" s="95"/>
      <c r="F30" s="98"/>
      <c r="G30" s="95"/>
      <c r="H30" s="95"/>
      <c r="I30" s="95"/>
      <c r="J30" s="98"/>
      <c r="K30" s="95"/>
      <c r="L30" s="95"/>
      <c r="M30" s="95"/>
    </row>
    <row r="31" spans="2:17" x14ac:dyDescent="0.25">
      <c r="B31" s="1" t="s">
        <v>33</v>
      </c>
      <c r="C31" s="93">
        <v>7804</v>
      </c>
      <c r="D31" s="93">
        <v>11955</v>
      </c>
      <c r="E31" s="93">
        <v>13427</v>
      </c>
      <c r="F31" s="98"/>
      <c r="G31" s="93">
        <v>8116</v>
      </c>
      <c r="H31" s="93">
        <v>11478</v>
      </c>
      <c r="I31" s="93">
        <v>15341</v>
      </c>
      <c r="J31" s="98"/>
      <c r="K31" s="93">
        <f>(1426+3436)-(5030+1724+1955)</f>
        <v>-3847</v>
      </c>
      <c r="L31" s="93">
        <f>(3583+4780)-(7100+283+738)</f>
        <v>242</v>
      </c>
      <c r="M31" s="93">
        <f>(1314+4615)-(3263+472+1151)</f>
        <v>1043</v>
      </c>
    </row>
    <row r="32" spans="2:17" x14ac:dyDescent="0.25">
      <c r="B32" s="1" t="s">
        <v>26</v>
      </c>
      <c r="C32" s="93">
        <v>12734</v>
      </c>
      <c r="D32" s="93">
        <v>12451</v>
      </c>
      <c r="E32" s="93">
        <v>13313</v>
      </c>
      <c r="F32" s="98"/>
      <c r="G32" s="93">
        <v>10505</v>
      </c>
      <c r="H32" s="93">
        <v>10157</v>
      </c>
      <c r="I32" s="93">
        <v>10903</v>
      </c>
      <c r="J32" s="98"/>
      <c r="K32" s="93">
        <f>(-527-217+51-1055)-(2117-1554-1906)</f>
        <v>-405</v>
      </c>
      <c r="L32" s="93">
        <f>(2093+2723+4254+5318)-(8966-626+1125)</f>
        <v>4923</v>
      </c>
      <c r="M32" s="93">
        <f>(5322-828+8010+423)-(9175-44+38490)</f>
        <v>-34694</v>
      </c>
    </row>
    <row r="33" spans="2:13" x14ac:dyDescent="0.25">
      <c r="B33" s="1" t="s">
        <v>34</v>
      </c>
      <c r="C33" s="93">
        <v>3567</v>
      </c>
      <c r="D33" s="93">
        <v>3229</v>
      </c>
      <c r="E33" s="93">
        <v>3395</v>
      </c>
      <c r="F33" s="98"/>
      <c r="G33" s="93">
        <v>2837</v>
      </c>
      <c r="H33" s="93">
        <v>3021</v>
      </c>
      <c r="I33" s="93">
        <v>3127</v>
      </c>
      <c r="J33" s="98"/>
      <c r="K33" s="93">
        <f>(712+54-14+408)-197</f>
        <v>963</v>
      </c>
      <c r="L33" s="93">
        <f>1297+1014+18+4437-47</f>
        <v>6719</v>
      </c>
      <c r="M33" s="93">
        <f>1006+1368-127-1819-126</f>
        <v>302</v>
      </c>
    </row>
    <row r="34" spans="2:13" x14ac:dyDescent="0.25">
      <c r="B34" s="1" t="s">
        <v>28</v>
      </c>
      <c r="C34" s="93">
        <v>8343</v>
      </c>
      <c r="D34" s="93">
        <v>8129</v>
      </c>
      <c r="E34" s="93">
        <v>11632</v>
      </c>
      <c r="F34" s="98"/>
      <c r="G34" s="93">
        <v>6622</v>
      </c>
      <c r="H34" s="93">
        <v>8778</v>
      </c>
      <c r="I34" s="93">
        <v>10261</v>
      </c>
      <c r="J34" s="98"/>
      <c r="K34" s="93">
        <f>(-562-600+1212+1110)-(88+2565-298-179-406)</f>
        <v>-610</v>
      </c>
      <c r="L34" s="93">
        <f>(1216-50-1028+917)-(81+3820+1792+356-118)</f>
        <v>-4876</v>
      </c>
      <c r="M34" s="93">
        <f>(3862+465+952+285)-(1148+5922+18183+798-20)</f>
        <v>-20467</v>
      </c>
    </row>
    <row r="35" spans="2:13" x14ac:dyDescent="0.25">
      <c r="B35" s="18" t="s">
        <v>27</v>
      </c>
      <c r="C35" s="96">
        <v>218.65700000000001</v>
      </c>
      <c r="D35" s="96">
        <v>160.74199999999999</v>
      </c>
      <c r="E35" s="96">
        <v>483.93400000000003</v>
      </c>
      <c r="F35" s="99"/>
      <c r="G35" s="96">
        <v>402.17200000000003</v>
      </c>
      <c r="H35" s="96">
        <v>395.86700000000002</v>
      </c>
      <c r="I35" s="96">
        <v>425.49799999999999</v>
      </c>
      <c r="J35" s="99"/>
      <c r="K35" s="96">
        <f>(22.969-7.101)-(-7.112+105.576)</f>
        <v>-82.596000000000004</v>
      </c>
      <c r="L35" s="96">
        <f>(-2.668+13.974)-(8.371-29.304)</f>
        <v>32.239000000000004</v>
      </c>
      <c r="M35" s="96">
        <f>(130.871-126.47)-(-1.533+95.256)</f>
        <v>-89.321999999999989</v>
      </c>
    </row>
    <row r="38" spans="2:13" x14ac:dyDescent="0.25">
      <c r="B38" s="68" t="s">
        <v>71</v>
      </c>
      <c r="C38" s="69"/>
      <c r="D38" s="69"/>
      <c r="E38" s="69"/>
      <c r="F38" s="69"/>
    </row>
    <row r="39" spans="2:13" ht="16.8" x14ac:dyDescent="0.55000000000000004">
      <c r="D39" s="70" t="s">
        <v>72</v>
      </c>
      <c r="E39" s="70" t="s">
        <v>73</v>
      </c>
      <c r="F39" s="70" t="s">
        <v>74</v>
      </c>
    </row>
    <row r="40" spans="2:13" x14ac:dyDescent="0.25">
      <c r="B40" s="1" t="s">
        <v>75</v>
      </c>
      <c r="D40" s="74">
        <v>100</v>
      </c>
      <c r="E40" s="74">
        <v>110.00000000000001</v>
      </c>
      <c r="F40" s="74">
        <v>121.00000000000003</v>
      </c>
    </row>
    <row r="41" spans="2:13" x14ac:dyDescent="0.25">
      <c r="B41" s="1" t="s">
        <v>76</v>
      </c>
      <c r="D41" s="117">
        <v>5</v>
      </c>
      <c r="E41" s="117">
        <v>5</v>
      </c>
      <c r="F41" s="117">
        <v>5</v>
      </c>
    </row>
    <row r="42" spans="2:13" x14ac:dyDescent="0.25">
      <c r="B42" s="71" t="s">
        <v>3</v>
      </c>
      <c r="C42" s="71"/>
      <c r="D42" s="108">
        <f>D40*D41</f>
        <v>500</v>
      </c>
      <c r="E42" s="108">
        <f t="shared" ref="E42:F42" si="4">E40*E41</f>
        <v>550.00000000000011</v>
      </c>
      <c r="F42" s="108">
        <f t="shared" si="4"/>
        <v>605.00000000000011</v>
      </c>
    </row>
    <row r="44" spans="2:13" x14ac:dyDescent="0.25">
      <c r="B44" s="1" t="s">
        <v>77</v>
      </c>
      <c r="D44" s="80">
        <v>100</v>
      </c>
      <c r="E44" s="80">
        <v>110.00000000000001</v>
      </c>
      <c r="F44" s="80">
        <v>121.00000000000003</v>
      </c>
    </row>
    <row r="45" spans="2:13" x14ac:dyDescent="0.25">
      <c r="B45" s="1" t="s">
        <v>78</v>
      </c>
      <c r="D45" s="116">
        <v>2.5</v>
      </c>
      <c r="E45" s="116">
        <v>2.5</v>
      </c>
      <c r="F45" s="116">
        <v>2.5</v>
      </c>
    </row>
    <row r="46" spans="2:13" x14ac:dyDescent="0.25">
      <c r="B46" s="72" t="s">
        <v>69</v>
      </c>
      <c r="C46" s="72"/>
      <c r="D46" s="106">
        <f>-D44*D45</f>
        <v>-250</v>
      </c>
      <c r="E46" s="106">
        <f t="shared" ref="E46:F46" si="5">-E44*E45</f>
        <v>-275.00000000000006</v>
      </c>
      <c r="F46" s="106">
        <f t="shared" si="5"/>
        <v>-302.50000000000006</v>
      </c>
    </row>
    <row r="47" spans="2:13" x14ac:dyDescent="0.25">
      <c r="B47" s="71" t="s">
        <v>79</v>
      </c>
      <c r="C47" s="71"/>
      <c r="D47" s="106">
        <f>D42+D46</f>
        <v>250</v>
      </c>
      <c r="E47" s="106">
        <f t="shared" ref="E47:F47" si="6">E42+E46</f>
        <v>275.00000000000006</v>
      </c>
      <c r="F47" s="106">
        <f t="shared" si="6"/>
        <v>302.50000000000006</v>
      </c>
    </row>
    <row r="48" spans="2:13" x14ac:dyDescent="0.25">
      <c r="B48" s="73" t="s">
        <v>6</v>
      </c>
      <c r="C48" s="73"/>
      <c r="D48" s="102">
        <f>D47/D42</f>
        <v>0.5</v>
      </c>
      <c r="E48" s="102">
        <f t="shared" ref="E48:F48" si="7">E47/E42</f>
        <v>0.5</v>
      </c>
      <c r="F48" s="102">
        <f t="shared" si="7"/>
        <v>0.5</v>
      </c>
    </row>
    <row r="49" spans="2:6" x14ac:dyDescent="0.25">
      <c r="D49" s="107"/>
      <c r="E49" s="107"/>
      <c r="F49" s="107"/>
    </row>
    <row r="50" spans="2:6" x14ac:dyDescent="0.25">
      <c r="B50" s="1" t="s">
        <v>80</v>
      </c>
      <c r="D50" s="104">
        <v>-100</v>
      </c>
      <c r="E50" s="104">
        <v>-110.00000000000003</v>
      </c>
      <c r="F50" s="104">
        <v>-121.00000000000003</v>
      </c>
    </row>
    <row r="51" spans="2:6" x14ac:dyDescent="0.25">
      <c r="B51" s="4" t="s">
        <v>81</v>
      </c>
      <c r="C51" s="4"/>
      <c r="D51" s="102">
        <f>-D50/D42</f>
        <v>0.2</v>
      </c>
      <c r="E51" s="102">
        <f t="shared" ref="E51:F51" si="8">-E50/E42</f>
        <v>0.2</v>
      </c>
      <c r="F51" s="102">
        <f t="shared" si="8"/>
        <v>0.2</v>
      </c>
    </row>
    <row r="52" spans="2:6" x14ac:dyDescent="0.25">
      <c r="B52" s="1" t="s">
        <v>82</v>
      </c>
      <c r="D52" s="104">
        <v>-50</v>
      </c>
      <c r="E52" s="109">
        <v>-50</v>
      </c>
      <c r="F52" s="109">
        <v>-50</v>
      </c>
    </row>
    <row r="53" spans="2:6" x14ac:dyDescent="0.25">
      <c r="B53" s="4" t="s">
        <v>81</v>
      </c>
      <c r="C53" s="4"/>
      <c r="D53" s="102">
        <f>-D52/D42</f>
        <v>0.1</v>
      </c>
      <c r="E53" s="102">
        <f t="shared" ref="E53:F53" si="9">-E52/E42</f>
        <v>9.0909090909090884E-2</v>
      </c>
      <c r="F53" s="102">
        <f t="shared" si="9"/>
        <v>8.2644628099173542E-2</v>
      </c>
    </row>
    <row r="54" spans="2:6" x14ac:dyDescent="0.25">
      <c r="B54" s="71" t="s">
        <v>83</v>
      </c>
      <c r="C54" s="71"/>
      <c r="D54" s="106">
        <f>D50+D52</f>
        <v>-150</v>
      </c>
      <c r="E54" s="106">
        <f t="shared" ref="E54:F54" si="10">E50+E52</f>
        <v>-160.00000000000003</v>
      </c>
      <c r="F54" s="106">
        <f t="shared" si="10"/>
        <v>-171.00000000000003</v>
      </c>
    </row>
    <row r="56" spans="2:6" x14ac:dyDescent="0.25">
      <c r="B56" s="71" t="s">
        <v>41</v>
      </c>
      <c r="C56" s="71"/>
      <c r="D56" s="106">
        <f>-D58+D61</f>
        <v>150</v>
      </c>
      <c r="E56" s="106">
        <f t="shared" ref="E56:F56" si="11">-E58+E61</f>
        <v>170.00000000000006</v>
      </c>
      <c r="F56" s="106">
        <f t="shared" si="11"/>
        <v>192.00000000000006</v>
      </c>
    </row>
    <row r="58" spans="2:6" x14ac:dyDescent="0.25">
      <c r="B58" s="1" t="s">
        <v>84</v>
      </c>
      <c r="D58" s="109">
        <v>-50</v>
      </c>
      <c r="E58" s="109">
        <v>-55.000000000000014</v>
      </c>
      <c r="F58" s="109">
        <v>-60.500000000000014</v>
      </c>
    </row>
    <row r="59" spans="2:6" x14ac:dyDescent="0.25">
      <c r="B59" s="76" t="s">
        <v>81</v>
      </c>
      <c r="C59" s="76"/>
      <c r="D59" s="102">
        <f>-D58/D42</f>
        <v>0.1</v>
      </c>
      <c r="E59" s="102">
        <f t="shared" ref="E59:F59" si="12">-E58/E42</f>
        <v>0.1</v>
      </c>
      <c r="F59" s="102">
        <f t="shared" si="12"/>
        <v>0.1</v>
      </c>
    </row>
    <row r="61" spans="2:6" x14ac:dyDescent="0.25">
      <c r="B61" s="71" t="s">
        <v>85</v>
      </c>
      <c r="C61" s="71"/>
      <c r="D61" s="106">
        <f>D47+D54</f>
        <v>100</v>
      </c>
      <c r="E61" s="106">
        <f t="shared" ref="E61:F61" si="13">E47+E54</f>
        <v>115.00000000000003</v>
      </c>
      <c r="F61" s="106">
        <f t="shared" si="13"/>
        <v>131.50000000000003</v>
      </c>
    </row>
    <row r="62" spans="2:6" x14ac:dyDescent="0.25">
      <c r="D62" s="103"/>
      <c r="E62" s="103"/>
      <c r="F62" s="103"/>
    </row>
    <row r="63" spans="2:6" x14ac:dyDescent="0.25">
      <c r="B63" s="1" t="s">
        <v>86</v>
      </c>
      <c r="D63" s="110">
        <v>-45</v>
      </c>
      <c r="E63" s="110">
        <v>-42.802547770700635</v>
      </c>
      <c r="F63" s="110">
        <v>-40.304555965759263</v>
      </c>
    </row>
    <row r="64" spans="2:6" x14ac:dyDescent="0.25">
      <c r="B64" s="77" t="s">
        <v>87</v>
      </c>
      <c r="C64" s="77"/>
      <c r="D64" s="106">
        <f>D61+D63</f>
        <v>55</v>
      </c>
      <c r="E64" s="106">
        <f t="shared" ref="E64:F64" si="14">E61+E63</f>
        <v>72.197452229299387</v>
      </c>
      <c r="F64" s="106">
        <f t="shared" si="14"/>
        <v>91.195444034240765</v>
      </c>
    </row>
    <row r="65" spans="2:6" x14ac:dyDescent="0.25">
      <c r="B65" s="1" t="s">
        <v>88</v>
      </c>
      <c r="D65" s="104">
        <v>-1.25</v>
      </c>
      <c r="E65" s="104">
        <v>-4.2993630573248449</v>
      </c>
      <c r="F65" s="104">
        <v>-7.6738610085601877</v>
      </c>
    </row>
    <row r="66" spans="2:6" x14ac:dyDescent="0.25">
      <c r="B66" s="77" t="s">
        <v>70</v>
      </c>
      <c r="C66" s="77"/>
      <c r="D66" s="106">
        <f>D64+D65</f>
        <v>53.75</v>
      </c>
      <c r="E66" s="106">
        <f t="shared" ref="E66:F66" si="15">E64+E65</f>
        <v>67.898089171974547</v>
      </c>
      <c r="F66" s="106">
        <f t="shared" si="15"/>
        <v>83.52158302568057</v>
      </c>
    </row>
    <row r="67" spans="2:6" x14ac:dyDescent="0.25">
      <c r="D67" s="107"/>
      <c r="E67" s="107"/>
      <c r="F67" s="107"/>
    </row>
    <row r="68" spans="2:6" x14ac:dyDescent="0.25">
      <c r="B68" s="68" t="s">
        <v>89</v>
      </c>
      <c r="C68" s="69"/>
      <c r="D68" s="69"/>
      <c r="E68" s="69"/>
      <c r="F68" s="69"/>
    </row>
    <row r="69" spans="2:6" ht="16.8" x14ac:dyDescent="0.55000000000000004">
      <c r="B69" s="78" t="s">
        <v>90</v>
      </c>
      <c r="D69" s="70" t="s">
        <v>72</v>
      </c>
      <c r="E69" s="70" t="s">
        <v>73</v>
      </c>
      <c r="F69" s="70" t="s">
        <v>74</v>
      </c>
    </row>
    <row r="70" spans="2:6" x14ac:dyDescent="0.25">
      <c r="B70" s="1" t="s">
        <v>2</v>
      </c>
      <c r="D70" s="104">
        <v>100</v>
      </c>
      <c r="E70" s="106">
        <f>D115</f>
        <v>100</v>
      </c>
      <c r="F70" s="106">
        <f>E115</f>
        <v>105.00000000000001</v>
      </c>
    </row>
    <row r="71" spans="2:6" x14ac:dyDescent="0.25">
      <c r="B71" s="1" t="s">
        <v>91</v>
      </c>
      <c r="D71" s="104">
        <v>150</v>
      </c>
      <c r="E71" s="104">
        <v>165.00000000000003</v>
      </c>
      <c r="F71" s="104">
        <v>181.50000000000003</v>
      </c>
    </row>
    <row r="72" spans="2:6" x14ac:dyDescent="0.25">
      <c r="B72" s="1" t="s">
        <v>92</v>
      </c>
      <c r="D72" s="104">
        <v>0</v>
      </c>
      <c r="E72" s="104">
        <v>0</v>
      </c>
      <c r="F72" s="104">
        <v>0</v>
      </c>
    </row>
    <row r="73" spans="2:6" x14ac:dyDescent="0.25">
      <c r="B73" s="1" t="s">
        <v>93</v>
      </c>
      <c r="D73" s="104">
        <v>550</v>
      </c>
      <c r="E73" s="104">
        <v>550</v>
      </c>
      <c r="F73" s="104">
        <v>550</v>
      </c>
    </row>
    <row r="74" spans="2:6" x14ac:dyDescent="0.25">
      <c r="B74" s="1" t="s">
        <v>94</v>
      </c>
      <c r="D74" s="104">
        <v>100</v>
      </c>
      <c r="E74" s="105">
        <v>100</v>
      </c>
      <c r="F74" s="105">
        <v>100</v>
      </c>
    </row>
    <row r="75" spans="2:6" x14ac:dyDescent="0.25">
      <c r="B75" s="71" t="s">
        <v>95</v>
      </c>
      <c r="C75" s="71"/>
      <c r="D75" s="106">
        <f>SUM(D70:D74)</f>
        <v>900</v>
      </c>
      <c r="E75" s="106">
        <f t="shared" ref="E75:F75" si="16">SUM(E70:E74)</f>
        <v>915</v>
      </c>
      <c r="F75" s="106">
        <f t="shared" si="16"/>
        <v>936.5</v>
      </c>
    </row>
    <row r="76" spans="2:6" x14ac:dyDescent="0.25">
      <c r="D76" s="104"/>
      <c r="E76" s="104"/>
      <c r="F76" s="104"/>
    </row>
    <row r="77" spans="2:6" x14ac:dyDescent="0.25">
      <c r="B77" s="78" t="s">
        <v>96</v>
      </c>
      <c r="D77" s="104"/>
      <c r="E77" s="104"/>
      <c r="F77" s="104"/>
    </row>
    <row r="78" spans="2:6" x14ac:dyDescent="0.25">
      <c r="B78" s="1" t="s">
        <v>97</v>
      </c>
      <c r="D78" s="104">
        <v>50</v>
      </c>
      <c r="E78" s="104">
        <v>55.000000000000014</v>
      </c>
      <c r="F78" s="104">
        <v>60.500000000000014</v>
      </c>
    </row>
    <row r="79" spans="2:6" x14ac:dyDescent="0.25">
      <c r="B79" s="1" t="s">
        <v>98</v>
      </c>
      <c r="D79" s="104">
        <v>0</v>
      </c>
      <c r="E79" s="104">
        <v>0</v>
      </c>
      <c r="F79" s="104">
        <v>0</v>
      </c>
    </row>
    <row r="80" spans="2:6" x14ac:dyDescent="0.25">
      <c r="B80" s="1" t="s">
        <v>99</v>
      </c>
      <c r="D80" s="104">
        <v>100</v>
      </c>
      <c r="E80" s="105">
        <f>67.1019108280255+50</f>
        <v>117.1019108280255</v>
      </c>
      <c r="F80" s="105">
        <f>75.0803278023449+55</f>
        <v>130.0803278023449</v>
      </c>
    </row>
    <row r="81" spans="2:6" x14ac:dyDescent="0.25">
      <c r="B81" s="1" t="s">
        <v>7</v>
      </c>
      <c r="D81" s="104">
        <v>400</v>
      </c>
      <c r="E81" s="105">
        <v>380</v>
      </c>
      <c r="F81" s="105">
        <v>360</v>
      </c>
    </row>
    <row r="82" spans="2:6" x14ac:dyDescent="0.25">
      <c r="B82" s="71" t="s">
        <v>100</v>
      </c>
      <c r="C82" s="71"/>
      <c r="D82" s="106">
        <f>SUM(D78:D81)</f>
        <v>550</v>
      </c>
      <c r="E82" s="106">
        <f t="shared" ref="E82:F82" si="17">SUM(E78:E81)</f>
        <v>552.10191082802544</v>
      </c>
      <c r="F82" s="106">
        <f t="shared" si="17"/>
        <v>550.58032780234498</v>
      </c>
    </row>
    <row r="83" spans="2:6" x14ac:dyDescent="0.25">
      <c r="D83" s="104"/>
      <c r="E83" s="104"/>
      <c r="F83" s="104"/>
    </row>
    <row r="84" spans="2:6" x14ac:dyDescent="0.25">
      <c r="B84" s="78" t="s">
        <v>101</v>
      </c>
      <c r="D84" s="104"/>
      <c r="E84" s="104"/>
      <c r="F84" s="104"/>
    </row>
    <row r="85" spans="2:6" x14ac:dyDescent="0.25">
      <c r="B85" s="1" t="s">
        <v>102</v>
      </c>
      <c r="D85" s="104">
        <v>350</v>
      </c>
      <c r="E85" s="104">
        <v>362.89808917197456</v>
      </c>
      <c r="F85" s="104">
        <v>385.91967219765513</v>
      </c>
    </row>
    <row r="86" spans="2:6" x14ac:dyDescent="0.25">
      <c r="B86" s="71" t="s">
        <v>103</v>
      </c>
      <c r="C86" s="71"/>
      <c r="D86" s="106">
        <f>D85</f>
        <v>350</v>
      </c>
      <c r="E86" s="106">
        <f t="shared" ref="E86:F86" si="18">E85</f>
        <v>362.89808917197456</v>
      </c>
      <c r="F86" s="106">
        <f t="shared" si="18"/>
        <v>385.91967219765513</v>
      </c>
    </row>
    <row r="87" spans="2:6" x14ac:dyDescent="0.25">
      <c r="D87" s="104"/>
      <c r="E87" s="104"/>
      <c r="F87" s="104"/>
    </row>
    <row r="88" spans="2:6" x14ac:dyDescent="0.25">
      <c r="B88" s="1" t="s">
        <v>104</v>
      </c>
      <c r="D88" s="106">
        <f>D82+D86</f>
        <v>900</v>
      </c>
      <c r="E88" s="106">
        <f t="shared" ref="E88:F88" si="19">E82+E86</f>
        <v>915</v>
      </c>
      <c r="F88" s="106">
        <f t="shared" si="19"/>
        <v>936.50000000000011</v>
      </c>
    </row>
    <row r="89" spans="2:6" x14ac:dyDescent="0.25">
      <c r="B89" s="88" t="s">
        <v>105</v>
      </c>
      <c r="C89" s="89"/>
      <c r="D89" s="21" t="b">
        <f>D75=D88</f>
        <v>1</v>
      </c>
      <c r="E89" s="21" t="b">
        <f t="shared" ref="E89:F89" si="20">E75=E88</f>
        <v>1</v>
      </c>
      <c r="F89" s="21" t="b">
        <f t="shared" si="20"/>
        <v>1</v>
      </c>
    </row>
    <row r="90" spans="2:6" x14ac:dyDescent="0.25">
      <c r="D90" s="7"/>
      <c r="E90" s="7"/>
      <c r="F90" s="7"/>
    </row>
    <row r="91" spans="2:6" x14ac:dyDescent="0.25">
      <c r="B91" s="68" t="s">
        <v>106</v>
      </c>
      <c r="C91" s="69"/>
      <c r="D91" s="69"/>
      <c r="E91" s="69"/>
      <c r="F91" s="69"/>
    </row>
    <row r="93" spans="2:6" x14ac:dyDescent="0.25">
      <c r="B93" s="1" t="s">
        <v>70</v>
      </c>
      <c r="C93" s="75"/>
      <c r="D93" s="75"/>
      <c r="E93" s="21">
        <f>E66</f>
        <v>67.898089171974547</v>
      </c>
      <c r="F93" s="21">
        <f>F66</f>
        <v>83.52158302568057</v>
      </c>
    </row>
    <row r="94" spans="2:6" x14ac:dyDescent="0.25">
      <c r="B94" s="1" t="s">
        <v>107</v>
      </c>
    </row>
    <row r="95" spans="2:6" x14ac:dyDescent="0.25">
      <c r="B95" s="82" t="s">
        <v>11</v>
      </c>
      <c r="C95" s="83"/>
      <c r="D95" s="74"/>
      <c r="E95" s="21">
        <f>-E58</f>
        <v>55.000000000000014</v>
      </c>
      <c r="F95" s="21">
        <f>-F58</f>
        <v>60.500000000000014</v>
      </c>
    </row>
    <row r="96" spans="2:6" x14ac:dyDescent="0.25">
      <c r="B96" s="1" t="s">
        <v>108</v>
      </c>
    </row>
    <row r="97" spans="2:6" x14ac:dyDescent="0.25">
      <c r="B97" s="82" t="s">
        <v>109</v>
      </c>
      <c r="E97" s="21">
        <f>D71-E71</f>
        <v>-15.000000000000028</v>
      </c>
      <c r="F97" s="21">
        <f>E71-F71</f>
        <v>-16.5</v>
      </c>
    </row>
    <row r="98" spans="2:6" x14ac:dyDescent="0.25">
      <c r="B98" s="82" t="s">
        <v>110</v>
      </c>
      <c r="E98" s="21">
        <f>E78-D78</f>
        <v>5.0000000000000142</v>
      </c>
      <c r="F98" s="21">
        <f>F78-E78</f>
        <v>5.5</v>
      </c>
    </row>
    <row r="99" spans="2:6" x14ac:dyDescent="0.25">
      <c r="B99" s="71" t="s">
        <v>111</v>
      </c>
      <c r="C99" s="71"/>
      <c r="D99" s="71"/>
      <c r="E99" s="21">
        <f>E93+E95+E97+E98</f>
        <v>112.89808917197455</v>
      </c>
      <c r="F99" s="21">
        <f>F93+F95+F97+F98</f>
        <v>133.02158302568057</v>
      </c>
    </row>
    <row r="101" spans="2:6" x14ac:dyDescent="0.25">
      <c r="B101" s="1" t="s">
        <v>112</v>
      </c>
      <c r="E101" s="80">
        <v>-55.000000000000014</v>
      </c>
      <c r="F101" s="80">
        <v>-60.500000000000014</v>
      </c>
    </row>
    <row r="102" spans="2:6" x14ac:dyDescent="0.25">
      <c r="B102" s="71" t="s">
        <v>113</v>
      </c>
      <c r="C102" s="71"/>
      <c r="D102" s="71"/>
      <c r="E102" s="21">
        <f>E101</f>
        <v>-55.000000000000014</v>
      </c>
      <c r="F102" s="21">
        <f>F101</f>
        <v>-60.500000000000014</v>
      </c>
    </row>
    <row r="104" spans="2:6" x14ac:dyDescent="0.25">
      <c r="B104" s="1" t="s">
        <v>114</v>
      </c>
      <c r="E104" s="79">
        <v>-52.898089171974519</v>
      </c>
      <c r="F104" s="79">
        <v>-12.021583025680556</v>
      </c>
    </row>
    <row r="105" spans="2:6" x14ac:dyDescent="0.25">
      <c r="B105" s="1" t="s">
        <v>115</v>
      </c>
      <c r="E105" s="87">
        <v>0</v>
      </c>
      <c r="F105" s="87">
        <v>0</v>
      </c>
    </row>
    <row r="106" spans="2:6" x14ac:dyDescent="0.25">
      <c r="B106" s="1" t="s">
        <v>116</v>
      </c>
      <c r="E106" s="87">
        <v>0</v>
      </c>
      <c r="F106" s="87">
        <v>0</v>
      </c>
    </row>
    <row r="107" spans="2:6" x14ac:dyDescent="0.25">
      <c r="B107" s="1" t="s">
        <v>117</v>
      </c>
      <c r="E107" s="87">
        <v>0</v>
      </c>
      <c r="F107" s="87">
        <v>0</v>
      </c>
    </row>
    <row r="108" spans="2:6" x14ac:dyDescent="0.25">
      <c r="B108" s="71" t="s">
        <v>118</v>
      </c>
      <c r="C108" s="71"/>
      <c r="D108" s="71"/>
      <c r="E108" s="21">
        <f>E104+E105+E106+E107</f>
        <v>-52.898089171974519</v>
      </c>
      <c r="F108" s="21">
        <f>F104+F105+F106+F107</f>
        <v>-12.021583025680556</v>
      </c>
    </row>
    <row r="110" spans="2:6" x14ac:dyDescent="0.25">
      <c r="B110" s="84" t="s">
        <v>119</v>
      </c>
      <c r="C110" s="85"/>
      <c r="D110" s="85"/>
      <c r="E110" s="21">
        <f>E99+E102+E108</f>
        <v>5.0000000000000142</v>
      </c>
      <c r="F110" s="21">
        <f>F99+F102+F108</f>
        <v>60.5</v>
      </c>
    </row>
    <row r="112" spans="2:6" x14ac:dyDescent="0.25">
      <c r="B112" s="78" t="s">
        <v>120</v>
      </c>
    </row>
    <row r="113" spans="2:6" x14ac:dyDescent="0.25">
      <c r="B113" s="1" t="s">
        <v>121</v>
      </c>
      <c r="E113" s="21">
        <f>D115</f>
        <v>100</v>
      </c>
      <c r="F113" s="21">
        <f t="shared" ref="F113" si="21">E115</f>
        <v>105.00000000000001</v>
      </c>
    </row>
    <row r="114" spans="2:6" x14ac:dyDescent="0.25">
      <c r="B114" s="1" t="s">
        <v>122</v>
      </c>
      <c r="E114" s="21">
        <f>E110</f>
        <v>5.0000000000000142</v>
      </c>
      <c r="F114" s="21">
        <f t="shared" ref="F114" si="22">F110</f>
        <v>60.5</v>
      </c>
    </row>
    <row r="115" spans="2:6" x14ac:dyDescent="0.25">
      <c r="B115" s="72" t="s">
        <v>123</v>
      </c>
      <c r="C115" s="86"/>
      <c r="D115" s="81">
        <v>100</v>
      </c>
      <c r="E115" s="21">
        <f>E113+E114</f>
        <v>105.00000000000001</v>
      </c>
      <c r="F115" s="21">
        <f t="shared" ref="F115" si="23">F113+F114</f>
        <v>165.5</v>
      </c>
    </row>
  </sheetData>
  <mergeCells count="7">
    <mergeCell ref="C16:E16"/>
    <mergeCell ref="G16:I16"/>
    <mergeCell ref="O16:Q16"/>
    <mergeCell ref="C27:E27"/>
    <mergeCell ref="G27:I27"/>
    <mergeCell ref="K27:M27"/>
    <mergeCell ref="K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810-A6B3-D643-A8AA-E2ECBC43B96E}">
  <dimension ref="A1:Z96"/>
  <sheetViews>
    <sheetView showGridLines="0" tabSelected="1" zoomScale="107" workbookViewId="0">
      <selection activeCell="D5" sqref="D5"/>
    </sheetView>
  </sheetViews>
  <sheetFormatPr defaultColWidth="10.796875" defaultRowHeight="13.8" x14ac:dyDescent="0.3"/>
  <cols>
    <col min="1" max="1" width="2.796875" style="41" customWidth="1"/>
    <col min="2" max="2" width="15.796875" style="39" customWidth="1"/>
    <col min="3" max="18" width="11.69921875" style="39" customWidth="1"/>
    <col min="19" max="16384" width="10.796875" style="39"/>
  </cols>
  <sheetData>
    <row r="1" spans="1:26" x14ac:dyDescent="0.3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0" customFormat="1" ht="21" x14ac:dyDescent="0.4">
      <c r="A2" s="8"/>
      <c r="B2" s="9" t="s">
        <v>125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7"/>
      <c r="B5" s="22" t="s">
        <v>53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"/>
      <c r="U5" s="1"/>
      <c r="V5" s="1"/>
      <c r="W5" s="1"/>
      <c r="X5" s="1"/>
      <c r="Y5" s="1"/>
      <c r="Z5" s="1"/>
    </row>
    <row r="6" spans="1:26" x14ac:dyDescent="0.3">
      <c r="B6" s="30"/>
      <c r="C6" s="26"/>
      <c r="D6" s="26"/>
      <c r="E6" s="26"/>
      <c r="F6" s="26"/>
      <c r="G6" s="26"/>
      <c r="H6" s="26"/>
      <c r="I6" s="119" t="s">
        <v>3</v>
      </c>
      <c r="J6" s="119"/>
      <c r="K6" s="119"/>
      <c r="L6" s="26"/>
      <c r="M6" s="119" t="s">
        <v>41</v>
      </c>
      <c r="N6" s="119"/>
      <c r="O6" s="119"/>
      <c r="P6" s="26"/>
      <c r="Q6" s="119" t="s">
        <v>24</v>
      </c>
      <c r="R6" s="119"/>
      <c r="S6" s="119"/>
      <c r="T6" s="29"/>
      <c r="U6" s="1"/>
      <c r="V6" s="1"/>
      <c r="W6" s="1"/>
      <c r="X6" s="1"/>
      <c r="Y6" s="1"/>
      <c r="Z6" s="1"/>
    </row>
    <row r="7" spans="1:26" x14ac:dyDescent="0.3">
      <c r="B7" s="16" t="s">
        <v>35</v>
      </c>
      <c r="C7" s="25"/>
      <c r="D7" s="25"/>
      <c r="E7" s="25"/>
      <c r="F7" s="25"/>
      <c r="G7" s="25"/>
      <c r="H7" s="25"/>
      <c r="I7" s="25">
        <v>2018</v>
      </c>
      <c r="J7" s="25">
        <f>I7+1</f>
        <v>2019</v>
      </c>
      <c r="K7" s="25">
        <f>J7+1</f>
        <v>2020</v>
      </c>
      <c r="L7" s="25"/>
      <c r="M7" s="25">
        <f>I7</f>
        <v>2018</v>
      </c>
      <c r="N7" s="25">
        <f t="shared" ref="N7:O7" si="0">J7</f>
        <v>2019</v>
      </c>
      <c r="O7" s="25">
        <f t="shared" si="0"/>
        <v>2020</v>
      </c>
      <c r="P7" s="25"/>
      <c r="Q7" s="25">
        <f>M7</f>
        <v>2018</v>
      </c>
      <c r="R7" s="25">
        <f t="shared" ref="R7" si="1">N7</f>
        <v>2019</v>
      </c>
      <c r="S7" s="25">
        <f t="shared" ref="S7" si="2">O7</f>
        <v>2020</v>
      </c>
      <c r="T7" s="1"/>
      <c r="U7" s="1"/>
      <c r="V7" s="1"/>
      <c r="W7" s="1"/>
      <c r="X7" s="1"/>
      <c r="Y7" s="1"/>
      <c r="Z7" s="1"/>
    </row>
    <row r="8" spans="1:26" x14ac:dyDescent="0.3">
      <c r="B8" s="19" t="s">
        <v>25</v>
      </c>
      <c r="C8" s="38"/>
      <c r="D8" s="38"/>
      <c r="E8" s="38"/>
      <c r="F8" s="38"/>
      <c r="G8" s="38"/>
      <c r="H8" s="38"/>
      <c r="I8" s="113">
        <f>'Session 1'!E18</f>
        <v>55838</v>
      </c>
      <c r="J8" s="113">
        <f>I8*(1+('Session 1'!E18/'Session 1'!D18-1))</f>
        <v>76695.010060758126</v>
      </c>
      <c r="K8" s="113">
        <f>J8*(1+(J8/I8-1))</f>
        <v>105342.68004261954</v>
      </c>
      <c r="L8" s="113"/>
      <c r="M8" s="113">
        <f>'Session 1'!M18</f>
        <v>29228</v>
      </c>
      <c r="N8" s="113">
        <f>M8*(1+('Session 1'!M18/'Session 1'!L18-1))</f>
        <v>36777.853624935422</v>
      </c>
      <c r="O8" s="113">
        <f>N8*(1+(N8/M8-1))</f>
        <v>46277.901917927178</v>
      </c>
      <c r="P8" s="13"/>
      <c r="Q8" s="111">
        <f>'Session 1'!Q18</f>
        <v>7.65</v>
      </c>
      <c r="R8" s="111">
        <f>Q8*(1+('Session 1'!Q18/'Session 1'!P18-1))</f>
        <v>10.857606679035252</v>
      </c>
      <c r="S8" s="111">
        <f>R8*(1+(R8/Q8-1))</f>
        <v>15.410146770801425</v>
      </c>
      <c r="T8" s="63"/>
      <c r="U8" s="1"/>
      <c r="V8" s="1"/>
      <c r="W8" s="1"/>
      <c r="X8" s="1"/>
      <c r="Y8" s="1"/>
      <c r="Z8" s="1"/>
    </row>
    <row r="9" spans="1:26" x14ac:dyDescent="0.3">
      <c r="A9" s="7"/>
      <c r="B9" s="19"/>
      <c r="C9" s="38"/>
      <c r="D9" s="38"/>
      <c r="E9" s="38"/>
      <c r="F9" s="38"/>
      <c r="G9" s="38"/>
      <c r="H9" s="38"/>
      <c r="I9" s="95"/>
      <c r="J9" s="95"/>
      <c r="K9" s="95"/>
      <c r="L9" s="95"/>
      <c r="M9" s="95"/>
      <c r="N9" s="95"/>
      <c r="O9" s="95"/>
      <c r="P9" s="38"/>
      <c r="Q9" s="91"/>
      <c r="R9" s="91"/>
      <c r="S9" s="91"/>
      <c r="T9" s="63"/>
      <c r="U9" s="1"/>
      <c r="V9" s="1"/>
      <c r="W9" s="1"/>
      <c r="X9" s="1"/>
      <c r="Y9" s="1"/>
      <c r="Z9" s="1"/>
    </row>
    <row r="10" spans="1:26" s="42" customFormat="1" x14ac:dyDescent="0.3">
      <c r="A10" s="28"/>
      <c r="B10" s="1" t="s">
        <v>33</v>
      </c>
      <c r="C10" s="13"/>
      <c r="D10" s="13"/>
      <c r="E10" s="13"/>
      <c r="F10" s="13"/>
      <c r="G10" s="13"/>
      <c r="H10" s="13"/>
      <c r="I10" s="113">
        <f>'Session 1'!E20</f>
        <v>232887</v>
      </c>
      <c r="J10" s="113">
        <f>I10*(1+('Session 1'!E20/'Session 1'!D20-1))</f>
        <v>304928.17496879672</v>
      </c>
      <c r="K10" s="113">
        <f>J10*(1+(J10/I10-1))</f>
        <v>399254.53928214591</v>
      </c>
      <c r="L10" s="113"/>
      <c r="M10" s="113">
        <f>'Session 1'!M20</f>
        <v>27762</v>
      </c>
      <c r="N10" s="113">
        <f>M10*(1+('Session 1'!M20/'Session 1'!L20-1))</f>
        <v>49456.406827515399</v>
      </c>
      <c r="O10" s="113">
        <f>N10*(1+(N10/M10-1))</f>
        <v>88103.745273709093</v>
      </c>
      <c r="P10" s="13"/>
      <c r="Q10" s="111">
        <f>'Session 1'!Q20</f>
        <v>20.14</v>
      </c>
      <c r="R10" s="111">
        <f>Q10*(1+('Session 1'!Q20/'Session 1'!P20-1))</f>
        <v>65.954406504065048</v>
      </c>
      <c r="S10" s="111">
        <f>R10*(1+(R10/Q10-1))</f>
        <v>215.98727593363742</v>
      </c>
      <c r="T10" s="1"/>
      <c r="U10" s="29"/>
      <c r="V10" s="29"/>
      <c r="W10" s="29"/>
      <c r="X10" s="29"/>
      <c r="Y10" s="29"/>
      <c r="Z10" s="29"/>
    </row>
    <row r="11" spans="1:26" x14ac:dyDescent="0.3">
      <c r="A11" s="7"/>
      <c r="B11" s="1" t="s">
        <v>26</v>
      </c>
      <c r="C11" s="13"/>
      <c r="D11" s="13"/>
      <c r="E11" s="13"/>
      <c r="F11" s="13"/>
      <c r="G11" s="13"/>
      <c r="H11" s="13"/>
      <c r="I11" s="113">
        <f>'Session 1'!E21</f>
        <v>265595</v>
      </c>
      <c r="J11" s="113">
        <f>I11*(1+('Session 1'!E21/'Session 1'!D21-1))</f>
        <v>307723.56642121152</v>
      </c>
      <c r="K11" s="113">
        <f t="shared" ref="K11:K14" si="3">J11*(1+(J11/I11-1))</f>
        <v>356534.54820681782</v>
      </c>
      <c r="L11" s="113"/>
      <c r="M11" s="113">
        <f>'Session 1'!M21</f>
        <v>81801</v>
      </c>
      <c r="N11" s="113">
        <f>M11*(1+('Session 1'!M21/'Session 1'!L21-1))</f>
        <v>93584.755471951445</v>
      </c>
      <c r="O11" s="113">
        <f t="shared" ref="O11:O14" si="4">N11*(1+(N11/M11-1))</f>
        <v>107066.00722173257</v>
      </c>
      <c r="P11" s="13"/>
      <c r="Q11" s="111">
        <f>'Session 1'!Q21</f>
        <v>11.91</v>
      </c>
      <c r="R11" s="111">
        <f>Q11*(1+('Session 1'!Q21/'Session 1'!P21-1))</f>
        <v>15.401530944625407</v>
      </c>
      <c r="S11" s="111">
        <f t="shared" ref="S11:S14" si="5">R11*(1+(R11/Q11-1))</f>
        <v>19.916637736209399</v>
      </c>
      <c r="T11" s="1"/>
      <c r="U11" s="1"/>
      <c r="V11" s="1"/>
      <c r="W11" s="1"/>
      <c r="X11" s="1"/>
      <c r="Y11" s="1"/>
      <c r="Z11" s="1"/>
    </row>
    <row r="12" spans="1:26" s="64" customFormat="1" x14ac:dyDescent="0.3">
      <c r="A12" s="62"/>
      <c r="B12" s="1" t="s">
        <v>34</v>
      </c>
      <c r="C12" s="13"/>
      <c r="D12" s="13"/>
      <c r="E12" s="13"/>
      <c r="F12" s="13"/>
      <c r="G12" s="13"/>
      <c r="H12" s="13"/>
      <c r="I12" s="113">
        <f>'Session 1'!E22</f>
        <v>79591</v>
      </c>
      <c r="J12" s="113">
        <f>I12*(1+('Session 1'!E22/'Session 1'!D22-1))</f>
        <v>80045.581584301035</v>
      </c>
      <c r="K12" s="113">
        <f t="shared" si="3"/>
        <v>80502.759497543608</v>
      </c>
      <c r="L12" s="113"/>
      <c r="M12" s="113">
        <f>'Session 1'!M22</f>
        <v>14469</v>
      </c>
      <c r="N12" s="113">
        <f>M12*(1+('Session 1'!M22/'Session 1'!L22-1))</f>
        <v>14517.159767006449</v>
      </c>
      <c r="O12" s="113">
        <f t="shared" si="4"/>
        <v>14565.47983280052</v>
      </c>
      <c r="P12" s="13"/>
      <c r="Q12" s="111">
        <f>'Session 1'!Q22</f>
        <v>9.52</v>
      </c>
      <c r="R12" s="111">
        <f>Q12*(1+('Session 1'!Q22/'Session 1'!P22-1))</f>
        <v>14.760651465798045</v>
      </c>
      <c r="S12" s="111">
        <f t="shared" si="5"/>
        <v>22.8862218166771</v>
      </c>
      <c r="T12" s="39"/>
      <c r="U12" s="63"/>
      <c r="V12" s="63"/>
      <c r="W12" s="63"/>
      <c r="X12" s="63"/>
      <c r="Y12" s="63"/>
      <c r="Z12" s="63"/>
    </row>
    <row r="13" spans="1:26" s="64" customFormat="1" x14ac:dyDescent="0.3">
      <c r="A13" s="62"/>
      <c r="B13" s="1" t="s">
        <v>28</v>
      </c>
      <c r="C13" s="13"/>
      <c r="D13" s="13"/>
      <c r="E13" s="13"/>
      <c r="F13" s="13"/>
      <c r="G13" s="13"/>
      <c r="H13" s="13"/>
      <c r="I13" s="113">
        <f>'Session 1'!E23</f>
        <v>110360</v>
      </c>
      <c r="J13" s="113">
        <f>I13*(1+('Session 1'!E23/'Session 1'!D23-1))</f>
        <v>126117.87803792028</v>
      </c>
      <c r="K13" s="113">
        <f t="shared" si="3"/>
        <v>144125.76260228103</v>
      </c>
      <c r="L13" s="113"/>
      <c r="M13" s="113">
        <f>'Session 1'!M23</f>
        <v>45319</v>
      </c>
      <c r="N13" s="113">
        <f>M13*(1+('Session 1'!M23/'Session 1'!L23-1))</f>
        <v>54329.332619104309</v>
      </c>
      <c r="O13" s="113">
        <f t="shared" si="4"/>
        <v>65131.101366695453</v>
      </c>
      <c r="P13" s="13"/>
      <c r="Q13" s="111">
        <f>'Session 1'!Q23</f>
        <v>2.13</v>
      </c>
      <c r="R13" s="111">
        <f>Q13*(1+('Session 1'!Q23/'Session 1'!P23-1))</f>
        <v>1.3959692307692306</v>
      </c>
      <c r="S13" s="111">
        <f t="shared" si="5"/>
        <v>0.9148967573964496</v>
      </c>
      <c r="T13" s="39"/>
      <c r="U13" s="63"/>
      <c r="V13" s="63"/>
      <c r="W13" s="63"/>
      <c r="X13" s="63"/>
      <c r="Y13" s="63"/>
      <c r="Z13" s="63"/>
    </row>
    <row r="14" spans="1:26" x14ac:dyDescent="0.3">
      <c r="A14" s="7"/>
      <c r="B14" s="18" t="s">
        <v>27</v>
      </c>
      <c r="C14" s="18"/>
      <c r="D14" s="18"/>
      <c r="E14" s="43"/>
      <c r="F14" s="43"/>
      <c r="G14" s="43"/>
      <c r="H14" s="43"/>
      <c r="I14" s="114">
        <f>'Session 1'!E24</f>
        <v>3042.3589999999999</v>
      </c>
      <c r="J14" s="114">
        <f>I14*(1+('Session 1'!E24/'Session 1'!D24-1))</f>
        <v>3788.2994610487704</v>
      </c>
      <c r="K14" s="114">
        <f t="shared" si="3"/>
        <v>4717.1332530389755</v>
      </c>
      <c r="L14" s="115"/>
      <c r="M14" s="114">
        <f>'Session 1'!M24</f>
        <v>849.04199999999992</v>
      </c>
      <c r="N14" s="114">
        <f>M14*(1+('Session 1'!M24/'Session 1'!L24-1))</f>
        <v>1658.6762702027345</v>
      </c>
      <c r="O14" s="114">
        <f t="shared" si="4"/>
        <v>3240.3661648465622</v>
      </c>
      <c r="P14" s="43"/>
      <c r="Q14" s="112">
        <f>'Session 1'!Q24</f>
        <v>1.56</v>
      </c>
      <c r="R14" s="112">
        <f>Q14*(1+('Session 1'!Q24/'Session 1'!P24-1))</f>
        <v>-16.224</v>
      </c>
      <c r="S14" s="112">
        <f t="shared" si="5"/>
        <v>168.7296</v>
      </c>
      <c r="U14" s="1"/>
      <c r="V14" s="1"/>
      <c r="W14" s="1"/>
      <c r="X14" s="1"/>
      <c r="Y14" s="1"/>
      <c r="Z14" s="1"/>
    </row>
    <row r="15" spans="1:26" x14ac:dyDescent="0.3">
      <c r="A15" s="7"/>
      <c r="P15" s="1"/>
      <c r="U15" s="1"/>
      <c r="V15" s="1"/>
      <c r="W15" s="1"/>
      <c r="X15" s="1"/>
      <c r="Y15" s="1"/>
      <c r="Z15" s="1"/>
    </row>
    <row r="16" spans="1:26" x14ac:dyDescent="0.3">
      <c r="A16" s="7"/>
      <c r="B16" s="30"/>
      <c r="C16" s="26"/>
      <c r="D16" s="26"/>
      <c r="E16" s="26"/>
      <c r="F16" s="26"/>
      <c r="G16" s="27" t="s">
        <v>46</v>
      </c>
      <c r="H16" s="26"/>
      <c r="I16" s="119" t="s">
        <v>43</v>
      </c>
      <c r="J16" s="119"/>
      <c r="K16" s="119"/>
      <c r="L16" s="26"/>
      <c r="M16" s="119" t="s">
        <v>44</v>
      </c>
      <c r="N16" s="119"/>
      <c r="O16" s="119"/>
      <c r="P16" s="26"/>
      <c r="Q16" s="119" t="s">
        <v>45</v>
      </c>
      <c r="R16" s="119"/>
      <c r="S16" s="119"/>
    </row>
    <row r="17" spans="1:26" x14ac:dyDescent="0.3">
      <c r="A17" s="7"/>
      <c r="B17" s="16" t="s">
        <v>35</v>
      </c>
      <c r="C17" s="25" t="s">
        <v>36</v>
      </c>
      <c r="D17" s="25" t="s">
        <v>37</v>
      </c>
      <c r="E17" s="25" t="s">
        <v>2</v>
      </c>
      <c r="F17" s="25" t="s">
        <v>7</v>
      </c>
      <c r="G17" s="25" t="s">
        <v>47</v>
      </c>
      <c r="H17" s="25"/>
      <c r="I17" s="25"/>
      <c r="J17" s="25">
        <v>2019</v>
      </c>
      <c r="K17" s="25">
        <f>J17+1</f>
        <v>2020</v>
      </c>
      <c r="L17" s="25"/>
      <c r="M17" s="25"/>
      <c r="N17" s="25">
        <f t="shared" ref="N17" si="6">J17</f>
        <v>2019</v>
      </c>
      <c r="O17" s="25">
        <f t="shared" ref="O17" si="7">K17</f>
        <v>2020</v>
      </c>
      <c r="P17" s="25"/>
      <c r="Q17" s="25"/>
      <c r="R17" s="25">
        <f t="shared" ref="R17" si="8">N17</f>
        <v>2019</v>
      </c>
      <c r="S17" s="25">
        <f t="shared" ref="S17" si="9">O17</f>
        <v>2020</v>
      </c>
      <c r="Z17" s="1"/>
    </row>
    <row r="18" spans="1:26" x14ac:dyDescent="0.3">
      <c r="B18" s="1" t="s">
        <v>33</v>
      </c>
      <c r="C18" s="94">
        <f>'Session 1'!C9</f>
        <v>1757.51</v>
      </c>
      <c r="D18" s="94">
        <f>'Session 1'!E9</f>
        <v>863293.99120390008</v>
      </c>
      <c r="E18" s="94">
        <f>'Session 1'!F9</f>
        <v>41250</v>
      </c>
      <c r="F18" s="94">
        <f>'Session 1'!G9</f>
        <v>23495</v>
      </c>
      <c r="G18" s="94">
        <f>'Session 1'!H9</f>
        <v>845538.99120390008</v>
      </c>
      <c r="H18" s="13"/>
      <c r="I18" s="13"/>
      <c r="J18" s="48">
        <f>$G18/J10</f>
        <v>2.7729119858813442</v>
      </c>
      <c r="K18" s="48">
        <f>$G18/K10</f>
        <v>2.117794309174712</v>
      </c>
      <c r="L18" s="24"/>
      <c r="M18" s="24"/>
      <c r="N18" s="48">
        <f>$G18/N10</f>
        <v>17.096652293257158</v>
      </c>
      <c r="O18" s="48">
        <f>$G18/O10</f>
        <v>9.5970833995432443</v>
      </c>
      <c r="P18" s="24"/>
      <c r="Q18" s="24"/>
      <c r="R18" s="48">
        <f>$C18/R10</f>
        <v>26.647347662686908</v>
      </c>
      <c r="S18" s="48">
        <f>$C18/S10</f>
        <v>8.1370997083179972</v>
      </c>
      <c r="Z18" s="1"/>
    </row>
    <row r="19" spans="1:26" x14ac:dyDescent="0.3">
      <c r="B19" s="1" t="s">
        <v>26</v>
      </c>
      <c r="C19" s="94">
        <f>'Session 1'!C10</f>
        <v>236.41</v>
      </c>
      <c r="D19" s="94">
        <f>'Session 1'!E10</f>
        <v>1121859.5411799999</v>
      </c>
      <c r="E19" s="94">
        <f>'Session 1'!F10</f>
        <v>66301</v>
      </c>
      <c r="F19" s="94">
        <f>'Session 1'!G10</f>
        <v>102519</v>
      </c>
      <c r="G19" s="94">
        <f>'Session 1'!H10</f>
        <v>1158077.5411799999</v>
      </c>
      <c r="H19" s="13"/>
      <c r="I19" s="13"/>
      <c r="J19" s="48">
        <f>$G19/J11</f>
        <v>3.763369684838584</v>
      </c>
      <c r="K19" s="48">
        <f>$G19/K11</f>
        <v>3.2481495748575386</v>
      </c>
      <c r="L19" s="24"/>
      <c r="M19" s="24"/>
      <c r="N19" s="48">
        <f>$G19/N11</f>
        <v>12.374638746874652</v>
      </c>
      <c r="O19" s="48">
        <f>$G19/O11</f>
        <v>10.816482011714825</v>
      </c>
      <c r="P19" s="24"/>
      <c r="Q19" s="24"/>
      <c r="R19" s="48">
        <f>$C19/R11</f>
        <v>15.349772749864115</v>
      </c>
      <c r="S19" s="48">
        <f>$C19/S11</f>
        <v>11.869975401028423</v>
      </c>
      <c r="Z19" s="1"/>
    </row>
    <row r="20" spans="1:26" x14ac:dyDescent="0.3">
      <c r="B20" s="1" t="s">
        <v>34</v>
      </c>
      <c r="C20" s="94">
        <f>'Session 1'!C11</f>
        <v>134.09</v>
      </c>
      <c r="D20" s="94">
        <f>'Session 1'!E11</f>
        <v>119322.16626704001</v>
      </c>
      <c r="E20" s="94">
        <f>'Session 1'!F11</f>
        <v>11997</v>
      </c>
      <c r="F20" s="94">
        <f>'Session 1'!G11</f>
        <v>45812</v>
      </c>
      <c r="G20" s="94">
        <f>'Session 1'!H11</f>
        <v>153137.16626704001</v>
      </c>
      <c r="H20" s="13"/>
      <c r="I20" s="13"/>
      <c r="J20" s="48">
        <f>$G20/J12</f>
        <v>1.9131245377455548</v>
      </c>
      <c r="K20" s="48">
        <f>$G20/K12</f>
        <v>1.9022598383315383</v>
      </c>
      <c r="L20" s="24"/>
      <c r="M20" s="24"/>
      <c r="N20" s="48">
        <f>$G20/N12</f>
        <v>10.548700208912702</v>
      </c>
      <c r="O20" s="48">
        <f>$G20/O12</f>
        <v>10.513705557587262</v>
      </c>
      <c r="P20" s="24"/>
      <c r="Q20" s="24"/>
      <c r="R20" s="48">
        <f>$C20/R12</f>
        <v>9.0842873914271607</v>
      </c>
      <c r="S20" s="48">
        <f>$C20/S12</f>
        <v>5.8589836747229791</v>
      </c>
      <c r="Z20" s="1"/>
    </row>
    <row r="21" spans="1:26" x14ac:dyDescent="0.3">
      <c r="B21" s="1" t="s">
        <v>28</v>
      </c>
      <c r="C21" s="94">
        <f>'Session 1'!C12</f>
        <v>137.41</v>
      </c>
      <c r="D21" s="94">
        <f>'Session 1'!E12</f>
        <v>1053689.7413915601</v>
      </c>
      <c r="E21" s="94">
        <f>'Session 1'!F12</f>
        <v>133768</v>
      </c>
      <c r="F21" s="94">
        <f>'Session 1'!G12</f>
        <v>76240</v>
      </c>
      <c r="G21" s="94">
        <f>'Session 1'!H12</f>
        <v>996161.74139156006</v>
      </c>
      <c r="H21" s="31"/>
      <c r="I21" s="31"/>
      <c r="J21" s="48">
        <f>$G21/J13</f>
        <v>7.8986560580415155</v>
      </c>
      <c r="K21" s="48">
        <f>$G21/K13</f>
        <v>6.9117534811628056</v>
      </c>
      <c r="L21" s="24"/>
      <c r="M21" s="24"/>
      <c r="N21" s="48">
        <f>$G21/N13</f>
        <v>18.335615281260988</v>
      </c>
      <c r="O21" s="48">
        <f>$G21/O13</f>
        <v>15.294716663596045</v>
      </c>
      <c r="P21" s="24"/>
      <c r="Q21" s="24"/>
      <c r="R21" s="48">
        <f>$C21/R13</f>
        <v>98.433401661927761</v>
      </c>
      <c r="S21" s="48">
        <f>$C21/S13</f>
        <v>150.19181004754236</v>
      </c>
      <c r="Z21" s="1"/>
    </row>
    <row r="22" spans="1:26" x14ac:dyDescent="0.3">
      <c r="B22" s="18" t="s">
        <v>27</v>
      </c>
      <c r="C22" s="94">
        <f>'Session 1'!C13</f>
        <v>38.99</v>
      </c>
      <c r="D22" s="94">
        <f>'Session 1'!E13</f>
        <v>29898.489204500002</v>
      </c>
      <c r="E22" s="94">
        <f>'Session 1'!F13</f>
        <v>6209.4009999999998</v>
      </c>
      <c r="F22" s="94">
        <f>'Session 1'!G13</f>
        <v>897.32799999999997</v>
      </c>
      <c r="G22" s="94">
        <f>'Session 1'!H13</f>
        <v>24586.416204500005</v>
      </c>
      <c r="H22" s="43"/>
      <c r="I22" s="43"/>
      <c r="J22" s="48">
        <f>$G22/J14</f>
        <v>6.4900931030656661</v>
      </c>
      <c r="K22" s="48">
        <f>$G22/K14</f>
        <v>5.2121521453014719</v>
      </c>
      <c r="L22" s="24"/>
      <c r="M22" s="24"/>
      <c r="N22" s="48">
        <f>$G22/N14</f>
        <v>14.822914299904278</v>
      </c>
      <c r="O22" s="48">
        <f>$G22/O14</f>
        <v>7.5875425657841422</v>
      </c>
      <c r="P22" s="24"/>
      <c r="Q22" s="24"/>
      <c r="R22" s="48">
        <f>$C22/R14</f>
        <v>-2.4032297830374754</v>
      </c>
      <c r="S22" s="48">
        <f>$C22/S14</f>
        <v>0.23107978683052649</v>
      </c>
      <c r="Z22" s="1"/>
    </row>
    <row r="23" spans="1:26" x14ac:dyDescent="0.3">
      <c r="B23" s="32" t="s">
        <v>48</v>
      </c>
      <c r="C23" s="44"/>
      <c r="D23" s="44"/>
      <c r="E23" s="44"/>
      <c r="F23" s="44"/>
      <c r="G23" s="44"/>
      <c r="H23" s="44"/>
      <c r="I23" s="44"/>
      <c r="J23" s="50">
        <f>AVERAGE(J18:J22)</f>
        <v>4.5676310739145336</v>
      </c>
      <c r="K23" s="50">
        <f>AVERAGE(K18:K22)</f>
        <v>3.8784218697656128</v>
      </c>
      <c r="L23" s="50"/>
      <c r="M23" s="50"/>
      <c r="N23" s="50">
        <f t="shared" ref="N23:O23" si="10">AVERAGE(N18:N22)</f>
        <v>14.635704166041956</v>
      </c>
      <c r="O23" s="50">
        <f t="shared" si="10"/>
        <v>10.761906039645103</v>
      </c>
      <c r="P23" s="50"/>
      <c r="Q23" s="50"/>
      <c r="R23" s="50">
        <f>AVERAGE(R18:R22)</f>
        <v>29.422315936573693</v>
      </c>
      <c r="S23" s="52">
        <f>AVERAGE(S18:S22)</f>
        <v>35.257789723688454</v>
      </c>
      <c r="Z23" s="1"/>
    </row>
    <row r="24" spans="1:26" x14ac:dyDescent="0.3">
      <c r="B24" s="33" t="s">
        <v>49</v>
      </c>
      <c r="C24" s="46"/>
      <c r="D24" s="46"/>
      <c r="E24" s="46"/>
      <c r="F24" s="46"/>
      <c r="G24" s="46"/>
      <c r="H24" s="46"/>
      <c r="I24" s="46"/>
      <c r="J24" s="51">
        <f>MEDIAN(J18:J22)</f>
        <v>3.763369684838584</v>
      </c>
      <c r="K24" s="51">
        <f>MEDIAN(K18:K22)</f>
        <v>3.2481495748575386</v>
      </c>
      <c r="L24" s="51"/>
      <c r="M24" s="51"/>
      <c r="N24" s="51">
        <f t="shared" ref="N24:O24" si="11">MEDIAN(N18:N22)</f>
        <v>14.822914299904278</v>
      </c>
      <c r="O24" s="51">
        <f t="shared" si="11"/>
        <v>10.513705557587262</v>
      </c>
      <c r="P24" s="51"/>
      <c r="Q24" s="51"/>
      <c r="R24" s="51">
        <f>MEDIAN(R18:R22)</f>
        <v>15.349772749864115</v>
      </c>
      <c r="S24" s="53">
        <f>MEDIAN(S18:S22)</f>
        <v>8.1370997083179972</v>
      </c>
      <c r="T24" s="1"/>
      <c r="Z24" s="1"/>
    </row>
    <row r="25" spans="1:26" x14ac:dyDescent="0.3">
      <c r="P25" s="1"/>
      <c r="Q25" s="1"/>
      <c r="R25" s="1"/>
      <c r="S25" s="1"/>
      <c r="T25" s="1"/>
      <c r="Z25" s="1"/>
    </row>
    <row r="26" spans="1:26" x14ac:dyDescent="0.3">
      <c r="P26" s="1"/>
      <c r="Q26" s="1"/>
      <c r="R26" s="1"/>
      <c r="S26" s="1"/>
      <c r="T26" s="1"/>
      <c r="Z26" s="1"/>
    </row>
    <row r="27" spans="1:26" x14ac:dyDescent="0.3">
      <c r="B27" s="22" t="s">
        <v>54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"/>
      <c r="S27" s="1"/>
      <c r="T27" s="1"/>
      <c r="Z27" s="1"/>
    </row>
    <row r="28" spans="1:26" x14ac:dyDescent="0.3">
      <c r="B28" s="30"/>
      <c r="C28" s="26"/>
      <c r="D28" s="26"/>
      <c r="E28" s="34" t="s">
        <v>46</v>
      </c>
      <c r="F28" s="26"/>
      <c r="G28" s="121" t="s">
        <v>3</v>
      </c>
      <c r="H28" s="121"/>
      <c r="I28" s="26"/>
      <c r="J28" s="121" t="s">
        <v>41</v>
      </c>
      <c r="K28" s="121"/>
      <c r="L28" s="26"/>
      <c r="M28" s="121" t="s">
        <v>43</v>
      </c>
      <c r="N28" s="121"/>
      <c r="O28" s="26"/>
      <c r="P28" s="121" t="s">
        <v>44</v>
      </c>
      <c r="Q28" s="12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6" t="s">
        <v>50</v>
      </c>
      <c r="C29" s="25"/>
      <c r="D29" s="25" t="s">
        <v>29</v>
      </c>
      <c r="E29" s="35" t="s">
        <v>47</v>
      </c>
      <c r="F29" s="25"/>
      <c r="G29" s="25" t="s">
        <v>61</v>
      </c>
      <c r="H29" s="25" t="s">
        <v>62</v>
      </c>
      <c r="I29" s="25"/>
      <c r="J29" s="25" t="s">
        <v>61</v>
      </c>
      <c r="K29" s="25" t="s">
        <v>62</v>
      </c>
      <c r="L29" s="25"/>
      <c r="M29" s="25" t="s">
        <v>61</v>
      </c>
      <c r="N29" s="25" t="s">
        <v>62</v>
      </c>
      <c r="O29" s="25"/>
      <c r="P29" s="25" t="s">
        <v>61</v>
      </c>
      <c r="Q29" s="25" t="s">
        <v>62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 t="s">
        <v>59</v>
      </c>
      <c r="C30" s="13"/>
      <c r="D30" s="14">
        <v>43401</v>
      </c>
      <c r="E30" s="13">
        <v>34000</v>
      </c>
      <c r="F30" s="13"/>
      <c r="G30" s="13">
        <v>19350</v>
      </c>
      <c r="H30" s="13">
        <f>G30*(1.1)</f>
        <v>21285</v>
      </c>
      <c r="I30" s="13"/>
      <c r="J30" s="13">
        <v>4500</v>
      </c>
      <c r="K30" s="13">
        <f>J30*(1.1)</f>
        <v>4950</v>
      </c>
      <c r="L30" s="13"/>
      <c r="M30" s="48">
        <f>$E30/G30</f>
        <v>1.7571059431524547</v>
      </c>
      <c r="N30" s="48">
        <f>$E30/H30</f>
        <v>1.5973690392295044</v>
      </c>
      <c r="O30" s="49"/>
      <c r="P30" s="48">
        <f>$E30/J30</f>
        <v>7.5555555555555554</v>
      </c>
      <c r="Q30" s="48">
        <f>$E30/K30</f>
        <v>6.8686868686868685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 t="s">
        <v>51</v>
      </c>
      <c r="C31" s="13"/>
      <c r="D31" s="14">
        <v>42578</v>
      </c>
      <c r="E31" s="36">
        <v>26000</v>
      </c>
      <c r="F31" s="13"/>
      <c r="G31" s="13">
        <v>13200</v>
      </c>
      <c r="H31" s="13">
        <f t="shared" ref="H31:H34" si="12">G31*(1.1)</f>
        <v>14520.000000000002</v>
      </c>
      <c r="I31" s="13"/>
      <c r="J31" s="13">
        <v>2400</v>
      </c>
      <c r="K31" s="13">
        <f t="shared" ref="K31:K34" si="13">J31*(1.1)</f>
        <v>2640</v>
      </c>
      <c r="L31" s="13"/>
      <c r="M31" s="48">
        <f>$E31/G31</f>
        <v>1.9696969696969697</v>
      </c>
      <c r="N31" s="48">
        <f>$E31/H31</f>
        <v>1.7906336088154269</v>
      </c>
      <c r="O31" s="49"/>
      <c r="P31" s="48">
        <f>$E31/J31</f>
        <v>10.833333333333334</v>
      </c>
      <c r="Q31" s="48">
        <f>$E31/K31</f>
        <v>9.8484848484848477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 t="s">
        <v>58</v>
      </c>
      <c r="C32" s="13"/>
      <c r="D32" s="14">
        <v>42248</v>
      </c>
      <c r="E32" s="13">
        <v>37000</v>
      </c>
      <c r="F32" s="13"/>
      <c r="G32" s="13">
        <v>21300</v>
      </c>
      <c r="H32" s="13">
        <f t="shared" si="12"/>
        <v>23430.000000000004</v>
      </c>
      <c r="I32" s="13"/>
      <c r="J32" s="13">
        <v>3800</v>
      </c>
      <c r="K32" s="13">
        <f t="shared" si="13"/>
        <v>4180</v>
      </c>
      <c r="L32" s="13"/>
      <c r="M32" s="48">
        <f>$E32/G32</f>
        <v>1.7370892018779343</v>
      </c>
      <c r="N32" s="48">
        <f>$E32/H32</f>
        <v>1.5791720017072128</v>
      </c>
      <c r="O32" s="49"/>
      <c r="P32" s="48">
        <f>$E32/J32</f>
        <v>9.7368421052631575</v>
      </c>
      <c r="Q32" s="48">
        <f>$E32/K32</f>
        <v>8.8516746411483247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B33" s="1" t="s">
        <v>52</v>
      </c>
      <c r="C33" s="31"/>
      <c r="D33" s="37">
        <v>42156</v>
      </c>
      <c r="E33" s="31">
        <v>67000</v>
      </c>
      <c r="F33" s="31"/>
      <c r="G33" s="31">
        <v>49000</v>
      </c>
      <c r="H33" s="13">
        <f t="shared" si="12"/>
        <v>53900.000000000007</v>
      </c>
      <c r="I33" s="31"/>
      <c r="J33" s="31">
        <v>9700</v>
      </c>
      <c r="K33" s="13">
        <f t="shared" si="13"/>
        <v>10670</v>
      </c>
      <c r="L33" s="31"/>
      <c r="M33" s="48">
        <f>$E33/G33</f>
        <v>1.3673469387755102</v>
      </c>
      <c r="N33" s="48">
        <f>$E33/H33</f>
        <v>1.2430426716141001</v>
      </c>
      <c r="O33" s="49"/>
      <c r="P33" s="48">
        <f>$E33/J33</f>
        <v>6.9072164948453612</v>
      </c>
      <c r="Q33" s="48">
        <f>$E33/K33</f>
        <v>6.2792877225866919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B34" s="1" t="s">
        <v>60</v>
      </c>
      <c r="D34" s="54">
        <v>41749</v>
      </c>
      <c r="E34" s="38">
        <v>19000</v>
      </c>
      <c r="F34" s="18"/>
      <c r="G34" s="18">
        <v>7500</v>
      </c>
      <c r="H34" s="13">
        <f t="shared" si="12"/>
        <v>8250</v>
      </c>
      <c r="I34" s="18"/>
      <c r="J34" s="18">
        <v>1500</v>
      </c>
      <c r="K34" s="13">
        <f t="shared" si="13"/>
        <v>1650.0000000000002</v>
      </c>
      <c r="L34" s="18"/>
      <c r="M34" s="48">
        <f>$E34/G34</f>
        <v>2.5333333333333332</v>
      </c>
      <c r="N34" s="48">
        <f>$E34/H34</f>
        <v>2.3030303030303032</v>
      </c>
      <c r="O34" s="49"/>
      <c r="P34" s="48">
        <f>$E34/J34</f>
        <v>12.666666666666666</v>
      </c>
      <c r="Q34" s="48">
        <f>$E34/K34</f>
        <v>11.515151515151514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7"/>
      <c r="B35" s="32" t="s">
        <v>48</v>
      </c>
      <c r="C35" s="44"/>
      <c r="D35" s="44"/>
      <c r="E35" s="44"/>
      <c r="F35" s="44"/>
      <c r="G35" s="44"/>
      <c r="H35" s="44"/>
      <c r="I35" s="44"/>
      <c r="J35" s="45"/>
      <c r="K35" s="45"/>
      <c r="L35" s="44"/>
      <c r="M35" s="50">
        <f t="shared" ref="M35:N35" si="14">AVERAGE(M30:M34)</f>
        <v>1.8729144773672401</v>
      </c>
      <c r="N35" s="50">
        <f t="shared" si="14"/>
        <v>1.7026495248793094</v>
      </c>
      <c r="O35" s="50"/>
      <c r="P35" s="50">
        <f t="shared" ref="P35" si="15">AVERAGE(P30:P34)</f>
        <v>9.5399228311328148</v>
      </c>
      <c r="Q35" s="52">
        <f t="shared" ref="Q35" si="16">AVERAGE(Q30:Q34)</f>
        <v>8.6726571192116495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7"/>
      <c r="B36" s="33" t="s">
        <v>49</v>
      </c>
      <c r="C36" s="46"/>
      <c r="D36" s="46"/>
      <c r="E36" s="46"/>
      <c r="F36" s="46"/>
      <c r="G36" s="46"/>
      <c r="H36" s="46"/>
      <c r="I36" s="46"/>
      <c r="J36" s="47"/>
      <c r="K36" s="47"/>
      <c r="L36" s="46"/>
      <c r="M36" s="51">
        <f t="shared" ref="M36" si="17">MEDIAN(M30:M34)</f>
        <v>1.7571059431524547</v>
      </c>
      <c r="N36" s="51">
        <f t="shared" ref="N36" si="18">MEDIAN(N30:N34)</f>
        <v>1.5973690392295044</v>
      </c>
      <c r="O36" s="51"/>
      <c r="P36" s="51">
        <f t="shared" ref="P36:Q36" si="19">MEDIAN(P30:P34)</f>
        <v>9.7368421052631575</v>
      </c>
      <c r="Q36" s="53">
        <f t="shared" si="19"/>
        <v>8.8516746411483247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7"/>
      <c r="B37" s="1"/>
      <c r="C37" s="14"/>
      <c r="D37" s="1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7"/>
      <c r="B38" s="1"/>
      <c r="C38" s="14"/>
      <c r="D38" s="14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6" x14ac:dyDescent="0.3">
      <c r="A39" s="7"/>
      <c r="B39" s="11" t="s">
        <v>66</v>
      </c>
      <c r="C39" s="12"/>
      <c r="D39" s="12"/>
      <c r="E39" s="12"/>
      <c r="F39" s="12"/>
      <c r="G39" s="12"/>
      <c r="H39" s="12"/>
      <c r="I39" s="12"/>
      <c r="J39" s="12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7"/>
      <c r="B40" s="1" t="s">
        <v>0</v>
      </c>
      <c r="C40" s="3">
        <v>0.1</v>
      </c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7"/>
      <c r="B41" s="1" t="s">
        <v>1</v>
      </c>
      <c r="C41" s="3">
        <v>0.03</v>
      </c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7"/>
      <c r="B42" s="1"/>
      <c r="C42" s="1"/>
      <c r="D42" s="1"/>
      <c r="E42" s="1"/>
      <c r="F42" s="1"/>
      <c r="G42" s="1">
        <v>1</v>
      </c>
      <c r="H42" s="1">
        <v>2</v>
      </c>
      <c r="I42" s="1">
        <v>3</v>
      </c>
      <c r="J42" s="1">
        <v>4</v>
      </c>
      <c r="K42" s="1">
        <v>5</v>
      </c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7"/>
      <c r="B43" s="16"/>
      <c r="C43" s="55"/>
      <c r="D43" s="16">
        <v>2016</v>
      </c>
      <c r="E43" s="16">
        <f>D43+1</f>
        <v>2017</v>
      </c>
      <c r="F43" s="16">
        <f t="shared" ref="F43:K43" si="20">E43+1</f>
        <v>2018</v>
      </c>
      <c r="G43" s="16">
        <f t="shared" si="20"/>
        <v>2019</v>
      </c>
      <c r="H43" s="16">
        <f t="shared" si="20"/>
        <v>2020</v>
      </c>
      <c r="I43" s="16">
        <f>H43+1</f>
        <v>2021</v>
      </c>
      <c r="J43" s="16">
        <f t="shared" si="20"/>
        <v>2022</v>
      </c>
      <c r="K43" s="16">
        <f t="shared" si="20"/>
        <v>2023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7"/>
      <c r="B44" s="1" t="s">
        <v>3</v>
      </c>
      <c r="D44" s="56">
        <f>'Session 1'!C18</f>
        <v>27638</v>
      </c>
      <c r="E44" s="56">
        <f>'Session 1'!D18</f>
        <v>40653</v>
      </c>
      <c r="F44" s="56">
        <f>'Session 1'!E18</f>
        <v>55838</v>
      </c>
      <c r="G44" s="48">
        <f>F44*(1+G45)</f>
        <v>72858.63604860651</v>
      </c>
      <c r="H44" s="48">
        <f t="shared" ref="H44:K44" si="21">G44*(1+H45)</f>
        <v>90061.747715992984</v>
      </c>
      <c r="I44" s="48">
        <f>H44*(1+I45)</f>
        <v>105139.06303749718</v>
      </c>
      <c r="J44" s="48">
        <f t="shared" si="21"/>
        <v>115516.85986323697</v>
      </c>
      <c r="K44" s="48">
        <f t="shared" si="21"/>
        <v>118982.36565913408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7"/>
      <c r="B45" s="4" t="s">
        <v>4</v>
      </c>
      <c r="C45" s="58"/>
      <c r="D45" s="4"/>
      <c r="E45" s="59">
        <f t="shared" ref="E45:F45" si="22">E44/D44-1</f>
        <v>0.47090961719371882</v>
      </c>
      <c r="F45" s="59">
        <f t="shared" si="22"/>
        <v>0.37352716896661997</v>
      </c>
      <c r="G45" s="59">
        <f>F45-($F$45-$K$45)/5</f>
        <v>0.30482173517329597</v>
      </c>
      <c r="H45" s="59">
        <f>G45-($F$45-$K$45)/5</f>
        <v>0.23611630137997197</v>
      </c>
      <c r="I45" s="59">
        <f>H45-($F$45-$K$45)/5</f>
        <v>0.16741086758664797</v>
      </c>
      <c r="J45" s="59">
        <f>I45-($F$45-$K$45)/5</f>
        <v>9.8705433793323985E-2</v>
      </c>
      <c r="K45" s="59">
        <f>C41</f>
        <v>0.03</v>
      </c>
      <c r="L45" s="4"/>
      <c r="M45" s="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1"/>
    </row>
    <row r="46" spans="1:26" x14ac:dyDescent="0.3">
      <c r="A46" s="7"/>
      <c r="B46" s="1"/>
      <c r="D46" s="1"/>
      <c r="E46" s="1"/>
      <c r="F46" s="5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7"/>
      <c r="B47" s="1" t="s">
        <v>5</v>
      </c>
      <c r="D47" s="56">
        <f>'Session 1'!G18</f>
        <v>12427</v>
      </c>
      <c r="E47" s="56">
        <f>'Session 1'!H18</f>
        <v>20203</v>
      </c>
      <c r="F47" s="56">
        <f>'Session 1'!I18</f>
        <v>24913</v>
      </c>
      <c r="G47" s="48">
        <f>G48*G44</f>
        <v>32507.023888372325</v>
      </c>
      <c r="H47" s="48">
        <f t="shared" ref="H47:K47" si="23">H48*H44</f>
        <v>40182.4621377652</v>
      </c>
      <c r="I47" s="48">
        <f t="shared" si="23"/>
        <v>46909.442986016104</v>
      </c>
      <c r="J47" s="48">
        <f t="shared" si="23"/>
        <v>51539.659904954016</v>
      </c>
      <c r="K47" s="48">
        <f t="shared" si="23"/>
        <v>53085.849702102641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7"/>
      <c r="B48" s="4" t="s">
        <v>6</v>
      </c>
      <c r="C48" s="58"/>
      <c r="D48" s="60">
        <f>D47/D44</f>
        <v>0.44963456111151312</v>
      </c>
      <c r="E48" s="60">
        <f t="shared" ref="E48:F48" si="24">E47/E44</f>
        <v>0.49696209381841439</v>
      </c>
      <c r="F48" s="60">
        <f t="shared" si="24"/>
        <v>0.44616569361366809</v>
      </c>
      <c r="G48" s="60">
        <f>F48</f>
        <v>0.44616569361366809</v>
      </c>
      <c r="H48" s="60">
        <f t="shared" ref="H48:K48" si="25">G48</f>
        <v>0.44616569361366809</v>
      </c>
      <c r="I48" s="60">
        <f>H48</f>
        <v>0.44616569361366809</v>
      </c>
      <c r="J48" s="60">
        <f t="shared" si="25"/>
        <v>0.44616569361366809</v>
      </c>
      <c r="K48" s="60">
        <f t="shared" si="25"/>
        <v>0.44616569361366809</v>
      </c>
      <c r="L48" s="4"/>
      <c r="M48" s="61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1"/>
    </row>
    <row r="49" spans="1:26" s="58" customFormat="1" x14ac:dyDescent="0.3">
      <c r="A49" s="57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"/>
      <c r="V49" s="4"/>
      <c r="W49" s="4"/>
      <c r="X49" s="4"/>
      <c r="Y49" s="4"/>
      <c r="Z49" s="4"/>
    </row>
    <row r="50" spans="1:26" x14ac:dyDescent="0.3">
      <c r="A50" s="7"/>
      <c r="B50" s="1" t="s">
        <v>8</v>
      </c>
      <c r="G50" s="48">
        <f>G47*G51</f>
        <v>11377.458360930314</v>
      </c>
      <c r="H50" s="48">
        <f t="shared" ref="H50:K50" si="26">H47*H51</f>
        <v>14063.86174821782</v>
      </c>
      <c r="I50" s="48">
        <f t="shared" si="26"/>
        <v>16418.305045105637</v>
      </c>
      <c r="J50" s="48">
        <f t="shared" si="26"/>
        <v>18038.880966733905</v>
      </c>
      <c r="K50" s="48">
        <f t="shared" si="26"/>
        <v>18580.047395735925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7"/>
      <c r="B51" s="4" t="s">
        <v>9</v>
      </c>
      <c r="C51" s="58"/>
      <c r="D51" s="60"/>
      <c r="E51" s="60"/>
      <c r="F51" s="60"/>
      <c r="G51" s="59">
        <v>0.35</v>
      </c>
      <c r="H51" s="59">
        <v>0.35</v>
      </c>
      <c r="I51" s="59">
        <v>0.35</v>
      </c>
      <c r="J51" s="59">
        <v>0.35</v>
      </c>
      <c r="K51" s="59">
        <v>0.35</v>
      </c>
      <c r="L51" s="4"/>
      <c r="M51" s="4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1"/>
    </row>
    <row r="52" spans="1:26" s="58" customFormat="1" x14ac:dyDescent="0.3">
      <c r="A52" s="57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4"/>
      <c r="V52" s="4"/>
      <c r="W52" s="4"/>
      <c r="X52" s="4"/>
      <c r="Y52" s="4"/>
      <c r="Z52" s="4"/>
    </row>
    <row r="53" spans="1:26" x14ac:dyDescent="0.3">
      <c r="A53" s="7"/>
      <c r="B53" s="1" t="s">
        <v>10</v>
      </c>
      <c r="D53" s="60"/>
      <c r="E53" s="60"/>
      <c r="F53" s="60"/>
      <c r="G53" s="48">
        <f>G47-G50</f>
        <v>21129.565527442013</v>
      </c>
      <c r="H53" s="48">
        <f t="shared" ref="H53:K53" si="27">H47-H50</f>
        <v>26118.60038954738</v>
      </c>
      <c r="I53" s="48">
        <f t="shared" si="27"/>
        <v>30491.137940910467</v>
      </c>
      <c r="J53" s="48">
        <f t="shared" si="27"/>
        <v>33500.778938220115</v>
      </c>
      <c r="K53" s="48">
        <f t="shared" si="27"/>
        <v>34505.802306366721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7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58" customFormat="1" x14ac:dyDescent="0.3">
      <c r="A55" s="57"/>
      <c r="B55" s="1" t="s">
        <v>11</v>
      </c>
      <c r="C55" s="39"/>
      <c r="D55" s="56">
        <f>'Session 1'!G29</f>
        <v>2342</v>
      </c>
      <c r="E55" s="56">
        <f>'Session 1'!H29</f>
        <v>3025</v>
      </c>
      <c r="F55" s="56">
        <f>'Session 1'!I29</f>
        <v>4315</v>
      </c>
      <c r="G55" s="48">
        <f>G56*G44</f>
        <v>5630.3057872727732</v>
      </c>
      <c r="H55" s="48">
        <f t="shared" ref="H55:K55" si="28">H56*H44</f>
        <v>6959.7127654018723</v>
      </c>
      <c r="I55" s="48">
        <f t="shared" si="28"/>
        <v>8124.844317611668</v>
      </c>
      <c r="J55" s="48">
        <f t="shared" si="28"/>
        <v>8926.8106004847505</v>
      </c>
      <c r="K55" s="48">
        <f t="shared" si="28"/>
        <v>9194.6149184992937</v>
      </c>
      <c r="L55" s="1"/>
      <c r="M55" s="1"/>
      <c r="N55" s="1"/>
      <c r="O55" s="1"/>
      <c r="P55" s="1"/>
      <c r="Q55" s="1"/>
      <c r="R55" s="1"/>
      <c r="S55" s="1"/>
      <c r="T55" s="1"/>
      <c r="U55" s="4"/>
      <c r="V55" s="4"/>
      <c r="W55" s="4"/>
      <c r="X55" s="4"/>
      <c r="Y55" s="4"/>
      <c r="Z55" s="4"/>
    </row>
    <row r="56" spans="1:26" x14ac:dyDescent="0.3">
      <c r="A56" s="7"/>
      <c r="B56" s="4" t="s">
        <v>12</v>
      </c>
      <c r="C56" s="58"/>
      <c r="D56" s="60">
        <f>D55/D44</f>
        <v>8.4738403647152474E-2</v>
      </c>
      <c r="E56" s="60">
        <f t="shared" ref="E56:F56" si="29">E55/E44</f>
        <v>7.4410252625882467E-2</v>
      </c>
      <c r="F56" s="60">
        <f t="shared" si="29"/>
        <v>7.7277123106128442E-2</v>
      </c>
      <c r="G56" s="60">
        <f>F56</f>
        <v>7.7277123106128442E-2</v>
      </c>
      <c r="H56" s="60">
        <f t="shared" ref="H56:K56" si="30">G56</f>
        <v>7.7277123106128442E-2</v>
      </c>
      <c r="I56" s="60">
        <f>H56</f>
        <v>7.7277123106128442E-2</v>
      </c>
      <c r="J56" s="60">
        <f t="shared" si="30"/>
        <v>7.7277123106128442E-2</v>
      </c>
      <c r="K56" s="60">
        <f t="shared" si="30"/>
        <v>7.7277123106128442E-2</v>
      </c>
      <c r="L56" s="4"/>
      <c r="M56" s="4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1"/>
    </row>
    <row r="57" spans="1:26" x14ac:dyDescent="0.3">
      <c r="A57" s="7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7"/>
      <c r="B58" s="1" t="s">
        <v>13</v>
      </c>
      <c r="D58" s="1"/>
      <c r="E58" s="1"/>
      <c r="F58" s="1"/>
      <c r="G58" s="48">
        <f>(G44-F44)*(G59)</f>
        <v>1702.0636048606511</v>
      </c>
      <c r="H58" s="48">
        <f t="shared" ref="H58:K58" si="31">(H44-G44)*(H59)</f>
        <v>1720.3111667386474</v>
      </c>
      <c r="I58" s="48">
        <f>(I44-H44)*(I59)</f>
        <v>1507.7315321504198</v>
      </c>
      <c r="J58" s="48">
        <f t="shared" si="31"/>
        <v>1037.7796825739788</v>
      </c>
      <c r="K58" s="48">
        <f t="shared" si="31"/>
        <v>346.55057958971156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7"/>
      <c r="B59" s="4" t="s">
        <v>14</v>
      </c>
      <c r="C59" s="58"/>
      <c r="D59" s="60"/>
      <c r="E59" s="60"/>
      <c r="F59" s="60"/>
      <c r="G59" s="60">
        <v>0.1</v>
      </c>
      <c r="H59" s="60">
        <v>0.1</v>
      </c>
      <c r="I59" s="60">
        <v>0.1</v>
      </c>
      <c r="J59" s="60">
        <v>0.1</v>
      </c>
      <c r="K59" s="60">
        <v>0.1</v>
      </c>
      <c r="L59" s="4"/>
      <c r="M59" s="4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1"/>
    </row>
    <row r="60" spans="1:26" s="58" customFormat="1" x14ac:dyDescent="0.3">
      <c r="A60" s="57"/>
      <c r="B60" s="1"/>
      <c r="C60" s="3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"/>
      <c r="V60" s="4"/>
      <c r="W60" s="4"/>
      <c r="X60" s="4"/>
      <c r="Y60" s="4"/>
      <c r="Z60" s="4"/>
    </row>
    <row r="61" spans="1:26" x14ac:dyDescent="0.3">
      <c r="A61" s="7"/>
      <c r="B61" s="1" t="s">
        <v>15</v>
      </c>
      <c r="D61" s="56">
        <f>'Session 1'!C29</f>
        <v>4491</v>
      </c>
      <c r="E61" s="56">
        <f>'Session 1'!D29</f>
        <v>6733</v>
      </c>
      <c r="F61" s="56">
        <f>'Session 1'!E29</f>
        <v>13915</v>
      </c>
      <c r="G61" s="48">
        <f>G62*G44</f>
        <v>18156.594444936414</v>
      </c>
      <c r="H61" s="48">
        <f t="shared" ref="H61:K61" si="32">H62*H44</f>
        <v>22443.66237093095</v>
      </c>
      <c r="I61" s="48">
        <f t="shared" si="32"/>
        <v>26200.975360270302</v>
      </c>
      <c r="J61" s="48">
        <f t="shared" si="32"/>
        <v>28787.153999013975</v>
      </c>
      <c r="K61" s="48">
        <f t="shared" si="32"/>
        <v>29650.768618984395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7"/>
      <c r="B62" s="4" t="s">
        <v>12</v>
      </c>
      <c r="C62" s="58"/>
      <c r="D62" s="60">
        <f>D61/D44</f>
        <v>0.16249366813807078</v>
      </c>
      <c r="E62" s="60">
        <f t="shared" ref="E62:F62" si="33">E61/E44</f>
        <v>0.16562123336531129</v>
      </c>
      <c r="F62" s="60">
        <f t="shared" si="33"/>
        <v>0.24920305168523227</v>
      </c>
      <c r="G62" s="60">
        <f>F62</f>
        <v>0.24920305168523227</v>
      </c>
      <c r="H62" s="60">
        <f t="shared" ref="H62:K62" si="34">G62</f>
        <v>0.24920305168523227</v>
      </c>
      <c r="I62" s="60">
        <f>H62</f>
        <v>0.24920305168523227</v>
      </c>
      <c r="J62" s="60">
        <f t="shared" si="34"/>
        <v>0.24920305168523227</v>
      </c>
      <c r="K62" s="60">
        <f t="shared" si="34"/>
        <v>0.24920305168523227</v>
      </c>
      <c r="L62" s="4"/>
      <c r="M62" s="4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1"/>
    </row>
    <row r="63" spans="1:26" s="58" customFormat="1" x14ac:dyDescent="0.3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"/>
      <c r="V63" s="4"/>
      <c r="W63" s="4"/>
      <c r="X63" s="4"/>
      <c r="Y63" s="4"/>
      <c r="Z63" s="4"/>
    </row>
    <row r="64" spans="1:26" x14ac:dyDescent="0.3">
      <c r="A64" s="7"/>
      <c r="B64" s="1" t="s">
        <v>16</v>
      </c>
      <c r="C64" s="1"/>
      <c r="D64" s="60"/>
      <c r="E64" s="60"/>
      <c r="F64" s="60"/>
      <c r="G64" s="48">
        <f>G53+G55-G58-G61</f>
        <v>6901.213264917722</v>
      </c>
      <c r="H64" s="48">
        <f t="shared" ref="H64:K64" si="35">H53+H55-H58-H61</f>
        <v>8914.3396172796565</v>
      </c>
      <c r="I64" s="48">
        <f t="shared" si="35"/>
        <v>10907.27536610141</v>
      </c>
      <c r="J64" s="48">
        <f t="shared" si="35"/>
        <v>12602.655857116912</v>
      </c>
      <c r="K64" s="48">
        <f t="shared" si="35"/>
        <v>13703.098026291911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7"/>
      <c r="B65" s="1" t="s">
        <v>17</v>
      </c>
      <c r="C65" s="1"/>
      <c r="D65" s="60"/>
      <c r="E65" s="60"/>
      <c r="F65" s="60"/>
      <c r="G65" s="48">
        <f>G64/(1+$C$40)^G42</f>
        <v>6273.8302408342925</v>
      </c>
      <c r="H65" s="48">
        <f>H64/(1+$C$40)^H42</f>
        <v>7367.222824198062</v>
      </c>
      <c r="I65" s="48">
        <f>I64/(1+$C$40)^I42</f>
        <v>8194.7974200611625</v>
      </c>
      <c r="J65" s="48">
        <f>J64/(1+$C$40)^J42</f>
        <v>8607.7835237462659</v>
      </c>
      <c r="K65" s="48">
        <f>K64/(1+$C$40)^K42</f>
        <v>8508.5457564944682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58" customFormat="1" x14ac:dyDescent="0.3">
      <c r="A66" s="57"/>
      <c r="B66" s="1" t="s">
        <v>18</v>
      </c>
      <c r="C66" s="1"/>
      <c r="D66" s="1"/>
      <c r="E66" s="1"/>
      <c r="F66" s="1"/>
      <c r="G66" s="1"/>
      <c r="H66" s="1"/>
      <c r="I66" s="1"/>
      <c r="J66" s="1"/>
      <c r="K66" s="48">
        <f>(K64*(1+C41))/(C40-C41)</f>
        <v>201631.29952972382</v>
      </c>
      <c r="L66" s="1"/>
      <c r="M66" s="1"/>
      <c r="N66" s="1"/>
      <c r="O66" s="1"/>
      <c r="P66" s="1"/>
      <c r="Q66" s="1"/>
      <c r="R66" s="1"/>
      <c r="S66" s="1"/>
      <c r="T66" s="1"/>
      <c r="U66" s="4"/>
      <c r="V66" s="4"/>
      <c r="W66" s="4"/>
      <c r="X66" s="4"/>
      <c r="Y66" s="4"/>
      <c r="Z66" s="4"/>
    </row>
    <row r="67" spans="1:26" x14ac:dyDescent="0.3">
      <c r="A67" s="7"/>
      <c r="B67" s="1" t="s">
        <v>19</v>
      </c>
      <c r="C67" s="1"/>
      <c r="D67" s="1"/>
      <c r="E67" s="1"/>
      <c r="F67" s="1"/>
      <c r="G67" s="1"/>
      <c r="H67" s="1"/>
      <c r="I67" s="1"/>
      <c r="J67" s="1"/>
      <c r="K67" s="48">
        <f>K66/(1+C40)^K42</f>
        <v>125197.17327413289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7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48">
        <f>SUM(G65:K65)+K67</f>
        <v>164149.35303946713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7"/>
      <c r="B70" s="1" t="s">
        <v>64</v>
      </c>
      <c r="C70" s="1"/>
      <c r="D70" s="1"/>
      <c r="E70" s="1"/>
      <c r="F70" s="1"/>
      <c r="G70" s="1"/>
      <c r="H70" s="1"/>
      <c r="I70" s="1"/>
      <c r="J70" s="1"/>
      <c r="K70" s="56">
        <f>'Session 1'!F7</f>
        <v>41114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7"/>
      <c r="B71" s="1" t="s">
        <v>65</v>
      </c>
      <c r="C71" s="1"/>
      <c r="D71" s="1"/>
      <c r="E71" s="1"/>
      <c r="F71" s="1"/>
      <c r="G71" s="1"/>
      <c r="H71" s="1"/>
      <c r="I71" s="1"/>
      <c r="J71" s="1"/>
      <c r="K71" s="56">
        <f>'Session 1'!G7</f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7"/>
      <c r="B72" s="1" t="s">
        <v>21</v>
      </c>
      <c r="C72" s="1"/>
      <c r="D72" s="1"/>
      <c r="E72" s="1"/>
      <c r="F72" s="1"/>
      <c r="G72" s="1"/>
      <c r="H72" s="1"/>
      <c r="I72" s="1"/>
      <c r="J72" s="1"/>
      <c r="K72" s="48">
        <f>K69+K70-K71</f>
        <v>205263.35303946713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7"/>
      <c r="B73" s="1" t="s">
        <v>63</v>
      </c>
      <c r="C73" s="1"/>
      <c r="D73" s="1"/>
      <c r="E73" s="1"/>
      <c r="F73" s="1"/>
      <c r="G73" s="1"/>
      <c r="H73" s="1"/>
      <c r="I73" s="1"/>
      <c r="J73" s="1"/>
      <c r="K73" s="56">
        <f>'Session 1'!D7</f>
        <v>2853.9897999999998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7"/>
      <c r="B74" s="1" t="s">
        <v>23</v>
      </c>
      <c r="C74" s="1"/>
      <c r="D74" s="1"/>
      <c r="E74" s="1"/>
      <c r="F74" s="1"/>
      <c r="G74" s="1"/>
      <c r="H74" s="1"/>
      <c r="I74" s="1"/>
      <c r="J74" s="1"/>
      <c r="K74" s="48">
        <f>K72/K73</f>
        <v>71.921544022150016</v>
      </c>
      <c r="L74" s="1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7"/>
      <c r="U76" s="1"/>
      <c r="V76" s="1"/>
      <c r="W76" s="1"/>
      <c r="X76" s="1"/>
      <c r="Y76" s="1"/>
      <c r="Z76" s="1"/>
    </row>
    <row r="77" spans="1:26" x14ac:dyDescent="0.3">
      <c r="A77" s="7"/>
      <c r="B77" s="11" t="s">
        <v>67</v>
      </c>
      <c r="C77" s="12"/>
      <c r="D77" s="12"/>
      <c r="E77" s="12"/>
      <c r="F77" s="12"/>
      <c r="G77" s="12"/>
      <c r="H77" s="12"/>
      <c r="I77" s="12"/>
      <c r="J77" s="12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7"/>
      <c r="B78" s="26"/>
      <c r="C78" s="26"/>
      <c r="D78" s="120" t="s">
        <v>43</v>
      </c>
      <c r="E78" s="120"/>
      <c r="F78" s="26"/>
      <c r="G78" s="120" t="s">
        <v>44</v>
      </c>
      <c r="H78" s="120"/>
      <c r="I78" s="26"/>
      <c r="J78" s="120" t="s">
        <v>45</v>
      </c>
      <c r="K78" s="120"/>
      <c r="U78" s="1"/>
      <c r="V78" s="1"/>
      <c r="W78" s="1"/>
      <c r="X78" s="1"/>
      <c r="Y78" s="1"/>
      <c r="Z78" s="1"/>
    </row>
    <row r="79" spans="1:26" x14ac:dyDescent="0.3">
      <c r="A79" s="7"/>
      <c r="B79" s="66" t="s">
        <v>30</v>
      </c>
      <c r="C79" s="25"/>
      <c r="D79" s="25">
        <v>2019</v>
      </c>
      <c r="E79" s="25">
        <f>D79+1</f>
        <v>2020</v>
      </c>
      <c r="F79" s="25"/>
      <c r="G79" s="25">
        <f>D79</f>
        <v>2019</v>
      </c>
      <c r="H79" s="25">
        <f>E79</f>
        <v>2020</v>
      </c>
      <c r="I79" s="25"/>
      <c r="J79" s="25">
        <f>G79</f>
        <v>2019</v>
      </c>
      <c r="K79" s="25">
        <f>H79</f>
        <v>2020</v>
      </c>
      <c r="U79" s="1"/>
      <c r="V79" s="1"/>
      <c r="W79" s="1"/>
      <c r="X79" s="1"/>
      <c r="Y79" s="1"/>
      <c r="Z79" s="1"/>
    </row>
    <row r="80" spans="1:26" x14ac:dyDescent="0.3">
      <c r="B80" s="1" t="s">
        <v>68</v>
      </c>
      <c r="D80" s="93">
        <f>J$8*J23</f>
        <v>350314.51116770657</v>
      </c>
      <c r="E80" s="93">
        <f>K$8*K23</f>
        <v>408563.3540970172</v>
      </c>
      <c r="F80" s="118"/>
      <c r="G80" s="93">
        <f>N23*N$8</f>
        <v>538269.78551654855</v>
      </c>
      <c r="H80" s="93">
        <f>O23*O$8</f>
        <v>498038.43215264421</v>
      </c>
      <c r="I80" s="118"/>
      <c r="J80" s="93">
        <f>R23*R$8*'Session 1'!$D$7</f>
        <v>911723.97725861485</v>
      </c>
      <c r="K80" s="93">
        <f>S23*S$8*'Session 1'!$D$7</f>
        <v>1550651.7551150029</v>
      </c>
    </row>
    <row r="81" spans="1:26" x14ac:dyDescent="0.3">
      <c r="A81" s="7"/>
      <c r="B81" s="1" t="s">
        <v>49</v>
      </c>
      <c r="D81" s="93">
        <f t="shared" ref="D81:E81" si="36">J$8*J24</f>
        <v>288631.67584104731</v>
      </c>
      <c r="E81" s="93">
        <f t="shared" si="36"/>
        <v>342168.78139478836</v>
      </c>
      <c r="F81" s="118"/>
      <c r="G81" s="93">
        <f t="shared" ref="G81:H81" si="37">N24*N$8</f>
        <v>545154.97241684166</v>
      </c>
      <c r="H81" s="93">
        <f t="shared" si="37"/>
        <v>486552.23458798917</v>
      </c>
      <c r="I81" s="118"/>
      <c r="J81" s="93">
        <f>R24*R$8*'Session 1'!$D$7</f>
        <v>475651.06335241609</v>
      </c>
      <c r="K81" s="93">
        <f>S24*S$8*'Session 1'!$D$7</f>
        <v>357872.91384779074</v>
      </c>
      <c r="U81" s="1"/>
      <c r="V81" s="1"/>
      <c r="W81" s="1"/>
      <c r="X81" s="1"/>
      <c r="Y81" s="1"/>
      <c r="Z81" s="1"/>
    </row>
    <row r="83" spans="1:26" x14ac:dyDescent="0.3">
      <c r="B83" s="26"/>
      <c r="C83" s="26"/>
      <c r="D83" s="119" t="s">
        <v>43</v>
      </c>
      <c r="E83" s="119"/>
      <c r="F83" s="26"/>
      <c r="G83" s="119" t="s">
        <v>44</v>
      </c>
      <c r="H83" s="119"/>
    </row>
    <row r="84" spans="1:26" x14ac:dyDescent="0.3">
      <c r="B84" s="66" t="s">
        <v>31</v>
      </c>
      <c r="C84" s="25"/>
      <c r="D84" s="25" t="s">
        <v>61</v>
      </c>
      <c r="E84" s="25" t="s">
        <v>62</v>
      </c>
      <c r="F84" s="25"/>
      <c r="G84" s="25" t="s">
        <v>61</v>
      </c>
      <c r="H84" s="25" t="s">
        <v>62</v>
      </c>
    </row>
    <row r="85" spans="1:26" x14ac:dyDescent="0.3">
      <c r="B85" s="1" t="s">
        <v>68</v>
      </c>
      <c r="D85" s="93">
        <f>M35*J$8</f>
        <v>143643.19468462004</v>
      </c>
      <c r="E85" s="93">
        <f t="shared" ref="E85:E86" si="38">N35*K$8</f>
        <v>179361.66412407928</v>
      </c>
      <c r="F85" s="65"/>
      <c r="G85" s="93">
        <f>P35*N$8</f>
        <v>350857.88547658216</v>
      </c>
      <c r="H85" s="93">
        <f t="shared" ref="H85:H86" si="39">Q35*O$8</f>
        <v>401352.37553068961</v>
      </c>
      <c r="I85" s="65"/>
    </row>
    <row r="86" spans="1:26" x14ac:dyDescent="0.3">
      <c r="B86" s="1" t="s">
        <v>49</v>
      </c>
      <c r="D86" s="93">
        <f t="shared" ref="D86" si="40">M36*J$8</f>
        <v>134761.2579878954</v>
      </c>
      <c r="E86" s="93">
        <f t="shared" si="38"/>
        <v>168271.13560954024</v>
      </c>
      <c r="F86" s="65"/>
      <c r="G86" s="93">
        <f t="shared" ref="G86" si="41">P36*N$8</f>
        <v>358100.15371647646</v>
      </c>
      <c r="H86" s="93">
        <f t="shared" si="39"/>
        <v>409636.93085246545</v>
      </c>
      <c r="I86" s="65"/>
    </row>
    <row r="87" spans="1:26" x14ac:dyDescent="0.3">
      <c r="B87" s="1"/>
    </row>
    <row r="88" spans="1:26" x14ac:dyDescent="0.3">
      <c r="B88" s="66" t="s">
        <v>32</v>
      </c>
      <c r="C88" s="25"/>
    </row>
    <row r="89" spans="1:26" x14ac:dyDescent="0.3">
      <c r="B89" s="1" t="s">
        <v>21</v>
      </c>
      <c r="C89" s="93">
        <f>K72</f>
        <v>205263.35303946713</v>
      </c>
    </row>
    <row r="90" spans="1:26" x14ac:dyDescent="0.3">
      <c r="B90" s="1" t="s">
        <v>20</v>
      </c>
      <c r="C90" s="93">
        <f>K69</f>
        <v>164149.35303946713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6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6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4" spans="1:26" x14ac:dyDescent="0.3">
      <c r="A94" s="7"/>
      <c r="U94" s="1"/>
      <c r="V94" s="1"/>
      <c r="W94" s="1"/>
      <c r="X94" s="1"/>
      <c r="Y94" s="1"/>
      <c r="Z94" s="1"/>
    </row>
    <row r="95" spans="1:26" x14ac:dyDescent="0.3">
      <c r="A95" s="7"/>
      <c r="U95" s="1"/>
      <c r="V95" s="1"/>
      <c r="W95" s="1"/>
      <c r="X95" s="1"/>
      <c r="Y95" s="1"/>
      <c r="Z95" s="1"/>
    </row>
    <row r="96" spans="1:26" x14ac:dyDescent="0.3">
      <c r="A96" s="7"/>
      <c r="U96" s="1"/>
      <c r="V96" s="1"/>
      <c r="W96" s="1"/>
      <c r="X96" s="1"/>
      <c r="Y96" s="1"/>
      <c r="Z96" s="1"/>
    </row>
  </sheetData>
  <mergeCells count="15">
    <mergeCell ref="G28:H28"/>
    <mergeCell ref="J28:K28"/>
    <mergeCell ref="M28:N28"/>
    <mergeCell ref="P28:Q28"/>
    <mergeCell ref="I6:K6"/>
    <mergeCell ref="M6:O6"/>
    <mergeCell ref="Q6:S6"/>
    <mergeCell ref="I16:K16"/>
    <mergeCell ref="M16:O16"/>
    <mergeCell ref="Q16:S16"/>
    <mergeCell ref="D83:E83"/>
    <mergeCell ref="G83:H83"/>
    <mergeCell ref="D78:E78"/>
    <mergeCell ref="G78:H78"/>
    <mergeCell ref="J78:K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 1</vt:lpstr>
      <vt:lpstr>Session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Consulted</dc:creator>
  <cp:lastModifiedBy>Jahun</cp:lastModifiedBy>
  <dcterms:created xsi:type="dcterms:W3CDTF">2019-08-09T00:02:02Z</dcterms:created>
  <dcterms:modified xsi:type="dcterms:W3CDTF">2020-04-04T19:42:03Z</dcterms:modified>
</cp:coreProperties>
</file>