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hun\Desktop\"/>
    </mc:Choice>
  </mc:AlternateContent>
  <xr:revisionPtr revIDLastSave="0" documentId="8_{10912182-D666-45D7-BAD2-85716A0C66C7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Trading Comps" sheetId="12" r:id="rId1"/>
    <sheet name="Transaction Comps" sheetId="13" r:id="rId2"/>
    <sheet name="WACC" sheetId="15" r:id="rId3"/>
    <sheet name="DCF" sheetId="14" r:id="rId4"/>
    <sheet name="ValSum" sheetId="4" r:id="rId5"/>
    <sheet name="Sheet2" sheetId="18" state="hidden" r:id="rId6"/>
  </sheets>
  <definedNames>
    <definedName name="Company_Name">'Trading Comps'!$B$4</definedName>
    <definedName name="Diluted_Shares">'Trading Comps'!$D$11</definedName>
    <definedName name="_xlnm.Print_Area" localSheetId="4">ValSum!$A$4:$AC$52</definedName>
    <definedName name="Share_Price">#REF!</definedName>
    <definedName name="Units">ValSum!$G$6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4" l="1"/>
  <c r="R21" i="14"/>
  <c r="R18" i="14"/>
  <c r="R16" i="14"/>
  <c r="R14" i="14"/>
  <c r="M30" i="14"/>
  <c r="I29" i="14"/>
  <c r="G18" i="15"/>
  <c r="E19" i="13"/>
  <c r="E18" i="13"/>
  <c r="Y11" i="12"/>
  <c r="L36" i="12"/>
  <c r="L34" i="12"/>
  <c r="L25" i="12"/>
  <c r="M25" i="12"/>
  <c r="K25" i="12"/>
  <c r="P25" i="12"/>
  <c r="O25" i="12"/>
  <c r="N25" i="12"/>
  <c r="K11" i="12"/>
  <c r="H25" i="14" l="1"/>
  <c r="G25" i="14"/>
  <c r="H25" i="4" l="1"/>
  <c r="H24" i="4"/>
  <c r="H23" i="4"/>
  <c r="H22" i="4"/>
  <c r="H19" i="4"/>
  <c r="H18" i="4"/>
  <c r="H17" i="4"/>
  <c r="H16" i="4"/>
  <c r="H15" i="4" l="1"/>
  <c r="H14" i="4"/>
  <c r="D16" i="15"/>
  <c r="G17" i="15"/>
  <c r="L21" i="13"/>
  <c r="D23" i="4" s="1"/>
  <c r="N16" i="13"/>
  <c r="M16" i="13"/>
  <c r="L16" i="13"/>
  <c r="K16" i="13"/>
  <c r="N15" i="13"/>
  <c r="M15" i="13"/>
  <c r="L15" i="13"/>
  <c r="K15" i="13"/>
  <c r="N14" i="13"/>
  <c r="M14" i="13"/>
  <c r="L14" i="13"/>
  <c r="K14" i="13"/>
  <c r="N13" i="13"/>
  <c r="M13" i="13"/>
  <c r="L13" i="13"/>
  <c r="K13" i="13"/>
  <c r="N12" i="13"/>
  <c r="M12" i="13"/>
  <c r="M18" i="13" s="1"/>
  <c r="G24" i="4" s="1"/>
  <c r="L12" i="13"/>
  <c r="K12" i="13"/>
  <c r="N11" i="13"/>
  <c r="N22" i="13" s="1"/>
  <c r="C25" i="4" s="1"/>
  <c r="M11" i="13"/>
  <c r="M20" i="13" s="1"/>
  <c r="E24" i="4" s="1"/>
  <c r="L11" i="13"/>
  <c r="L20" i="13" s="1"/>
  <c r="E23" i="4" s="1"/>
  <c r="K11" i="13"/>
  <c r="K22" i="13" s="1"/>
  <c r="C22" i="4" s="1"/>
  <c r="S38" i="12"/>
  <c r="C18" i="4" s="1"/>
  <c r="L18" i="4" s="1"/>
  <c r="S37" i="12"/>
  <c r="D18" i="4" s="1"/>
  <c r="M18" i="4" s="1"/>
  <c r="S36" i="12"/>
  <c r="E18" i="4" s="1"/>
  <c r="N18" i="4" s="1"/>
  <c r="S35" i="12"/>
  <c r="F18" i="4" s="1"/>
  <c r="O18" i="4" s="1"/>
  <c r="S34" i="12"/>
  <c r="G18" i="4" s="1"/>
  <c r="P18" i="4" s="1"/>
  <c r="S29" i="12"/>
  <c r="R29" i="12"/>
  <c r="T32" i="12"/>
  <c r="S32" i="12"/>
  <c r="R32" i="12"/>
  <c r="T31" i="12"/>
  <c r="S31" i="12"/>
  <c r="R31" i="12"/>
  <c r="T30" i="12"/>
  <c r="S30" i="12"/>
  <c r="R30" i="12"/>
  <c r="T29" i="12"/>
  <c r="T28" i="12"/>
  <c r="S28" i="12"/>
  <c r="R28" i="12"/>
  <c r="T27" i="12"/>
  <c r="T38" i="12" s="1"/>
  <c r="C19" i="4" s="1"/>
  <c r="L19" i="4" s="1"/>
  <c r="S27" i="12"/>
  <c r="R27" i="12"/>
  <c r="R38" i="12" s="1"/>
  <c r="S25" i="12"/>
  <c r="T25" i="12"/>
  <c r="R25" i="12"/>
  <c r="B27" i="12"/>
  <c r="R34" i="12" l="1"/>
  <c r="R35" i="12"/>
  <c r="R36" i="12"/>
  <c r="R37" i="12"/>
  <c r="L18" i="13"/>
  <c r="G23" i="4" s="1"/>
  <c r="N20" i="13"/>
  <c r="E25" i="4" s="1"/>
  <c r="T34" i="12"/>
  <c r="G19" i="4" s="1"/>
  <c r="P19" i="4" s="1"/>
  <c r="T35" i="12"/>
  <c r="F19" i="4" s="1"/>
  <c r="O19" i="4" s="1"/>
  <c r="T36" i="12"/>
  <c r="E19" i="4" s="1"/>
  <c r="N19" i="4" s="1"/>
  <c r="T37" i="12"/>
  <c r="D19" i="4" s="1"/>
  <c r="M19" i="4" s="1"/>
  <c r="N18" i="13"/>
  <c r="G25" i="4" s="1"/>
  <c r="M21" i="13"/>
  <c r="D24" i="4" s="1"/>
  <c r="K19" i="13"/>
  <c r="F22" i="4" s="1"/>
  <c r="L19" i="13"/>
  <c r="F23" i="4" s="1"/>
  <c r="N21" i="13"/>
  <c r="D25" i="4" s="1"/>
  <c r="K18" i="13"/>
  <c r="G22" i="4" s="1"/>
  <c r="M19" i="13"/>
  <c r="F24" i="4" s="1"/>
  <c r="L22" i="13"/>
  <c r="C23" i="4" s="1"/>
  <c r="K20" i="13"/>
  <c r="E22" i="4" s="1"/>
  <c r="N19" i="13"/>
  <c r="F25" i="4" s="1"/>
  <c r="M22" i="13"/>
  <c r="C24" i="4" s="1"/>
  <c r="K21" i="13"/>
  <c r="D22" i="4" s="1"/>
  <c r="K14" i="4"/>
  <c r="J14" i="4"/>
  <c r="J24" i="4" l="1"/>
  <c r="J25" i="4"/>
  <c r="J23" i="4"/>
  <c r="J22" i="4"/>
  <c r="K15" i="4"/>
  <c r="K16" i="4" s="1"/>
  <c r="K17" i="4" s="1"/>
  <c r="K18" i="4" s="1"/>
  <c r="K19" i="4" s="1"/>
  <c r="K22" i="4"/>
  <c r="K23" i="4"/>
  <c r="K24" i="4"/>
  <c r="K25" i="4"/>
  <c r="J15" i="4"/>
  <c r="E11" i="12"/>
  <c r="I19" i="4"/>
  <c r="I18" i="4"/>
  <c r="I17" i="4"/>
  <c r="I16" i="4"/>
  <c r="I15" i="4"/>
  <c r="I14" i="4"/>
  <c r="J22" i="13"/>
  <c r="I22" i="13"/>
  <c r="H22" i="13"/>
  <c r="G22" i="13"/>
  <c r="F22" i="13"/>
  <c r="E22" i="13"/>
  <c r="J21" i="13"/>
  <c r="I21" i="13"/>
  <c r="H21" i="13"/>
  <c r="G21" i="13"/>
  <c r="F21" i="13"/>
  <c r="E21" i="13"/>
  <c r="J20" i="13"/>
  <c r="I20" i="13"/>
  <c r="H20" i="13"/>
  <c r="G20" i="13"/>
  <c r="F20" i="13"/>
  <c r="E20" i="13"/>
  <c r="J19" i="13"/>
  <c r="I19" i="13"/>
  <c r="H19" i="13"/>
  <c r="G19" i="13"/>
  <c r="F19" i="13"/>
  <c r="J18" i="13"/>
  <c r="I18" i="13"/>
  <c r="H18" i="13"/>
  <c r="G18" i="13"/>
  <c r="F18" i="13"/>
  <c r="I25" i="4" l="1"/>
  <c r="I22" i="4"/>
  <c r="P22" i="4" s="1"/>
  <c r="I24" i="4"/>
  <c r="I23" i="4"/>
  <c r="M23" i="4" s="1"/>
  <c r="O25" i="4"/>
  <c r="J16" i="4"/>
  <c r="J17" i="4" s="1"/>
  <c r="J18" i="4" s="1"/>
  <c r="J19" i="4" s="1"/>
  <c r="M22" i="4" l="1"/>
  <c r="L22" i="4"/>
  <c r="O24" i="4"/>
  <c r="M24" i="4"/>
  <c r="L24" i="4"/>
  <c r="L23" i="4"/>
  <c r="O22" i="4"/>
  <c r="N23" i="4"/>
  <c r="O23" i="4"/>
  <c r="N24" i="4"/>
  <c r="P23" i="4"/>
  <c r="M25" i="4"/>
  <c r="P25" i="4"/>
  <c r="N25" i="4"/>
  <c r="L25" i="4"/>
  <c r="P24" i="4"/>
  <c r="N22" i="4"/>
  <c r="B7" i="14"/>
  <c r="G47" i="14"/>
  <c r="H47" i="14"/>
  <c r="F47" i="14"/>
  <c r="G45" i="14"/>
  <c r="H45" i="14"/>
  <c r="F45" i="14"/>
  <c r="G43" i="14"/>
  <c r="H43" i="14"/>
  <c r="F43" i="14"/>
  <c r="G42" i="14"/>
  <c r="H42" i="14"/>
  <c r="F42" i="14"/>
  <c r="G41" i="14"/>
  <c r="H41" i="14"/>
  <c r="F41" i="14"/>
  <c r="G40" i="14"/>
  <c r="H40" i="14"/>
  <c r="F40" i="14"/>
  <c r="G39" i="14"/>
  <c r="H39" i="14"/>
  <c r="F39" i="14"/>
  <c r="G44" i="14"/>
  <c r="H44" i="14"/>
  <c r="G12" i="14"/>
  <c r="G18" i="14" s="1"/>
  <c r="G17" i="14" s="1"/>
  <c r="H12" i="14"/>
  <c r="H18" i="14" s="1"/>
  <c r="F12" i="14"/>
  <c r="F18" i="14" s="1"/>
  <c r="AB18" i="12"/>
  <c r="AA18" i="12"/>
  <c r="Z18" i="12"/>
  <c r="Y18" i="12"/>
  <c r="X18" i="12"/>
  <c r="AB11" i="12"/>
  <c r="AA11" i="12"/>
  <c r="Z11" i="12"/>
  <c r="X11" i="12"/>
  <c r="E13" i="12"/>
  <c r="K13" i="12" s="1"/>
  <c r="H11" i="4"/>
  <c r="I11" i="4" s="1"/>
  <c r="O7" i="14"/>
  <c r="L8" i="4"/>
  <c r="C8" i="4"/>
  <c r="B8" i="4"/>
  <c r="C32" i="12"/>
  <c r="E18" i="12"/>
  <c r="E32" i="12" s="1"/>
  <c r="C27" i="12"/>
  <c r="E14" i="12"/>
  <c r="E15" i="12"/>
  <c r="E29" i="12" s="1"/>
  <c r="E16" i="12"/>
  <c r="E30" i="12" s="1"/>
  <c r="E17" i="12"/>
  <c r="E31" i="12" s="1"/>
  <c r="C28" i="12"/>
  <c r="C29" i="12"/>
  <c r="C30" i="12"/>
  <c r="C31" i="12"/>
  <c r="C25" i="12"/>
  <c r="AB13" i="12"/>
  <c r="AA13" i="12"/>
  <c r="Z13" i="12"/>
  <c r="Y13" i="12"/>
  <c r="X13" i="12"/>
  <c r="H38" i="14"/>
  <c r="G38" i="14"/>
  <c r="F38" i="14"/>
  <c r="L38" i="14" s="1"/>
  <c r="H37" i="14"/>
  <c r="G37" i="14"/>
  <c r="H36" i="14"/>
  <c r="I36" i="14" s="1"/>
  <c r="J36" i="14" s="1"/>
  <c r="K36" i="14" s="1"/>
  <c r="L36" i="14" s="1"/>
  <c r="M36" i="14" s="1"/>
  <c r="J32" i="14"/>
  <c r="K32" i="14" s="1"/>
  <c r="L32" i="14" s="1"/>
  <c r="M32" i="14" s="1"/>
  <c r="B7" i="13"/>
  <c r="B32" i="12"/>
  <c r="Y14" i="12"/>
  <c r="Y15" i="12"/>
  <c r="Y16" i="12"/>
  <c r="Y17" i="12"/>
  <c r="Z14" i="12"/>
  <c r="Z15" i="12"/>
  <c r="Z16" i="12"/>
  <c r="Z17" i="12"/>
  <c r="AA14" i="12"/>
  <c r="AA15" i="12"/>
  <c r="AA16" i="12"/>
  <c r="AA17" i="12"/>
  <c r="AB14" i="12"/>
  <c r="AB15" i="12"/>
  <c r="AB16" i="12"/>
  <c r="AB17" i="12"/>
  <c r="X15" i="12"/>
  <c r="X16" i="12"/>
  <c r="X17" i="12"/>
  <c r="B31" i="12"/>
  <c r="B30" i="12"/>
  <c r="B29" i="12"/>
  <c r="B28" i="12"/>
  <c r="B25" i="12"/>
  <c r="G8" i="14"/>
  <c r="I8" i="14"/>
  <c r="J8" i="14" s="1"/>
  <c r="K8" i="14" s="1"/>
  <c r="L8" i="14" s="1"/>
  <c r="M8" i="14" s="1"/>
  <c r="Q25" i="12" l="1"/>
  <c r="C34" i="12"/>
  <c r="C38" i="12"/>
  <c r="C36" i="12"/>
  <c r="C37" i="12"/>
  <c r="C35" i="12"/>
  <c r="K41" i="14"/>
  <c r="I37" i="14"/>
  <c r="K39" i="14"/>
  <c r="K40" i="14"/>
  <c r="M38" i="14"/>
  <c r="G36" i="14"/>
  <c r="F36" i="14" s="1"/>
  <c r="K42" i="14"/>
  <c r="E27" i="12"/>
  <c r="E25" i="12"/>
  <c r="K17" i="12"/>
  <c r="K31" i="12" s="1"/>
  <c r="K16" i="12"/>
  <c r="K30" i="12" s="1"/>
  <c r="K18" i="12"/>
  <c r="K32" i="12" s="1"/>
  <c r="K15" i="12"/>
  <c r="K29" i="12" s="1"/>
  <c r="K47" i="14"/>
  <c r="H46" i="14"/>
  <c r="H17" i="14"/>
  <c r="K27" i="12"/>
  <c r="K38" i="14"/>
  <c r="I38" i="14"/>
  <c r="J38" i="14"/>
  <c r="L41" i="14"/>
  <c r="L40" i="14"/>
  <c r="L42" i="14"/>
  <c r="E28" i="12"/>
  <c r="K14" i="12"/>
  <c r="L39" i="14"/>
  <c r="I44" i="14"/>
  <c r="G46" i="14"/>
  <c r="K43" i="14"/>
  <c r="F17" i="14"/>
  <c r="F46" i="14"/>
  <c r="K45" i="14"/>
  <c r="J39" i="14"/>
  <c r="J40" i="14"/>
  <c r="J41" i="14"/>
  <c r="J42" i="14"/>
  <c r="J43" i="14"/>
  <c r="J45" i="14"/>
  <c r="J47" i="14"/>
  <c r="I39" i="14"/>
  <c r="I40" i="14"/>
  <c r="I41" i="14"/>
  <c r="I42" i="14"/>
  <c r="I43" i="14"/>
  <c r="I45" i="14"/>
  <c r="I47" i="14"/>
  <c r="E16" i="15"/>
  <c r="R11" i="14" s="1"/>
  <c r="M39" i="14"/>
  <c r="M40" i="14"/>
  <c r="M41" i="14"/>
  <c r="M42" i="14"/>
  <c r="M43" i="14"/>
  <c r="M45" i="14"/>
  <c r="M47" i="14"/>
  <c r="L43" i="14"/>
  <c r="L45" i="14"/>
  <c r="L47" i="14"/>
  <c r="L27" i="12" l="1"/>
  <c r="N27" i="12"/>
  <c r="Q27" i="12"/>
  <c r="P27" i="12"/>
  <c r="O27" i="12"/>
  <c r="M27" i="12"/>
  <c r="E38" i="12"/>
  <c r="E35" i="12"/>
  <c r="E36" i="12"/>
  <c r="E37" i="12"/>
  <c r="E34" i="12"/>
  <c r="I24" i="14"/>
  <c r="I25" i="14" s="1"/>
  <c r="L29" i="12"/>
  <c r="N29" i="12"/>
  <c r="Q29" i="12"/>
  <c r="P29" i="12"/>
  <c r="O29" i="12"/>
  <c r="M29" i="12"/>
  <c r="N32" i="12"/>
  <c r="M32" i="12"/>
  <c r="L32" i="12"/>
  <c r="P32" i="12"/>
  <c r="Q32" i="12"/>
  <c r="O32" i="12"/>
  <c r="P30" i="12"/>
  <c r="O30" i="12"/>
  <c r="N30" i="12"/>
  <c r="M30" i="12"/>
  <c r="Q30" i="12"/>
  <c r="L30" i="12"/>
  <c r="I16" i="14"/>
  <c r="I11" i="14"/>
  <c r="I15" i="14"/>
  <c r="O31" i="12"/>
  <c r="Q31" i="12"/>
  <c r="N31" i="12"/>
  <c r="M31" i="12"/>
  <c r="L31" i="12"/>
  <c r="P31" i="12"/>
  <c r="J37" i="14"/>
  <c r="K37" i="14" s="1"/>
  <c r="I10" i="14"/>
  <c r="I27" i="14" s="1"/>
  <c r="J44" i="14"/>
  <c r="K28" i="12"/>
  <c r="M34" i="12" l="1"/>
  <c r="G14" i="4" s="1"/>
  <c r="P14" i="4" s="1"/>
  <c r="P37" i="12"/>
  <c r="D16" i="4" s="1"/>
  <c r="M16" i="4" s="1"/>
  <c r="O28" i="12"/>
  <c r="M28" i="12"/>
  <c r="M38" i="12" s="1"/>
  <c r="C14" i="4" s="1"/>
  <c r="L14" i="4" s="1"/>
  <c r="Q28" i="12"/>
  <c r="Q38" i="12" s="1"/>
  <c r="C17" i="4" s="1"/>
  <c r="L17" i="4" s="1"/>
  <c r="P28" i="12"/>
  <c r="P36" i="12" s="1"/>
  <c r="E16" i="4" s="1"/>
  <c r="N16" i="4" s="1"/>
  <c r="N28" i="12"/>
  <c r="N38" i="12" s="1"/>
  <c r="C15" i="4" s="1"/>
  <c r="L15" i="4" s="1"/>
  <c r="L28" i="12"/>
  <c r="K37" i="12"/>
  <c r="Q35" i="12"/>
  <c r="F17" i="4" s="1"/>
  <c r="O17" i="4" s="1"/>
  <c r="K38" i="12"/>
  <c r="K34" i="12"/>
  <c r="L35" i="12"/>
  <c r="L37" i="12"/>
  <c r="L38" i="12"/>
  <c r="O38" i="12"/>
  <c r="O37" i="12"/>
  <c r="O36" i="12"/>
  <c r="O35" i="12"/>
  <c r="O34" i="12"/>
  <c r="I22" i="14"/>
  <c r="K35" i="12"/>
  <c r="L37" i="14"/>
  <c r="M37" i="14" s="1"/>
  <c r="J10" i="14"/>
  <c r="I12" i="14"/>
  <c r="I13" i="14"/>
  <c r="K36" i="12"/>
  <c r="I14" i="14"/>
  <c r="K44" i="14"/>
  <c r="L44" i="14" s="1"/>
  <c r="M44" i="14" s="1"/>
  <c r="Q34" i="12" l="1"/>
  <c r="G17" i="4" s="1"/>
  <c r="P17" i="4" s="1"/>
  <c r="P38" i="12"/>
  <c r="C16" i="4" s="1"/>
  <c r="L16" i="4" s="1"/>
  <c r="Q36" i="12"/>
  <c r="E17" i="4" s="1"/>
  <c r="N17" i="4" s="1"/>
  <c r="M35" i="12"/>
  <c r="F14" i="4" s="1"/>
  <c r="O14" i="4" s="1"/>
  <c r="I18" i="14"/>
  <c r="N34" i="12"/>
  <c r="G15" i="4" s="1"/>
  <c r="P15" i="4" s="1"/>
  <c r="K10" i="14"/>
  <c r="J12" i="14"/>
  <c r="J15" i="14"/>
  <c r="J11" i="14"/>
  <c r="J14" i="14"/>
  <c r="J13" i="14"/>
  <c r="J22" i="14"/>
  <c r="J27" i="14"/>
  <c r="J16" i="14"/>
  <c r="J24" i="14"/>
  <c r="J25" i="14" s="1"/>
  <c r="N35" i="12"/>
  <c r="F15" i="4" s="1"/>
  <c r="O15" i="4" s="1"/>
  <c r="Q37" i="12"/>
  <c r="D17" i="4" s="1"/>
  <c r="M17" i="4" s="1"/>
  <c r="M36" i="12"/>
  <c r="E14" i="4" s="1"/>
  <c r="N14" i="4" s="1"/>
  <c r="N36" i="12"/>
  <c r="E15" i="4" s="1"/>
  <c r="N15" i="4" s="1"/>
  <c r="P34" i="12"/>
  <c r="G16" i="4" s="1"/>
  <c r="P16" i="4" s="1"/>
  <c r="M37" i="12"/>
  <c r="D14" i="4" s="1"/>
  <c r="M14" i="4" s="1"/>
  <c r="N37" i="12"/>
  <c r="D15" i="4" s="1"/>
  <c r="M15" i="4" s="1"/>
  <c r="P35" i="12"/>
  <c r="F16" i="4" s="1"/>
  <c r="O16" i="4" s="1"/>
  <c r="J18" i="14" l="1"/>
  <c r="L10" i="14"/>
  <c r="K11" i="14"/>
  <c r="K12" i="14" s="1"/>
  <c r="K18" i="14" s="1"/>
  <c r="K27" i="14"/>
  <c r="K16" i="14"/>
  <c r="K22" i="14"/>
  <c r="K15" i="14"/>
  <c r="K24" i="14"/>
  <c r="K25" i="14" s="1"/>
  <c r="K14" i="14"/>
  <c r="K13" i="14"/>
  <c r="I17" i="14"/>
  <c r="I20" i="14"/>
  <c r="I30" i="14"/>
  <c r="K17" i="14" l="1"/>
  <c r="K20" i="14"/>
  <c r="K29" i="14" s="1"/>
  <c r="K30" i="14" s="1"/>
  <c r="M10" i="14"/>
  <c r="L11" i="14"/>
  <c r="L12" i="14" s="1"/>
  <c r="L18" i="14" s="1"/>
  <c r="L16" i="14"/>
  <c r="L24" i="14"/>
  <c r="L25" i="14" s="1"/>
  <c r="L14" i="14"/>
  <c r="L15" i="14"/>
  <c r="L22" i="14"/>
  <c r="L27" i="14"/>
  <c r="L13" i="14"/>
  <c r="J20" i="14"/>
  <c r="J29" i="14" s="1"/>
  <c r="J30" i="14" s="1"/>
  <c r="J17" i="14"/>
  <c r="L17" i="14" l="1"/>
  <c r="L20" i="14"/>
  <c r="L29" i="14" s="1"/>
  <c r="L30" i="14" s="1"/>
  <c r="M27" i="14"/>
  <c r="M14" i="14"/>
  <c r="M11" i="14"/>
  <c r="M12" i="14" s="1"/>
  <c r="M18" i="14" s="1"/>
  <c r="M15" i="14"/>
  <c r="M22" i="14"/>
  <c r="M24" i="14"/>
  <c r="M25" i="14" s="1"/>
  <c r="M13" i="14"/>
  <c r="M16" i="14"/>
  <c r="M20" i="14" l="1"/>
  <c r="M17" i="14"/>
  <c r="M29" i="14"/>
  <c r="R17" i="14" s="1"/>
  <c r="R20" i="14" l="1"/>
  <c r="R22" i="14" s="1"/>
  <c r="C29" i="4"/>
  <c r="R25" i="14" l="1"/>
  <c r="F2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  <author>Microsoft Office User</author>
  </authors>
  <commentList>
    <comment ref="D8" authorId="0" shapeId="0" xr:uid="{00000000-0006-0000-0100-000001000000}">
      <text>
        <r>
          <rPr>
            <b/>
            <sz val="8"/>
            <color rgb="FF000000"/>
            <rFont val="Tahoma"/>
            <family val="2"/>
          </rPr>
          <t>BIWS: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Daily 30-year Treasury rate </t>
        </r>
      </text>
    </comment>
    <comment ref="D9" authorId="0" shapeId="0" xr:uid="{00000000-0006-0000-0100-000002000000}">
      <text>
        <r>
          <rPr>
            <b/>
            <sz val="8"/>
            <color rgb="FF000000"/>
            <rFont val="Tahoma"/>
            <family val="2"/>
          </rPr>
          <t>BIWS: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Picked from middle of standard range of 3% - 10%.</t>
        </r>
      </text>
    </comment>
    <comment ref="D10" authorId="1" shapeId="0" xr:uid="{00000000-0006-0000-0100-000003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Based on the notes, (LIBOR+margin)*(1-tax rate
</t>
        </r>
        <r>
          <rPr>
            <sz val="10"/>
            <color rgb="FF000000"/>
            <rFont val="Calibri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<sst xmlns="http://schemas.openxmlformats.org/spreadsheetml/2006/main" count="274" uniqueCount="176">
  <si>
    <t>Precedent Transactions:</t>
    <phoneticPr fontId="5" type="noConversion"/>
  </si>
  <si>
    <t>Cost Of Debt:</t>
  </si>
  <si>
    <t>Methodology Used:</t>
    <phoneticPr fontId="5" type="noConversion"/>
  </si>
  <si>
    <t>Trailing</t>
    <phoneticPr fontId="5" type="noConversion"/>
  </si>
  <si>
    <t>Trailing:</t>
    <phoneticPr fontId="5" type="noConversion"/>
  </si>
  <si>
    <t>LTM</t>
    <phoneticPr fontId="5" type="noConversion"/>
  </si>
  <si>
    <t>LTM</t>
    <phoneticPr fontId="5" type="noConversion"/>
  </si>
  <si>
    <t>LTM</t>
    <phoneticPr fontId="5" type="noConversion"/>
  </si>
  <si>
    <t>Operating Statistics</t>
  </si>
  <si>
    <t>Capitalization</t>
  </si>
  <si>
    <t>Projected</t>
  </si>
  <si>
    <t>Share</t>
  </si>
  <si>
    <t>Diluted</t>
  </si>
  <si>
    <t>Equity</t>
  </si>
  <si>
    <t>Preferred</t>
  </si>
  <si>
    <t>Minority</t>
  </si>
  <si>
    <t>Other</t>
  </si>
  <si>
    <t>Enterprise</t>
  </si>
  <si>
    <t>Revenue</t>
  </si>
  <si>
    <t>EBITDA</t>
  </si>
  <si>
    <t>EPS</t>
  </si>
  <si>
    <t>EBITDA Margin</t>
  </si>
  <si>
    <t>Company Name</t>
  </si>
  <si>
    <t>Shares</t>
  </si>
  <si>
    <t>Value</t>
  </si>
  <si>
    <t>Cash</t>
  </si>
  <si>
    <t>Debt</t>
  </si>
  <si>
    <t>Stock</t>
  </si>
  <si>
    <t>Interest</t>
  </si>
  <si>
    <t>Liabilities</t>
  </si>
  <si>
    <t>Growth</t>
  </si>
  <si>
    <t>75th Percentile</t>
  </si>
  <si>
    <t>25th Percentile</t>
  </si>
  <si>
    <t>Valuation Statistics</t>
  </si>
  <si>
    <t xml:space="preserve">Enterprise Value / </t>
  </si>
  <si>
    <t>P / E Multiple</t>
  </si>
  <si>
    <t>Operating Metrics</t>
  </si>
  <si>
    <t>Valuation Multiples</t>
  </si>
  <si>
    <t xml:space="preserve">EV / </t>
  </si>
  <si>
    <t>Trailing</t>
  </si>
  <si>
    <t>Forward</t>
  </si>
  <si>
    <t>Acquirer Name</t>
  </si>
  <si>
    <t>Target Name</t>
  </si>
  <si>
    <t>Date</t>
  </si>
  <si>
    <t>Less: Taxes</t>
  </si>
  <si>
    <t>Less: Capital Expenditures</t>
  </si>
  <si>
    <t>Unlevered Free Cash Flow</t>
  </si>
  <si>
    <t>Present Value of Free Cash Flow</t>
  </si>
  <si>
    <t>Discount Rate:</t>
  </si>
  <si>
    <t>Terminal EBITDA Multiple:</t>
  </si>
  <si>
    <t>Terminal Value:</t>
  </si>
  <si>
    <t>PV of Terminal Value:</t>
  </si>
  <si>
    <t>Sum of PV of Cash Flows:</t>
  </si>
  <si>
    <t>Balance Sheet Adjustment:</t>
  </si>
  <si>
    <t>Implied Equity Value:</t>
  </si>
  <si>
    <t>Implied Price Per Share:</t>
  </si>
  <si>
    <t>Discount Rate Calculation - Assumptions</t>
  </si>
  <si>
    <t>Risk-Free Rate:</t>
  </si>
  <si>
    <t>Equity Risk Premium:</t>
  </si>
  <si>
    <t>Beta</t>
  </si>
  <si>
    <t>Tax Rate</t>
  </si>
  <si>
    <t>WACC</t>
  </si>
  <si>
    <t>Less: Increase in Working Capital:</t>
  </si>
  <si>
    <t>Trailing EV / Revenue:</t>
  </si>
  <si>
    <t>Trailing EV / EBITDA:</t>
  </si>
  <si>
    <t>Forward EV / Revenue:</t>
  </si>
  <si>
    <t>Forward EV / EBITDA:</t>
  </si>
  <si>
    <t>Projections</t>
  </si>
  <si>
    <t>Historical</t>
  </si>
  <si>
    <t>($ in Millions, Except Per Share Amounts in Dollars and Share Counts in Thousands)</t>
  </si>
  <si>
    <t>EBIT:</t>
  </si>
  <si>
    <t>EBITDA:</t>
  </si>
  <si>
    <t>Enterprise Value:</t>
  </si>
  <si>
    <t>Price</t>
  </si>
  <si>
    <t>25th</t>
  </si>
  <si>
    <t>75th</t>
  </si>
  <si>
    <t>Applicable</t>
  </si>
  <si>
    <t>Minimum</t>
  </si>
  <si>
    <t>Pecentile</t>
  </si>
  <si>
    <t>Median</t>
  </si>
  <si>
    <t>Maximum</t>
  </si>
  <si>
    <t>Methodology Name</t>
  </si>
  <si>
    <t>Multiple</t>
  </si>
  <si>
    <t>Figure</t>
  </si>
  <si>
    <t>Public Company Comparables:</t>
  </si>
  <si>
    <t>WACC Calculation</t>
  </si>
  <si>
    <t>Cost of Equity Based Inputted Beta</t>
  </si>
  <si>
    <t xml:space="preserve">*Predictive </t>
  </si>
  <si>
    <t>Assumptions</t>
  </si>
  <si>
    <t>Gross Profit</t>
  </si>
  <si>
    <t>Sales (% growth)</t>
  </si>
  <si>
    <t>COGS (% sales)</t>
  </si>
  <si>
    <t>Capital Expenditures (% sales)</t>
  </si>
  <si>
    <t>Working Capital (% sales)</t>
  </si>
  <si>
    <t>-</t>
  </si>
  <si>
    <t>Working Capital Projections</t>
  </si>
  <si>
    <t>Amortization (% sales)</t>
  </si>
  <si>
    <t xml:space="preserve">Cost of Goods Sold </t>
  </si>
  <si>
    <t>Exit Multiple Method</t>
  </si>
  <si>
    <t>Tran Value</t>
    <phoneticPr fontId="35" type="noConversion"/>
  </si>
  <si>
    <t>Equity Value</t>
    <phoneticPr fontId="35" type="noConversion"/>
  </si>
  <si>
    <t>Premium</t>
    <phoneticPr fontId="35" type="noConversion"/>
  </si>
  <si>
    <t>Net Debt</t>
    <phoneticPr fontId="35" type="noConversion"/>
  </si>
  <si>
    <t>TV/Revenue</t>
    <phoneticPr fontId="35" type="noConversion"/>
  </si>
  <si>
    <t>Target</t>
    <phoneticPr fontId="35" type="noConversion"/>
  </si>
  <si>
    <t>Comp mEDIAN</t>
    <phoneticPr fontId="35" type="noConversion"/>
  </si>
  <si>
    <t>0.86x</t>
    <phoneticPr fontId="35" type="noConversion"/>
  </si>
  <si>
    <t>0.44x</t>
    <phoneticPr fontId="35" type="noConversion"/>
  </si>
  <si>
    <t>TV/EBIT</t>
    <phoneticPr fontId="35" type="noConversion"/>
  </si>
  <si>
    <t>19.27x</t>
    <phoneticPr fontId="35" type="noConversion"/>
  </si>
  <si>
    <t>12.65x</t>
    <phoneticPr fontId="35" type="noConversion"/>
  </si>
  <si>
    <t>TV/EBITDA</t>
    <phoneticPr fontId="35" type="noConversion"/>
  </si>
  <si>
    <t>10.88x</t>
    <phoneticPr fontId="35" type="noConversion"/>
  </si>
  <si>
    <t>8x</t>
    <phoneticPr fontId="35" type="noConversion"/>
  </si>
  <si>
    <t>Delhaize Group SCA</t>
    <phoneticPr fontId="5" type="noConversion"/>
  </si>
  <si>
    <t>Koninklijke Ahold Delhaize</t>
    <phoneticPr fontId="5" type="noConversion"/>
  </si>
  <si>
    <t>07/25/2016</t>
    <phoneticPr fontId="5" type="noConversion"/>
  </si>
  <si>
    <t>SUPERVALU Inc</t>
    <phoneticPr fontId="5" type="noConversion"/>
  </si>
  <si>
    <t>10/22/2018</t>
    <phoneticPr fontId="5" type="noConversion"/>
  </si>
  <si>
    <t>United Natural Foods Inc</t>
    <phoneticPr fontId="5" type="noConversion"/>
  </si>
  <si>
    <t>Fresh Market Inc</t>
    <phoneticPr fontId="5" type="noConversion"/>
  </si>
  <si>
    <t>Apollo Global Management</t>
    <phoneticPr fontId="5" type="noConversion"/>
  </si>
  <si>
    <t>04/28/2016</t>
    <phoneticPr fontId="5" type="noConversion"/>
  </si>
  <si>
    <t>Onex Corp</t>
    <phoneticPr fontId="5" type="noConversion"/>
  </si>
  <si>
    <t>12/05/2016</t>
    <phoneticPr fontId="5" type="noConversion"/>
  </si>
  <si>
    <t>01/29/2014</t>
    <phoneticPr fontId="5" type="noConversion"/>
  </si>
  <si>
    <t xml:space="preserve">Whole Foods Market </t>
    <phoneticPr fontId="5" type="noConversion"/>
  </si>
  <si>
    <t>Sprouts Farmers Market</t>
    <phoneticPr fontId="5" type="noConversion"/>
  </si>
  <si>
    <t>($ in Millions, Except Per Share Amounts in Dollars and Share Counts in Millions)</t>
    <phoneticPr fontId="5" type="noConversion"/>
  </si>
  <si>
    <t>2018E</t>
    <phoneticPr fontId="5" type="noConversion"/>
  </si>
  <si>
    <t>2019E</t>
    <phoneticPr fontId="5" type="noConversion"/>
  </si>
  <si>
    <t>2020E</t>
    <phoneticPr fontId="5" type="noConversion"/>
  </si>
  <si>
    <t>The Kroger Co</t>
    <phoneticPr fontId="5" type="noConversion"/>
  </si>
  <si>
    <t>Sales</t>
    <phoneticPr fontId="5" type="noConversion"/>
  </si>
  <si>
    <t>Whole Foods Market</t>
    <phoneticPr fontId="5" type="noConversion"/>
  </si>
  <si>
    <t>Weis Markets Inc</t>
    <phoneticPr fontId="5" type="noConversion"/>
  </si>
  <si>
    <t>Ingles Markets Inc</t>
    <phoneticPr fontId="5" type="noConversion"/>
  </si>
  <si>
    <t>Performance Food Group</t>
    <phoneticPr fontId="5" type="noConversion"/>
  </si>
  <si>
    <t xml:space="preserve">Save a Lot </t>
    <phoneticPr fontId="5" type="noConversion"/>
  </si>
  <si>
    <t>Kroger Co</t>
    <phoneticPr fontId="5" type="noConversion"/>
  </si>
  <si>
    <t xml:space="preserve">Harris Teeter Supermarket </t>
    <phoneticPr fontId="5" type="noConversion"/>
  </si>
  <si>
    <t>FamilyMart UNY Holdings</t>
    <phoneticPr fontId="5" type="noConversion"/>
  </si>
  <si>
    <t>UNY Group Holidngs Co Ltd</t>
    <phoneticPr fontId="5" type="noConversion"/>
  </si>
  <si>
    <t>08/29/2016</t>
    <phoneticPr fontId="5" type="noConversion"/>
  </si>
  <si>
    <t>Merger-related expenses</t>
    <phoneticPr fontId="5" type="noConversion"/>
  </si>
  <si>
    <t>Pre-opening expenses</t>
    <phoneticPr fontId="5" type="noConversion"/>
  </si>
  <si>
    <t>Relocation, store closure and lease termination costs</t>
    <phoneticPr fontId="5" type="noConversion"/>
  </si>
  <si>
    <t>Plus: Depreciation and Amortization</t>
    <phoneticPr fontId="5" type="noConversion"/>
  </si>
  <si>
    <t>Pre-Opening Expense (% sales)</t>
    <phoneticPr fontId="5" type="noConversion"/>
  </si>
  <si>
    <t>Relocation, store closure and lease termination costs (% sales)</t>
    <phoneticPr fontId="5" type="noConversion"/>
  </si>
  <si>
    <t>Merger-related expenses (% of sales)</t>
    <phoneticPr fontId="5" type="noConversion"/>
  </si>
  <si>
    <t>Selling, General &amp; Administrative</t>
    <phoneticPr fontId="5" type="noConversion"/>
  </si>
  <si>
    <t>Selling, General &amp; Administrative (% of sales)</t>
    <phoneticPr fontId="5" type="noConversion"/>
  </si>
  <si>
    <t>Depreciation &amp; Amortization (% sales)</t>
    <phoneticPr fontId="5" type="noConversion"/>
  </si>
  <si>
    <t>2019E EV / Revenue:</t>
    <phoneticPr fontId="5" type="noConversion"/>
  </si>
  <si>
    <t>2019E EV / EBITDA:</t>
    <phoneticPr fontId="5" type="noConversion"/>
  </si>
  <si>
    <t>2019E P / E:</t>
    <phoneticPr fontId="5" type="noConversion"/>
  </si>
  <si>
    <t>2020E P / E:</t>
    <phoneticPr fontId="5" type="noConversion"/>
  </si>
  <si>
    <t>Whole Food</t>
  </si>
  <si>
    <t>Whole Foods</t>
  </si>
  <si>
    <t>Valuation Summary for Whole Foods</t>
  </si>
  <si>
    <t>Trading Comps</t>
  </si>
  <si>
    <t>Ralphs</t>
  </si>
  <si>
    <t>2019E</t>
  </si>
  <si>
    <t>Transaction Comps</t>
  </si>
  <si>
    <t>Discount Period:</t>
  </si>
  <si>
    <t>Forward:</t>
  </si>
  <si>
    <t>DCF</t>
  </si>
  <si>
    <t>DCF:</t>
  </si>
  <si>
    <t>2020E EV / Revenue:</t>
  </si>
  <si>
    <t>2020E EV / EBITDA:</t>
  </si>
  <si>
    <t>Diluted Share Count</t>
  </si>
  <si>
    <t>Enterprise Value</t>
  </si>
  <si>
    <t>Implied Equity Value</t>
  </si>
  <si>
    <t>Valuation Summary</t>
  </si>
  <si>
    <t>Implied Price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</si>
</sst>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%;[Red]\(0.0%\)"/>
    <numFmt numFmtId="166" formatCode="_(&quot;$&quot;* #,##0.0_);_(&quot;$&quot;* \(#,##0.0\);_(&quot;$&quot;* &quot;-&quot;?_);_(@_)"/>
    <numFmt numFmtId="167" formatCode="_(* #,##0.0_);_(* \(#,##0.0\);_(* &quot;-&quot;?_);_(@_)"/>
    <numFmt numFmtId="168" formatCode="0.0\ \x"/>
    <numFmt numFmtId="169" formatCode="m/d/yyyy;@"/>
    <numFmt numFmtId="170" formatCode="0.000"/>
    <numFmt numFmtId="171" formatCode="0.00%;\(0.00%\)"/>
    <numFmt numFmtId="172" formatCode="0.0%;\(0.0%\)"/>
    <numFmt numFmtId="173" formatCode="_(&quot;$&quot;* #,##0_);[Red]_(&quot;$&quot;* \(#,##0\);_(&quot;$&quot;* &quot;-&quot;_);_(@_)"/>
    <numFmt numFmtId="174" formatCode="_(* #,##0_);[Red]_(* \(#,##0\);_(* &quot;-&quot;_);_(@_)"/>
    <numFmt numFmtId="175" formatCode="_(&quot;$&quot;* #,##0.00_);[Red]_(&quot;$&quot;* \(#,##0.00\);_(&quot;$&quot;* &quot;-&quot;??_);_(@_)"/>
    <numFmt numFmtId="176" formatCode="_(* #,##0.00_);[Red]_(* \(#,##0.00\);_(* &quot;-&quot;??_);_(@_)"/>
    <numFmt numFmtId="177" formatCode="&quot;Exit Multiple Method&quot;;&quot;Exit Multiple Method&quot;;&quot;Perpetual Growth Method&quot;"/>
    <numFmt numFmtId="178" formatCode="0.000%"/>
    <numFmt numFmtId="179" formatCode="0.00\ \x"/>
    <numFmt numFmtId="180" formatCode="&quot;$&quot;#,##0.00"/>
    <numFmt numFmtId="181" formatCode="&quot;$&quot;#,##0"/>
    <numFmt numFmtId="182" formatCode="_(* #,##0_);_(* \(#,##0\);_(* &quot;-&quot;?_);_(@_)"/>
    <numFmt numFmtId="183" formatCode="_(* #,##0.00_);_(* \(#,##0.00\);_(* &quot;-&quot;?_);_(@_)"/>
  </numFmts>
  <fonts count="49">
    <font>
      <sz val="11"/>
      <color theme="1"/>
      <name val="Calibri"/>
      <charset val="134"/>
      <scheme val="minor"/>
    </font>
    <font>
      <b/>
      <sz val="10"/>
      <color indexed="9"/>
      <name val="Arial"/>
      <family val="2"/>
    </font>
    <font>
      <b/>
      <u/>
      <sz val="10"/>
      <color indexed="9"/>
      <name val="Arial"/>
      <family val="2"/>
    </font>
    <font>
      <u/>
      <sz val="10"/>
      <color indexed="9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u/>
      <sz val="11"/>
      <color indexed="9"/>
      <name val="Calibri"/>
      <family val="2"/>
      <scheme val="minor"/>
    </font>
    <font>
      <u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b/>
      <sz val="10"/>
      <color indexed="9"/>
      <name val="Arial "/>
    </font>
    <font>
      <b/>
      <u/>
      <sz val="10"/>
      <color indexed="9"/>
      <name val="Arial "/>
    </font>
    <font>
      <b/>
      <sz val="10"/>
      <name val="Arial "/>
    </font>
    <font>
      <sz val="10"/>
      <color rgb="FF00B050"/>
      <name val="Arial "/>
      <family val="2"/>
    </font>
    <font>
      <sz val="10"/>
      <color theme="4"/>
      <name val="Arial "/>
      <family val="2"/>
    </font>
    <font>
      <sz val="10"/>
      <name val="Arial "/>
    </font>
    <font>
      <i/>
      <sz val="10"/>
      <name val="Arial "/>
    </font>
    <font>
      <i/>
      <sz val="10"/>
      <color theme="4"/>
      <name val="Arial "/>
      <family val="2"/>
    </font>
    <font>
      <sz val="10"/>
      <color theme="4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9"/>
      <name val="Arial "/>
    </font>
    <font>
      <b/>
      <i/>
      <sz val="10"/>
      <name val="Arial"/>
      <family val="2"/>
    </font>
    <font>
      <b/>
      <sz val="10"/>
      <color rgb="FF00B050"/>
      <name val="Arial "/>
    </font>
    <font>
      <b/>
      <sz val="10"/>
      <color rgb="FF4F81BD"/>
      <name val="Arial "/>
    </font>
    <font>
      <b/>
      <sz val="10"/>
      <color rgb="FF4F81BD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b/>
      <sz val="10"/>
      <color theme="1"/>
      <name val="Arial "/>
    </font>
    <font>
      <sz val="10"/>
      <color theme="1"/>
      <name val="Arial 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4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 style="thin">
        <color indexed="64"/>
      </right>
      <top/>
      <bottom/>
      <diagonal/>
    </border>
    <border>
      <left style="mediumDashed">
        <color auto="1"/>
      </left>
      <right/>
      <top/>
      <bottom style="thin">
        <color indexed="64"/>
      </bottom>
      <diagonal/>
    </border>
    <border>
      <left style="mediumDashed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9" fontId="13" fillId="0" borderId="0" applyFont="0" applyFill="0" applyBorder="0" applyAlignment="0" applyProtection="0">
      <alignment vertical="center"/>
    </xf>
    <xf numFmtId="44" fontId="48" fillId="0" borderId="0" applyFont="0" applyFill="0" applyBorder="0" applyAlignment="0" applyProtection="0"/>
  </cellStyleXfs>
  <cellXfs count="313">
    <xf numFmtId="0" fontId="0" fillId="0" borderId="0" xfId="0"/>
    <xf numFmtId="0" fontId="6" fillId="0" borderId="0" xfId="0" applyFont="1"/>
    <xf numFmtId="0" fontId="1" fillId="2" borderId="2" xfId="0" applyFont="1" applyFill="1" applyBorder="1" applyAlignment="1">
      <alignment horizontal="left"/>
    </xf>
    <xf numFmtId="6" fontId="0" fillId="0" borderId="0" xfId="0" applyNumberFormat="1"/>
    <xf numFmtId="9" fontId="0" fillId="0" borderId="0" xfId="0" applyNumberFormat="1"/>
    <xf numFmtId="0" fontId="0" fillId="0" borderId="0" xfId="0" applyFont="1"/>
    <xf numFmtId="0" fontId="4" fillId="0" borderId="0" xfId="1" applyBorder="1"/>
    <xf numFmtId="0" fontId="9" fillId="2" borderId="2" xfId="1" applyFont="1" applyFill="1" applyBorder="1"/>
    <xf numFmtId="0" fontId="10" fillId="2" borderId="4" xfId="1" applyFont="1" applyFill="1" applyBorder="1" applyAlignment="1">
      <alignment horizontal="centerContinuous"/>
    </xf>
    <xf numFmtId="0" fontId="4" fillId="0" borderId="0" xfId="1"/>
    <xf numFmtId="167" fontId="4" fillId="0" borderId="0" xfId="1" applyNumberFormat="1"/>
    <xf numFmtId="0" fontId="8" fillId="0" borderId="0" xfId="1" applyFont="1"/>
    <xf numFmtId="0" fontId="9" fillId="2" borderId="0" xfId="1" applyFont="1" applyFill="1" applyBorder="1" applyAlignment="1">
      <alignment horizontal="center"/>
    </xf>
    <xf numFmtId="0" fontId="8" fillId="0" borderId="0" xfId="1" applyFont="1" applyBorder="1"/>
    <xf numFmtId="6" fontId="8" fillId="0" borderId="0" xfId="1" applyNumberFormat="1" applyFont="1" applyBorder="1"/>
    <xf numFmtId="38" fontId="8" fillId="0" borderId="0" xfId="1" applyNumberFormat="1" applyFont="1" applyBorder="1"/>
    <xf numFmtId="0" fontId="7" fillId="0" borderId="0" xfId="1" applyFont="1"/>
    <xf numFmtId="0" fontId="11" fillId="2" borderId="4" xfId="1" applyFont="1" applyFill="1" applyBorder="1" applyAlignment="1">
      <alignment horizontal="centerContinuous"/>
    </xf>
    <xf numFmtId="0" fontId="12" fillId="2" borderId="1" xfId="1" applyFont="1" applyFill="1" applyBorder="1"/>
    <xf numFmtId="0" fontId="10" fillId="2" borderId="0" xfId="1" applyFont="1" applyFill="1" applyBorder="1" applyAlignment="1">
      <alignment horizontal="centerContinuous"/>
    </xf>
    <xf numFmtId="0" fontId="10" fillId="2" borderId="5" xfId="1" applyFont="1" applyFill="1" applyBorder="1" applyAlignment="1">
      <alignment horizontal="centerContinuous"/>
    </xf>
    <xf numFmtId="0" fontId="11" fillId="2" borderId="8" xfId="1" applyFont="1" applyFill="1" applyBorder="1" applyAlignment="1">
      <alignment horizontal="centerContinuous"/>
    </xf>
    <xf numFmtId="0" fontId="8" fillId="0" borderId="0" xfId="1" applyFont="1" applyFill="1" applyBorder="1"/>
    <xf numFmtId="9" fontId="4" fillId="0" borderId="0" xfId="1" applyNumberFormat="1"/>
    <xf numFmtId="0" fontId="21" fillId="0" borderId="0" xfId="1" applyFont="1"/>
    <xf numFmtId="0" fontId="16" fillId="2" borderId="2" xfId="1" applyFont="1" applyFill="1" applyBorder="1"/>
    <xf numFmtId="0" fontId="16" fillId="2" borderId="4" xfId="1" applyFont="1" applyFill="1" applyBorder="1"/>
    <xf numFmtId="0" fontId="16" fillId="2" borderId="3" xfId="1" applyFont="1" applyFill="1" applyBorder="1"/>
    <xf numFmtId="0" fontId="16" fillId="2" borderId="6" xfId="1" applyFont="1" applyFill="1" applyBorder="1"/>
    <xf numFmtId="0" fontId="16" fillId="2" borderId="6" xfId="1" applyFont="1" applyFill="1" applyBorder="1" applyAlignment="1">
      <alignment horizontal="center"/>
    </xf>
    <xf numFmtId="0" fontId="16" fillId="2" borderId="7" xfId="1" applyFont="1" applyFill="1" applyBorder="1" applyAlignment="1">
      <alignment horizontal="center"/>
    </xf>
    <xf numFmtId="0" fontId="21" fillId="0" borderId="1" xfId="1" applyFont="1" applyBorder="1"/>
    <xf numFmtId="0" fontId="21" fillId="0" borderId="0" xfId="1" applyFont="1" applyBorder="1"/>
    <xf numFmtId="0" fontId="18" fillId="0" borderId="0" xfId="1" applyFont="1" applyBorder="1"/>
    <xf numFmtId="0" fontId="18" fillId="0" borderId="1" xfId="1" applyFont="1" applyBorder="1"/>
    <xf numFmtId="0" fontId="21" fillId="0" borderId="5" xfId="1" applyFont="1" applyBorder="1"/>
    <xf numFmtId="170" fontId="21" fillId="0" borderId="0" xfId="1" applyNumberFormat="1" applyFont="1" applyBorder="1"/>
    <xf numFmtId="0" fontId="22" fillId="0" borderId="1" xfId="1" applyFont="1" applyBorder="1" applyAlignment="1">
      <alignment horizontal="left" indent="1"/>
    </xf>
    <xf numFmtId="170" fontId="22" fillId="0" borderId="0" xfId="1" applyNumberFormat="1" applyFont="1" applyBorder="1"/>
    <xf numFmtId="170" fontId="22" fillId="0" borderId="5" xfId="1" applyNumberFormat="1" applyFont="1" applyBorder="1"/>
    <xf numFmtId="0" fontId="21" fillId="0" borderId="6" xfId="1" applyFont="1" applyBorder="1"/>
    <xf numFmtId="168" fontId="21" fillId="0" borderId="5" xfId="1" applyNumberFormat="1" applyFont="1" applyBorder="1"/>
    <xf numFmtId="0" fontId="4" fillId="0" borderId="1" xfId="1" applyFont="1" applyBorder="1"/>
    <xf numFmtId="0" fontId="4" fillId="0" borderId="0" xfId="1" applyFont="1" applyBorder="1"/>
    <xf numFmtId="0" fontId="4" fillId="0" borderId="5" xfId="1" applyFont="1" applyBorder="1"/>
    <xf numFmtId="0" fontId="1" fillId="2" borderId="2" xfId="1" applyFont="1" applyFill="1" applyBorder="1"/>
    <xf numFmtId="0" fontId="1" fillId="2" borderId="4" xfId="1" applyFont="1" applyFill="1" applyBorder="1"/>
    <xf numFmtId="0" fontId="1" fillId="2" borderId="8" xfId="1" applyFont="1" applyFill="1" applyBorder="1"/>
    <xf numFmtId="170" fontId="4" fillId="0" borderId="5" xfId="1" applyNumberFormat="1" applyFont="1" applyBorder="1"/>
    <xf numFmtId="166" fontId="25" fillId="0" borderId="0" xfId="1" applyNumberFormat="1" applyFont="1" applyBorder="1"/>
    <xf numFmtId="168" fontId="24" fillId="0" borderId="5" xfId="1" applyNumberFormat="1" applyFont="1" applyBorder="1"/>
    <xf numFmtId="6" fontId="4" fillId="0" borderId="5" xfId="1" applyNumberFormat="1" applyFont="1" applyBorder="1"/>
    <xf numFmtId="0" fontId="25" fillId="0" borderId="1" xfId="1" applyFont="1" applyBorder="1"/>
    <xf numFmtId="0" fontId="26" fillId="0" borderId="0" xfId="0" applyFont="1"/>
    <xf numFmtId="0" fontId="4" fillId="0" borderId="0" xfId="1" applyFont="1"/>
    <xf numFmtId="0" fontId="4" fillId="0" borderId="3" xfId="1" applyFont="1" applyBorder="1"/>
    <xf numFmtId="0" fontId="4" fillId="0" borderId="6" xfId="1" applyFont="1" applyBorder="1"/>
    <xf numFmtId="9" fontId="4" fillId="0" borderId="0" xfId="1" applyNumberFormat="1" applyFont="1"/>
    <xf numFmtId="0" fontId="1" fillId="2" borderId="1" xfId="1" applyFont="1" applyFill="1" applyBorder="1"/>
    <xf numFmtId="0" fontId="1" fillId="2" borderId="0" xfId="1" applyFont="1" applyFill="1" applyBorder="1" applyAlignment="1">
      <alignment horizontal="center"/>
    </xf>
    <xf numFmtId="0" fontId="25" fillId="0" borderId="0" xfId="1" applyFont="1" applyFill="1" applyBorder="1"/>
    <xf numFmtId="43" fontId="25" fillId="0" borderId="0" xfId="1" applyNumberFormat="1" applyFont="1" applyFill="1" applyBorder="1"/>
    <xf numFmtId="0" fontId="25" fillId="0" borderId="0" xfId="1" applyFont="1"/>
    <xf numFmtId="42" fontId="4" fillId="0" borderId="0" xfId="1" applyNumberFormat="1" applyFont="1"/>
    <xf numFmtId="0" fontId="2" fillId="2" borderId="4" xfId="1" applyFont="1" applyFill="1" applyBorder="1" applyAlignment="1">
      <alignment horizontal="centerContinuous"/>
    </xf>
    <xf numFmtId="0" fontId="3" fillId="2" borderId="4" xfId="1" applyFont="1" applyFill="1" applyBorder="1" applyAlignment="1">
      <alignment horizontal="centerContinuous"/>
    </xf>
    <xf numFmtId="0" fontId="27" fillId="2" borderId="4" xfId="1" applyFont="1" applyFill="1" applyBorder="1"/>
    <xf numFmtId="0" fontId="1" fillId="2" borderId="4" xfId="1" applyFont="1" applyFill="1" applyBorder="1" applyAlignment="1">
      <alignment horizontal="center"/>
    </xf>
    <xf numFmtId="0" fontId="27" fillId="2" borderId="1" xfId="1" applyFont="1" applyFill="1" applyBorder="1"/>
    <xf numFmtId="0" fontId="2" fillId="2" borderId="0" xfId="1" applyFont="1" applyFill="1" applyBorder="1" applyAlignment="1">
      <alignment horizontal="centerContinuous"/>
    </xf>
    <xf numFmtId="3" fontId="24" fillId="0" borderId="0" xfId="0" applyNumberFormat="1" applyFont="1" applyBorder="1"/>
    <xf numFmtId="165" fontId="4" fillId="0" borderId="0" xfId="1" applyNumberFormat="1" applyFont="1"/>
    <xf numFmtId="43" fontId="24" fillId="0" borderId="0" xfId="1" applyNumberFormat="1" applyFont="1"/>
    <xf numFmtId="41" fontId="4" fillId="0" borderId="0" xfId="1" applyNumberFormat="1" applyFont="1"/>
    <xf numFmtId="41" fontId="24" fillId="0" borderId="0" xfId="1" applyNumberFormat="1" applyFont="1"/>
    <xf numFmtId="174" fontId="4" fillId="0" borderId="0" xfId="1" applyNumberFormat="1" applyFont="1"/>
    <xf numFmtId="174" fontId="24" fillId="0" borderId="0" xfId="1" applyNumberFormat="1" applyFont="1"/>
    <xf numFmtId="176" fontId="24" fillId="0" borderId="0" xfId="1" applyNumberFormat="1" applyFont="1"/>
    <xf numFmtId="44" fontId="4" fillId="0" borderId="4" xfId="1" applyNumberFormat="1" applyFont="1" applyFill="1" applyBorder="1"/>
    <xf numFmtId="43" fontId="4" fillId="0" borderId="0" xfId="1" applyNumberFormat="1" applyFont="1"/>
    <xf numFmtId="0" fontId="3" fillId="2" borderId="0" xfId="1" applyFont="1" applyFill="1" applyBorder="1" applyAlignment="1">
      <alignment horizontal="centerContinuous"/>
    </xf>
    <xf numFmtId="0" fontId="27" fillId="2" borderId="0" xfId="1" applyFont="1" applyFill="1" applyBorder="1" applyAlignment="1">
      <alignment horizontal="centerContinuous"/>
    </xf>
    <xf numFmtId="0" fontId="4" fillId="0" borderId="0" xfId="1" applyFont="1" applyAlignment="1">
      <alignment horizontal="center"/>
    </xf>
    <xf numFmtId="0" fontId="25" fillId="0" borderId="0" xfId="1" applyFont="1" applyAlignment="1">
      <alignment horizontal="center"/>
    </xf>
    <xf numFmtId="44" fontId="4" fillId="0" borderId="0" xfId="1" applyNumberFormat="1" applyFont="1"/>
    <xf numFmtId="0" fontId="28" fillId="2" borderId="1" xfId="1" applyFont="1" applyFill="1" applyBorder="1"/>
    <xf numFmtId="0" fontId="16" fillId="2" borderId="0" xfId="1" applyFont="1" applyFill="1" applyBorder="1" applyAlignment="1">
      <alignment horizontal="center"/>
    </xf>
    <xf numFmtId="0" fontId="17" fillId="2" borderId="0" xfId="1" applyFont="1" applyFill="1" applyBorder="1" applyAlignment="1">
      <alignment horizontal="centerContinuous"/>
    </xf>
    <xf numFmtId="0" fontId="16" fillId="2" borderId="5" xfId="1" applyFont="1" applyFill="1" applyBorder="1" applyAlignment="1">
      <alignment horizontal="center"/>
    </xf>
    <xf numFmtId="166" fontId="21" fillId="0" borderId="0" xfId="1" applyNumberFormat="1" applyFont="1" applyBorder="1"/>
    <xf numFmtId="168" fontId="21" fillId="0" borderId="0" xfId="1" applyNumberFormat="1" applyFont="1" applyBorder="1"/>
    <xf numFmtId="0" fontId="16" fillId="2" borderId="4" xfId="1" applyFont="1" applyFill="1" applyBorder="1" applyAlignment="1">
      <alignment horizontal="center"/>
    </xf>
    <xf numFmtId="0" fontId="17" fillId="2" borderId="4" xfId="1" applyFont="1" applyFill="1" applyBorder="1" applyAlignment="1">
      <alignment horizontal="centerContinuous"/>
    </xf>
    <xf numFmtId="0" fontId="16" fillId="2" borderId="4" xfId="1" applyFont="1" applyFill="1" applyBorder="1" applyAlignment="1">
      <alignment horizontal="centerContinuous"/>
    </xf>
    <xf numFmtId="0" fontId="17" fillId="2" borderId="8" xfId="1" applyFont="1" applyFill="1" applyBorder="1" applyAlignment="1">
      <alignment horizontal="centerContinuous"/>
    </xf>
    <xf numFmtId="0" fontId="16" fillId="2" borderId="1" xfId="1" applyFont="1" applyFill="1" applyBorder="1"/>
    <xf numFmtId="0" fontId="16" fillId="2" borderId="0" xfId="1" applyFont="1" applyFill="1" applyBorder="1"/>
    <xf numFmtId="0" fontId="16" fillId="2" borderId="0" xfId="1" applyFont="1" applyFill="1" applyBorder="1" applyAlignment="1">
      <alignment horizontal="centerContinuous"/>
    </xf>
    <xf numFmtId="0" fontId="28" fillId="2" borderId="0" xfId="1" applyFont="1" applyFill="1" applyBorder="1"/>
    <xf numFmtId="0" fontId="16" fillId="2" borderId="3" xfId="1" applyFont="1" applyFill="1" applyBorder="1" applyAlignment="1">
      <alignment horizontal="center"/>
    </xf>
    <xf numFmtId="0" fontId="21" fillId="0" borderId="0" xfId="1" applyFont="1" applyFill="1" applyBorder="1"/>
    <xf numFmtId="0" fontId="18" fillId="0" borderId="0" xfId="1" applyFont="1" applyFill="1" applyBorder="1"/>
    <xf numFmtId="178" fontId="4" fillId="0" borderId="0" xfId="2" applyNumberFormat="1" applyFont="1" applyAlignment="1"/>
    <xf numFmtId="0" fontId="27" fillId="2" borderId="4" xfId="1" applyFont="1" applyFill="1" applyBorder="1" applyAlignment="1">
      <alignment horizontal="centerContinuous"/>
    </xf>
    <xf numFmtId="0" fontId="4" fillId="2" borderId="0" xfId="1" applyFill="1" applyBorder="1"/>
    <xf numFmtId="0" fontId="4" fillId="2" borderId="5" xfId="1" applyFill="1" applyBorder="1"/>
    <xf numFmtId="164" fontId="4" fillId="0" borderId="0" xfId="2" applyNumberFormat="1" applyFont="1" applyBorder="1" applyAlignment="1"/>
    <xf numFmtId="179" fontId="4" fillId="0" borderId="0" xfId="1" applyNumberFormat="1" applyFont="1" applyBorder="1"/>
    <xf numFmtId="0" fontId="21" fillId="0" borderId="1" xfId="1" applyFont="1" applyBorder="1" applyAlignment="1">
      <alignment horizontal="left" indent="1"/>
    </xf>
    <xf numFmtId="10" fontId="4" fillId="0" borderId="6" xfId="2" applyNumberFormat="1" applyFont="1" applyBorder="1" applyAlignment="1"/>
    <xf numFmtId="9" fontId="4" fillId="0" borderId="0" xfId="1" applyNumberFormat="1" applyFont="1" applyBorder="1"/>
    <xf numFmtId="10" fontId="4" fillId="0" borderId="0" xfId="1" applyNumberFormat="1" applyFont="1" applyBorder="1"/>
    <xf numFmtId="0" fontId="34" fillId="0" borderId="0" xfId="0" applyFont="1"/>
    <xf numFmtId="10" fontId="0" fillId="0" borderId="0" xfId="0" applyNumberFormat="1"/>
    <xf numFmtId="0" fontId="21" fillId="0" borderId="4" xfId="1" applyFont="1" applyBorder="1"/>
    <xf numFmtId="0" fontId="18" fillId="0" borderId="8" xfId="1" applyFont="1" applyBorder="1"/>
    <xf numFmtId="0" fontId="21" fillId="0" borderId="7" xfId="1" applyFont="1" applyBorder="1"/>
    <xf numFmtId="0" fontId="21" fillId="0" borderId="2" xfId="1" applyFont="1" applyBorder="1"/>
    <xf numFmtId="169" fontId="21" fillId="0" borderId="4" xfId="1" applyNumberFormat="1" applyFont="1" applyBorder="1" applyAlignment="1">
      <alignment horizontal="right"/>
    </xf>
    <xf numFmtId="42" fontId="20" fillId="0" borderId="4" xfId="1" applyNumberFormat="1" applyFont="1" applyBorder="1"/>
    <xf numFmtId="42" fontId="20" fillId="0" borderId="4" xfId="1" applyNumberFormat="1" applyFont="1" applyBorder="1" applyAlignment="1">
      <alignment horizontal="right"/>
    </xf>
    <xf numFmtId="169" fontId="21" fillId="0" borderId="0" xfId="1" applyNumberFormat="1" applyFont="1" applyBorder="1" applyAlignment="1">
      <alignment horizontal="right"/>
    </xf>
    <xf numFmtId="174" fontId="20" fillId="0" borderId="0" xfId="1" applyNumberFormat="1" applyFont="1" applyBorder="1"/>
    <xf numFmtId="0" fontId="21" fillId="0" borderId="3" xfId="1" applyFont="1" applyBorder="1"/>
    <xf numFmtId="0" fontId="21" fillId="0" borderId="6" xfId="1" applyFont="1" applyFill="1" applyBorder="1"/>
    <xf numFmtId="169" fontId="21" fillId="0" borderId="6" xfId="1" applyNumberFormat="1" applyFont="1" applyBorder="1" applyAlignment="1">
      <alignment horizontal="right"/>
    </xf>
    <xf numFmtId="174" fontId="20" fillId="0" borderId="6" xfId="1" applyNumberFormat="1" applyFont="1" applyBorder="1"/>
    <xf numFmtId="0" fontId="4" fillId="3" borderId="0" xfId="1" applyFont="1" applyFill="1"/>
    <xf numFmtId="0" fontId="4" fillId="0" borderId="6" xfId="1" applyBorder="1"/>
    <xf numFmtId="0" fontId="40" fillId="0" borderId="6" xfId="1" applyFont="1" applyBorder="1"/>
    <xf numFmtId="0" fontId="33" fillId="0" borderId="0" xfId="1" applyFont="1" applyFill="1" applyBorder="1"/>
    <xf numFmtId="44" fontId="33" fillId="0" borderId="0" xfId="1" applyNumberFormat="1" applyFont="1" applyFill="1" applyBorder="1"/>
    <xf numFmtId="39" fontId="33" fillId="0" borderId="0" xfId="1" applyNumberFormat="1" applyFont="1" applyFill="1" applyBorder="1"/>
    <xf numFmtId="42" fontId="33" fillId="0" borderId="0" xfId="1" applyNumberFormat="1" applyFont="1" applyFill="1" applyBorder="1"/>
    <xf numFmtId="6" fontId="33" fillId="0" borderId="0" xfId="1" applyNumberFormat="1" applyFont="1" applyFill="1" applyBorder="1"/>
    <xf numFmtId="8" fontId="33" fillId="0" borderId="0" xfId="1" applyNumberFormat="1" applyFont="1" applyFill="1" applyBorder="1"/>
    <xf numFmtId="172" fontId="32" fillId="0" borderId="0" xfId="1" applyNumberFormat="1" applyFont="1" applyFill="1" applyBorder="1"/>
    <xf numFmtId="164" fontId="32" fillId="0" borderId="0" xfId="2" applyNumberFormat="1" applyFont="1" applyFill="1" applyBorder="1" applyAlignment="1">
      <alignment horizontal="right"/>
    </xf>
    <xf numFmtId="0" fontId="4" fillId="0" borderId="0" xfId="1" applyFill="1"/>
    <xf numFmtId="0" fontId="1" fillId="2" borderId="0" xfId="1" applyNumberFormat="1" applyFont="1" applyFill="1" applyBorder="1" applyAlignment="1">
      <alignment horizontal="center"/>
    </xf>
    <xf numFmtId="0" fontId="1" fillId="0" borderId="0" xfId="1" applyFont="1" applyFill="1" applyBorder="1"/>
    <xf numFmtId="0" fontId="1" fillId="0" borderId="0" xfId="1" applyFont="1" applyFill="1" applyBorder="1" applyAlignment="1">
      <alignment horizontal="center"/>
    </xf>
    <xf numFmtId="0" fontId="1" fillId="0" borderId="0" xfId="1" applyNumberFormat="1" applyFont="1" applyFill="1" applyBorder="1" applyAlignment="1">
      <alignment horizontal="center"/>
    </xf>
    <xf numFmtId="0" fontId="4" fillId="0" borderId="0" xfId="1" applyFill="1" applyBorder="1"/>
    <xf numFmtId="0" fontId="25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4" fillId="0" borderId="0" xfId="1" applyFont="1" applyFill="1"/>
    <xf numFmtId="44" fontId="24" fillId="0" borderId="0" xfId="1" applyNumberFormat="1" applyFont="1" applyFill="1"/>
    <xf numFmtId="3" fontId="24" fillId="0" borderId="0" xfId="0" applyNumberFormat="1" applyFont="1" applyFill="1" applyBorder="1"/>
    <xf numFmtId="42" fontId="4" fillId="0" borderId="0" xfId="1" applyNumberFormat="1" applyFont="1" applyFill="1"/>
    <xf numFmtId="42" fontId="24" fillId="0" borderId="0" xfId="1" applyNumberFormat="1" applyFont="1" applyFill="1"/>
    <xf numFmtId="173" fontId="4" fillId="0" borderId="0" xfId="1" applyNumberFormat="1" applyFont="1" applyFill="1"/>
    <xf numFmtId="173" fontId="24" fillId="0" borderId="0" xfId="1" applyNumberFormat="1" applyFont="1" applyFill="1"/>
    <xf numFmtId="175" fontId="24" fillId="0" borderId="0" xfId="1" applyNumberFormat="1" applyFont="1" applyFill="1"/>
    <xf numFmtId="165" fontId="4" fillId="0" borderId="0" xfId="1" applyNumberFormat="1" applyFont="1" applyFill="1"/>
    <xf numFmtId="164" fontId="4" fillId="0" borderId="0" xfId="2" applyNumberFormat="1" applyFont="1" applyFill="1" applyBorder="1" applyAlignment="1"/>
    <xf numFmtId="0" fontId="25" fillId="0" borderId="2" xfId="1" applyFont="1" applyFill="1" applyBorder="1"/>
    <xf numFmtId="0" fontId="25" fillId="0" borderId="3" xfId="1" applyFont="1" applyFill="1" applyBorder="1"/>
    <xf numFmtId="168" fontId="33" fillId="4" borderId="0" xfId="1" applyNumberFormat="1" applyFont="1" applyFill="1" applyBorder="1"/>
    <xf numFmtId="168" fontId="21" fillId="0" borderId="0" xfId="1" applyNumberFormat="1" applyFont="1" applyFill="1" applyBorder="1"/>
    <xf numFmtId="168" fontId="21" fillId="4" borderId="4" xfId="1" applyNumberFormat="1" applyFont="1" applyFill="1" applyBorder="1" applyAlignment="1">
      <alignment horizontal="right"/>
    </xf>
    <xf numFmtId="168" fontId="21" fillId="4" borderId="8" xfId="1" applyNumberFormat="1" applyFont="1" applyFill="1" applyBorder="1" applyAlignment="1">
      <alignment horizontal="right"/>
    </xf>
    <xf numFmtId="168" fontId="21" fillId="4" borderId="0" xfId="1" applyNumberFormat="1" applyFont="1" applyFill="1" applyBorder="1" applyAlignment="1">
      <alignment horizontal="right"/>
    </xf>
    <xf numFmtId="168" fontId="21" fillId="4" borderId="5" xfId="1" applyNumberFormat="1" applyFont="1" applyFill="1" applyBorder="1" applyAlignment="1">
      <alignment horizontal="right"/>
    </xf>
    <xf numFmtId="168" fontId="21" fillId="4" borderId="6" xfId="1" applyNumberFormat="1" applyFont="1" applyFill="1" applyBorder="1" applyAlignment="1">
      <alignment horizontal="right"/>
    </xf>
    <xf numFmtId="168" fontId="21" fillId="4" borderId="7" xfId="1" applyNumberFormat="1" applyFont="1" applyFill="1" applyBorder="1" applyAlignment="1">
      <alignment horizontal="right"/>
    </xf>
    <xf numFmtId="6" fontId="31" fillId="5" borderId="0" xfId="1" applyNumberFormat="1" applyFont="1" applyFill="1" applyBorder="1"/>
    <xf numFmtId="0" fontId="41" fillId="5" borderId="0" xfId="1" applyFont="1" applyFill="1" applyBorder="1"/>
    <xf numFmtId="0" fontId="33" fillId="5" borderId="0" xfId="1" applyFont="1" applyFill="1" applyBorder="1"/>
    <xf numFmtId="43" fontId="33" fillId="5" borderId="0" xfId="1" applyNumberFormat="1" applyFont="1" applyFill="1" applyBorder="1"/>
    <xf numFmtId="171" fontId="41" fillId="0" borderId="5" xfId="1" applyNumberFormat="1" applyFont="1" applyBorder="1"/>
    <xf numFmtId="171" fontId="41" fillId="0" borderId="7" xfId="1" applyNumberFormat="1" applyFont="1" applyBorder="1"/>
    <xf numFmtId="0" fontId="1" fillId="2" borderId="0" xfId="1" applyFont="1" applyFill="1" applyBorder="1" applyAlignment="1">
      <alignment horizontal="right"/>
    </xf>
    <xf numFmtId="6" fontId="43" fillId="5" borderId="0" xfId="1" applyNumberFormat="1" applyFont="1" applyFill="1" applyBorder="1" applyAlignment="1">
      <alignment horizontal="right"/>
    </xf>
    <xf numFmtId="42" fontId="43" fillId="5" borderId="0" xfId="1" applyNumberFormat="1" applyFont="1" applyFill="1" applyBorder="1" applyAlignment="1">
      <alignment horizontal="right"/>
    </xf>
    <xf numFmtId="9" fontId="43" fillId="5" borderId="0" xfId="2" applyFont="1" applyFill="1" applyBorder="1" applyAlignment="1">
      <alignment horizontal="right"/>
    </xf>
    <xf numFmtId="0" fontId="33" fillId="5" borderId="0" xfId="1" applyFont="1" applyFill="1" applyBorder="1" applyAlignment="1">
      <alignment horizontal="right"/>
    </xf>
    <xf numFmtId="0" fontId="41" fillId="0" borderId="2" xfId="1" applyFont="1" applyBorder="1"/>
    <xf numFmtId="0" fontId="33" fillId="0" borderId="4" xfId="1" applyFont="1" applyBorder="1"/>
    <xf numFmtId="0" fontId="33" fillId="0" borderId="4" xfId="1" applyFont="1" applyBorder="1" applyAlignment="1">
      <alignment horizontal="right"/>
    </xf>
    <xf numFmtId="0" fontId="33" fillId="0" borderId="8" xfId="1" applyFont="1" applyBorder="1" applyAlignment="1">
      <alignment horizontal="right"/>
    </xf>
    <xf numFmtId="0" fontId="33" fillId="5" borderId="1" xfId="1" applyFont="1" applyFill="1" applyBorder="1"/>
    <xf numFmtId="43" fontId="41" fillId="5" borderId="5" xfId="1" applyNumberFormat="1" applyFont="1" applyFill="1" applyBorder="1" applyAlignment="1">
      <alignment horizontal="right"/>
    </xf>
    <xf numFmtId="171" fontId="33" fillId="4" borderId="5" xfId="1" applyNumberFormat="1" applyFont="1" applyFill="1" applyBorder="1" applyAlignment="1">
      <alignment horizontal="right"/>
    </xf>
    <xf numFmtId="0" fontId="33" fillId="5" borderId="3" xfId="1" applyFont="1" applyFill="1" applyBorder="1"/>
    <xf numFmtId="0" fontId="33" fillId="5" borderId="6" xfId="1" applyFont="1" applyFill="1" applyBorder="1"/>
    <xf numFmtId="0" fontId="33" fillId="5" borderId="6" xfId="1" applyFont="1" applyFill="1" applyBorder="1" applyAlignment="1">
      <alignment horizontal="right"/>
    </xf>
    <xf numFmtId="171" fontId="33" fillId="4" borderId="7" xfId="1" applyNumberFormat="1" applyFont="1" applyFill="1" applyBorder="1" applyAlignment="1">
      <alignment horizontal="right"/>
    </xf>
    <xf numFmtId="42" fontId="21" fillId="0" borderId="6" xfId="1" applyNumberFormat="1" applyFont="1" applyBorder="1"/>
    <xf numFmtId="0" fontId="4" fillId="0" borderId="1" xfId="1" applyBorder="1"/>
    <xf numFmtId="0" fontId="42" fillId="0" borderId="2" xfId="1" applyFont="1" applyFill="1" applyBorder="1"/>
    <xf numFmtId="0" fontId="42" fillId="0" borderId="4" xfId="1" applyFont="1" applyFill="1" applyBorder="1"/>
    <xf numFmtId="0" fontId="42" fillId="0" borderId="3" xfId="1" applyFont="1" applyFill="1" applyBorder="1"/>
    <xf numFmtId="0" fontId="42" fillId="0" borderId="6" xfId="1" applyFont="1" applyFill="1" applyBorder="1"/>
    <xf numFmtId="6" fontId="30" fillId="4" borderId="0" xfId="1" applyNumberFormat="1" applyFont="1" applyFill="1" applyBorder="1"/>
    <xf numFmtId="6" fontId="30" fillId="4" borderId="5" xfId="1" applyNumberFormat="1" applyFont="1" applyFill="1" applyBorder="1"/>
    <xf numFmtId="6" fontId="31" fillId="4" borderId="0" xfId="1" applyNumberFormat="1" applyFont="1" applyFill="1" applyBorder="1"/>
    <xf numFmtId="6" fontId="31" fillId="4" borderId="5" xfId="1" applyNumberFormat="1" applyFont="1" applyFill="1" applyBorder="1"/>
    <xf numFmtId="6" fontId="42" fillId="4" borderId="4" xfId="1" applyNumberFormat="1" applyFont="1" applyFill="1" applyBorder="1"/>
    <xf numFmtId="6" fontId="42" fillId="4" borderId="8" xfId="1" applyNumberFormat="1" applyFont="1" applyFill="1" applyBorder="1"/>
    <xf numFmtId="6" fontId="30" fillId="4" borderId="1" xfId="1" applyNumberFormat="1" applyFont="1" applyFill="1" applyBorder="1"/>
    <xf numFmtId="6" fontId="31" fillId="4" borderId="1" xfId="1" applyNumberFormat="1" applyFont="1" applyFill="1" applyBorder="1"/>
    <xf numFmtId="6" fontId="31" fillId="5" borderId="1" xfId="1" applyNumberFormat="1" applyFont="1" applyFill="1" applyBorder="1"/>
    <xf numFmtId="6" fontId="31" fillId="5" borderId="5" xfId="1" applyNumberFormat="1" applyFont="1" applyFill="1" applyBorder="1"/>
    <xf numFmtId="6" fontId="42" fillId="4" borderId="2" xfId="1" applyNumberFormat="1" applyFont="1" applyFill="1" applyBorder="1"/>
    <xf numFmtId="6" fontId="42" fillId="4" borderId="3" xfId="1" applyNumberFormat="1" applyFont="1" applyFill="1" applyBorder="1"/>
    <xf numFmtId="170" fontId="23" fillId="0" borderId="1" xfId="1" applyNumberFormat="1" applyFont="1" applyBorder="1"/>
    <xf numFmtId="6" fontId="4" fillId="4" borderId="5" xfId="1" applyNumberFormat="1" applyFont="1" applyFill="1" applyBorder="1"/>
    <xf numFmtId="6" fontId="25" fillId="4" borderId="8" xfId="1" applyNumberFormat="1" applyFont="1" applyFill="1" applyBorder="1"/>
    <xf numFmtId="0" fontId="25" fillId="0" borderId="3" xfId="1" applyFont="1" applyBorder="1"/>
    <xf numFmtId="0" fontId="44" fillId="2" borderId="4" xfId="0" applyFont="1" applyFill="1" applyBorder="1" applyAlignment="1">
      <alignment horizontal="centerContinuous"/>
    </xf>
    <xf numFmtId="0" fontId="45" fillId="2" borderId="4" xfId="0" applyFont="1" applyFill="1" applyBorder="1" applyAlignment="1">
      <alignment horizontal="centerContinuous"/>
    </xf>
    <xf numFmtId="0" fontId="44" fillId="2" borderId="8" xfId="0" applyFont="1" applyFill="1" applyBorder="1" applyAlignment="1">
      <alignment horizontal="centerContinuous"/>
    </xf>
    <xf numFmtId="177" fontId="46" fillId="0" borderId="5" xfId="1" applyNumberFormat="1" applyFont="1" applyBorder="1"/>
    <xf numFmtId="0" fontId="43" fillId="0" borderId="4" xfId="1" applyFont="1" applyFill="1" applyBorder="1" applyAlignment="1">
      <alignment horizontal="right"/>
    </xf>
    <xf numFmtId="42" fontId="43" fillId="0" borderId="4" xfId="1" applyNumberFormat="1" applyFont="1" applyFill="1" applyBorder="1"/>
    <xf numFmtId="0" fontId="43" fillId="0" borderId="0" xfId="1" applyFont="1" applyFill="1" applyBorder="1" applyAlignment="1">
      <alignment horizontal="right"/>
    </xf>
    <xf numFmtId="0" fontId="43" fillId="0" borderId="6" xfId="1" applyFont="1" applyFill="1" applyBorder="1" applyAlignment="1">
      <alignment horizontal="right"/>
    </xf>
    <xf numFmtId="41" fontId="43" fillId="0" borderId="6" xfId="1" applyNumberFormat="1" applyFont="1" applyFill="1" applyBorder="1"/>
    <xf numFmtId="42" fontId="43" fillId="0" borderId="0" xfId="1" applyNumberFormat="1" applyFont="1" applyFill="1" applyBorder="1"/>
    <xf numFmtId="41" fontId="43" fillId="0" borderId="0" xfId="1" applyNumberFormat="1" applyFont="1" applyFill="1" applyBorder="1"/>
    <xf numFmtId="168" fontId="43" fillId="4" borderId="4" xfId="1" applyNumberFormat="1" applyFont="1" applyFill="1" applyBorder="1"/>
    <xf numFmtId="168" fontId="43" fillId="4" borderId="8" xfId="1" applyNumberFormat="1" applyFont="1" applyFill="1" applyBorder="1"/>
    <xf numFmtId="168" fontId="43" fillId="4" borderId="0" xfId="1" applyNumberFormat="1" applyFont="1" applyFill="1" applyBorder="1"/>
    <xf numFmtId="168" fontId="43" fillId="4" borderId="5" xfId="1" applyNumberFormat="1" applyFont="1" applyFill="1" applyBorder="1"/>
    <xf numFmtId="168" fontId="43" fillId="4" borderId="6" xfId="1" applyNumberFormat="1" applyFont="1" applyFill="1" applyBorder="1"/>
    <xf numFmtId="168" fontId="43" fillId="4" borderId="7" xfId="1" applyNumberFormat="1" applyFont="1" applyFill="1" applyBorder="1"/>
    <xf numFmtId="0" fontId="4" fillId="3" borderId="0" xfId="1" applyFill="1"/>
    <xf numFmtId="168" fontId="4" fillId="4" borderId="4" xfId="1" applyNumberFormat="1" applyFont="1" applyFill="1" applyBorder="1"/>
    <xf numFmtId="168" fontId="4" fillId="4" borderId="8" xfId="1" applyNumberFormat="1" applyFont="1" applyFill="1" applyBorder="1"/>
    <xf numFmtId="168" fontId="4" fillId="4" borderId="0" xfId="1" applyNumberFormat="1" applyFont="1" applyFill="1" applyBorder="1"/>
    <xf numFmtId="168" fontId="4" fillId="4" borderId="5" xfId="1" applyNumberFormat="1" applyFont="1" applyFill="1" applyBorder="1"/>
    <xf numFmtId="0" fontId="18" fillId="0" borderId="0" xfId="1" applyFont="1"/>
    <xf numFmtId="0" fontId="42" fillId="0" borderId="2" xfId="1" applyFont="1" applyFill="1" applyBorder="1" applyAlignment="1">
      <alignment horizontal="left"/>
    </xf>
    <xf numFmtId="0" fontId="42" fillId="0" borderId="1" xfId="1" applyFont="1" applyFill="1" applyBorder="1" applyAlignment="1">
      <alignment horizontal="left"/>
    </xf>
    <xf numFmtId="0" fontId="42" fillId="0" borderId="3" xfId="1" applyFont="1" applyFill="1" applyBorder="1" applyAlignment="1">
      <alignment horizontal="left"/>
    </xf>
    <xf numFmtId="42" fontId="4" fillId="0" borderId="4" xfId="1" applyNumberFormat="1" applyFont="1" applyFill="1" applyBorder="1"/>
    <xf numFmtId="0" fontId="25" fillId="0" borderId="1" xfId="1" applyFont="1" applyFill="1" applyBorder="1"/>
    <xf numFmtId="43" fontId="4" fillId="0" borderId="0" xfId="1" applyNumberFormat="1" applyFont="1" applyFill="1" applyBorder="1"/>
    <xf numFmtId="41" fontId="4" fillId="0" borderId="0" xfId="1" applyNumberFormat="1" applyFont="1" applyFill="1" applyBorder="1"/>
    <xf numFmtId="43" fontId="4" fillId="0" borderId="6" xfId="1" applyNumberFormat="1" applyFont="1" applyFill="1" applyBorder="1"/>
    <xf numFmtId="41" fontId="4" fillId="0" borderId="6" xfId="1" applyNumberFormat="1" applyFont="1" applyFill="1" applyBorder="1"/>
    <xf numFmtId="44" fontId="21" fillId="0" borderId="0" xfId="1" applyNumberFormat="1" applyFont="1" applyFill="1" applyBorder="1"/>
    <xf numFmtId="44" fontId="21" fillId="0" borderId="5" xfId="1" applyNumberFormat="1" applyFont="1" applyFill="1" applyBorder="1"/>
    <xf numFmtId="167" fontId="21" fillId="0" borderId="0" xfId="1" applyNumberFormat="1" applyFont="1" applyFill="1" applyBorder="1"/>
    <xf numFmtId="44" fontId="21" fillId="0" borderId="6" xfId="1" applyNumberFormat="1" applyFont="1" applyFill="1" applyBorder="1"/>
    <xf numFmtId="44" fontId="21" fillId="4" borderId="0" xfId="1" applyNumberFormat="1" applyFont="1" applyFill="1" applyBorder="1"/>
    <xf numFmtId="44" fontId="21" fillId="4" borderId="5" xfId="1" applyNumberFormat="1" applyFont="1" applyFill="1" applyBorder="1"/>
    <xf numFmtId="44" fontId="21" fillId="4" borderId="6" xfId="1" applyNumberFormat="1" applyFont="1" applyFill="1" applyBorder="1"/>
    <xf numFmtId="44" fontId="21" fillId="4" borderId="7" xfId="1" applyNumberFormat="1" applyFont="1" applyFill="1" applyBorder="1"/>
    <xf numFmtId="0" fontId="0" fillId="0" borderId="0" xfId="0" applyFill="1"/>
    <xf numFmtId="0" fontId="21" fillId="0" borderId="1" xfId="1" applyFont="1" applyFill="1" applyBorder="1"/>
    <xf numFmtId="0" fontId="18" fillId="0" borderId="1" xfId="1" applyFont="1" applyFill="1" applyBorder="1"/>
    <xf numFmtId="0" fontId="0" fillId="0" borderId="6" xfId="0" applyBorder="1"/>
    <xf numFmtId="0" fontId="47" fillId="0" borderId="6" xfId="0" applyFont="1" applyBorder="1"/>
    <xf numFmtId="168" fontId="19" fillId="4" borderId="0" xfId="1" applyNumberFormat="1" applyFont="1" applyFill="1" applyBorder="1"/>
    <xf numFmtId="168" fontId="19" fillId="0" borderId="0" xfId="1" applyNumberFormat="1" applyFont="1" applyFill="1" applyBorder="1"/>
    <xf numFmtId="6" fontId="19" fillId="0" borderId="0" xfId="1" applyNumberFormat="1" applyFont="1" applyFill="1" applyBorder="1"/>
    <xf numFmtId="44" fontId="21" fillId="0" borderId="1" xfId="1" applyNumberFormat="1" applyFont="1" applyFill="1" applyBorder="1"/>
    <xf numFmtId="9" fontId="21" fillId="0" borderId="0" xfId="2" applyFont="1" applyFill="1" applyBorder="1" applyAlignment="1">
      <alignment horizontal="center"/>
    </xf>
    <xf numFmtId="9" fontId="21" fillId="0" borderId="0" xfId="2" applyFont="1" applyFill="1" applyBorder="1" applyAlignment="1"/>
    <xf numFmtId="9" fontId="21" fillId="0" borderId="9" xfId="2" applyFont="1" applyFill="1" applyBorder="1" applyAlignment="1"/>
    <xf numFmtId="9" fontId="21" fillId="0" borderId="10" xfId="2" applyFont="1" applyFill="1" applyBorder="1" applyAlignment="1"/>
    <xf numFmtId="10" fontId="21" fillId="0" borderId="0" xfId="2" applyNumberFormat="1" applyFont="1" applyFill="1" applyBorder="1" applyAlignment="1"/>
    <xf numFmtId="10" fontId="21" fillId="0" borderId="9" xfId="2" applyNumberFormat="1" applyFont="1" applyFill="1" applyBorder="1" applyAlignment="1"/>
    <xf numFmtId="10" fontId="21" fillId="0" borderId="10" xfId="2" applyNumberFormat="1" applyFont="1" applyFill="1" applyBorder="1" applyAlignment="1"/>
    <xf numFmtId="9" fontId="21" fillId="0" borderId="0" xfId="2" applyNumberFormat="1" applyFont="1" applyFill="1" applyBorder="1" applyAlignment="1"/>
    <xf numFmtId="44" fontId="21" fillId="0" borderId="3" xfId="1" applyNumberFormat="1" applyFont="1" applyFill="1" applyBorder="1"/>
    <xf numFmtId="9" fontId="21" fillId="0" borderId="6" xfId="2" applyFont="1" applyFill="1" applyBorder="1" applyAlignment="1"/>
    <xf numFmtId="9" fontId="21" fillId="0" borderId="11" xfId="2" applyFont="1" applyFill="1" applyBorder="1" applyAlignment="1"/>
    <xf numFmtId="9" fontId="21" fillId="0" borderId="12" xfId="2" applyFont="1" applyFill="1" applyBorder="1" applyAlignment="1"/>
    <xf numFmtId="0" fontId="4" fillId="6" borderId="2" xfId="1" applyFill="1" applyBorder="1"/>
    <xf numFmtId="0" fontId="4" fillId="6" borderId="4" xfId="1" applyFill="1" applyBorder="1"/>
    <xf numFmtId="0" fontId="14" fillId="6" borderId="4" xfId="0" applyFont="1" applyFill="1" applyBorder="1" applyAlignment="1">
      <alignment horizontal="centerContinuous"/>
    </xf>
    <xf numFmtId="0" fontId="15" fillId="6" borderId="4" xfId="0" applyFont="1" applyFill="1" applyBorder="1" applyAlignment="1">
      <alignment horizontal="centerContinuous"/>
    </xf>
    <xf numFmtId="0" fontId="14" fillId="6" borderId="8" xfId="0" applyFont="1" applyFill="1" applyBorder="1" applyAlignment="1">
      <alignment horizontal="centerContinuous"/>
    </xf>
    <xf numFmtId="0" fontId="4" fillId="6" borderId="6" xfId="1" applyFill="1" applyBorder="1"/>
    <xf numFmtId="0" fontId="4" fillId="6" borderId="6" xfId="1" applyFill="1" applyBorder="1" applyAlignment="1">
      <alignment horizontal="center"/>
    </xf>
    <xf numFmtId="0" fontId="4" fillId="6" borderId="7" xfId="1" applyFill="1" applyBorder="1" applyAlignment="1">
      <alignment horizontal="center"/>
    </xf>
    <xf numFmtId="44" fontId="21" fillId="5" borderId="6" xfId="1" applyNumberFormat="1" applyFont="1" applyFill="1" applyBorder="1"/>
    <xf numFmtId="44" fontId="21" fillId="5" borderId="7" xfId="1" applyNumberFormat="1" applyFont="1" applyFill="1" applyBorder="1"/>
    <xf numFmtId="1" fontId="19" fillId="4" borderId="0" xfId="1" applyNumberFormat="1" applyFont="1" applyFill="1" applyBorder="1"/>
    <xf numFmtId="0" fontId="0" fillId="0" borderId="0" xfId="0" applyFill="1" applyBorder="1"/>
    <xf numFmtId="0" fontId="0" fillId="0" borderId="0" xfId="0" applyBorder="1"/>
    <xf numFmtId="168" fontId="19" fillId="4" borderId="6" xfId="1" applyNumberFormat="1" applyFont="1" applyFill="1" applyBorder="1"/>
    <xf numFmtId="1" fontId="19" fillId="4" borderId="6" xfId="1" applyNumberFormat="1" applyFont="1" applyFill="1" applyBorder="1"/>
    <xf numFmtId="0" fontId="16" fillId="2" borderId="6" xfId="1" applyFont="1" applyFill="1" applyBorder="1" applyAlignment="1">
      <alignment horizontal="center"/>
    </xf>
    <xf numFmtId="0" fontId="16" fillId="2" borderId="6" xfId="1" applyFont="1" applyFill="1" applyBorder="1" applyAlignment="1">
      <alignment horizontal="center"/>
    </xf>
    <xf numFmtId="168" fontId="4" fillId="4" borderId="6" xfId="1" applyNumberFormat="1" applyFont="1" applyFill="1" applyBorder="1"/>
    <xf numFmtId="168" fontId="4" fillId="4" borderId="7" xfId="1" applyNumberFormat="1" applyFont="1" applyFill="1" applyBorder="1"/>
    <xf numFmtId="0" fontId="16" fillId="2" borderId="1" xfId="1" applyFont="1" applyFill="1" applyBorder="1" applyAlignment="1">
      <alignment horizontal="center"/>
    </xf>
    <xf numFmtId="6" fontId="42" fillId="4" borderId="6" xfId="1" applyNumberFormat="1" applyFont="1" applyFill="1" applyBorder="1"/>
    <xf numFmtId="6" fontId="42" fillId="4" borderId="7" xfId="1" applyNumberFormat="1" applyFont="1" applyFill="1" applyBorder="1"/>
    <xf numFmtId="0" fontId="44" fillId="2" borderId="2" xfId="0" applyFont="1" applyFill="1" applyBorder="1" applyAlignment="1">
      <alignment horizontal="centerContinuous"/>
    </xf>
    <xf numFmtId="10" fontId="25" fillId="4" borderId="13" xfId="2" applyNumberFormat="1" applyFont="1" applyFill="1" applyBorder="1" applyAlignment="1"/>
    <xf numFmtId="0" fontId="1" fillId="2" borderId="14" xfId="1" applyFont="1" applyFill="1" applyBorder="1"/>
    <xf numFmtId="0" fontId="1" fillId="2" borderId="15" xfId="1" applyFont="1" applyFill="1" applyBorder="1"/>
    <xf numFmtId="0" fontId="1" fillId="2" borderId="16" xfId="1" applyFont="1" applyFill="1" applyBorder="1"/>
    <xf numFmtId="181" fontId="4" fillId="4" borderId="5" xfId="1" applyNumberFormat="1" applyFont="1" applyFill="1" applyBorder="1"/>
    <xf numFmtId="180" fontId="25" fillId="4" borderId="7" xfId="3" applyNumberFormat="1" applyFont="1" applyFill="1" applyBorder="1"/>
    <xf numFmtId="0" fontId="8" fillId="0" borderId="0" xfId="1" applyFont="1" applyFill="1" applyBorder="1" applyAlignment="1">
      <alignment horizontal="left"/>
    </xf>
    <xf numFmtId="0" fontId="0" fillId="0" borderId="0" xfId="0" applyAlignment="1">
      <alignment horizontal="left"/>
    </xf>
    <xf numFmtId="182" fontId="21" fillId="4" borderId="0" xfId="1" applyNumberFormat="1" applyFont="1" applyFill="1" applyBorder="1"/>
    <xf numFmtId="181" fontId="21" fillId="5" borderId="6" xfId="3" applyNumberFormat="1" applyFont="1" applyFill="1" applyBorder="1" applyAlignment="1">
      <alignment horizontal="right"/>
    </xf>
    <xf numFmtId="182" fontId="21" fillId="0" borderId="0" xfId="1" applyNumberFormat="1" applyFont="1" applyFill="1" applyBorder="1"/>
    <xf numFmtId="183" fontId="21" fillId="4" borderId="0" xfId="1" applyNumberFormat="1" applyFont="1" applyFill="1" applyBorder="1"/>
    <xf numFmtId="182" fontId="21" fillId="4" borderId="6" xfId="1" applyNumberFormat="1" applyFont="1" applyFill="1" applyBorder="1"/>
    <xf numFmtId="0" fontId="29" fillId="6" borderId="3" xfId="1" applyFont="1" applyFill="1" applyBorder="1"/>
    <xf numFmtId="0" fontId="29" fillId="6" borderId="6" xfId="1" applyFont="1" applyFill="1" applyBorder="1"/>
    <xf numFmtId="0" fontId="16" fillId="2" borderId="6" xfId="1" applyFont="1" applyFill="1" applyBorder="1" applyAlignment="1">
      <alignment horizontal="center"/>
    </xf>
    <xf numFmtId="181" fontId="21" fillId="4" borderId="6" xfId="3" applyNumberFormat="1" applyFont="1" applyFill="1" applyBorder="1" applyAlignment="1">
      <alignment horizontal="right"/>
    </xf>
    <xf numFmtId="4" fontId="25" fillId="4" borderId="5" xfId="3" applyNumberFormat="1" applyFont="1" applyFill="1" applyBorder="1"/>
    <xf numFmtId="180" fontId="21" fillId="4" borderId="6" xfId="1" applyNumberFormat="1" applyFont="1" applyFill="1" applyBorder="1"/>
  </cellXfs>
  <cellStyles count="4">
    <cellStyle name="Currency" xfId="3" builtinId="4"/>
    <cellStyle name="Normal" xfId="0" builtinId="0"/>
    <cellStyle name="Normal 2" xfId="1" xr:uid="{00000000-0005-0000-0000-000002000000}"/>
    <cellStyle name="Percent" xfId="2" builtinId="5"/>
  </cellStyles>
  <dxfs count="0"/>
  <tableStyles count="0" defaultTableStyle="TableStyleMedium9" defaultPivotStyle="PivotStyleMedium4"/>
  <colors>
    <mruColors>
      <color rgb="FFFFFF99"/>
      <color rgb="FF4F81BD"/>
      <color rgb="FFA3A3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B39"/>
  <sheetViews>
    <sheetView showGridLines="0" topLeftCell="A4" zoomScaleNormal="90" zoomScalePageLayoutView="90" workbookViewId="0">
      <selection activeCell="Z19" sqref="Z19"/>
    </sheetView>
  </sheetViews>
  <sheetFormatPr defaultColWidth="9.109375" defaultRowHeight="13.2" outlineLevelCol="1"/>
  <cols>
    <col min="1" max="1" width="1.6640625" style="9" customWidth="1"/>
    <col min="2" max="2" width="24.77734375" style="9" customWidth="1"/>
    <col min="3" max="3" width="12.109375" style="9" customWidth="1"/>
    <col min="4" max="4" width="10.109375" style="9" customWidth="1" outlineLevel="1"/>
    <col min="5" max="5" width="13.109375" style="9" customWidth="1"/>
    <col min="6" max="6" width="12.77734375" style="9" customWidth="1" outlineLevel="1"/>
    <col min="7" max="8" width="10.109375" style="9" customWidth="1" outlineLevel="1"/>
    <col min="9" max="9" width="12.109375" style="9" customWidth="1" outlineLevel="1"/>
    <col min="10" max="10" width="13.6640625" style="9" customWidth="1" outlineLevel="1"/>
    <col min="11" max="11" width="13.33203125" style="9" customWidth="1"/>
    <col min="12" max="12" width="12.109375" style="9" customWidth="1"/>
    <col min="13" max="13" width="13" style="9" customWidth="1"/>
    <col min="14" max="22" width="10.109375" style="9" customWidth="1"/>
    <col min="23" max="16384" width="9.109375" style="9"/>
  </cols>
  <sheetData>
    <row r="2" spans="2:28" s="128" customFormat="1" ht="21">
      <c r="B2" s="129" t="s">
        <v>161</v>
      </c>
    </row>
    <row r="4" spans="2:28">
      <c r="B4" s="62" t="s">
        <v>159</v>
      </c>
      <c r="M4" s="127" t="s">
        <v>4</v>
      </c>
      <c r="N4" s="127" t="s">
        <v>5</v>
      </c>
    </row>
    <row r="5" spans="2:28" ht="14.4">
      <c r="B5" s="112" t="s">
        <v>128</v>
      </c>
      <c r="C5" s="62"/>
      <c r="D5" s="62"/>
      <c r="E5" s="54"/>
      <c r="F5" s="54"/>
      <c r="G5" s="54"/>
      <c r="H5" s="54"/>
      <c r="I5" s="54"/>
      <c r="J5" s="54"/>
      <c r="K5" s="54"/>
      <c r="L5" s="54"/>
      <c r="M5" s="227" t="s">
        <v>166</v>
      </c>
      <c r="N5" s="227" t="s">
        <v>163</v>
      </c>
      <c r="O5" s="54"/>
      <c r="P5" s="54"/>
      <c r="Q5" s="54"/>
      <c r="R5" s="54"/>
      <c r="S5" s="54"/>
      <c r="T5" s="54"/>
    </row>
    <row r="6" spans="2:28">
      <c r="B6" s="54"/>
      <c r="C6" s="62"/>
      <c r="D6" s="62"/>
      <c r="E6" s="54"/>
      <c r="F6" s="54"/>
      <c r="G6" s="63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</row>
    <row r="7" spans="2:28">
      <c r="B7" s="2" t="s">
        <v>8</v>
      </c>
      <c r="C7" s="46"/>
      <c r="D7" s="46"/>
      <c r="E7" s="64" t="s">
        <v>9</v>
      </c>
      <c r="F7" s="64"/>
      <c r="G7" s="64"/>
      <c r="H7" s="64"/>
      <c r="I7" s="64"/>
      <c r="J7" s="64"/>
      <c r="K7" s="65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7" t="s">
        <v>10</v>
      </c>
      <c r="Y7" s="64"/>
      <c r="Z7" s="64"/>
      <c r="AA7" s="103"/>
      <c r="AB7" s="105"/>
    </row>
    <row r="8" spans="2:28">
      <c r="B8" s="68"/>
      <c r="C8" s="59" t="s">
        <v>11</v>
      </c>
      <c r="D8" s="59" t="s">
        <v>12</v>
      </c>
      <c r="E8" s="59" t="s">
        <v>13</v>
      </c>
      <c r="F8" s="59"/>
      <c r="G8" s="59"/>
      <c r="H8" s="59" t="s">
        <v>14</v>
      </c>
      <c r="I8" s="59" t="s">
        <v>15</v>
      </c>
      <c r="J8" s="59" t="s">
        <v>16</v>
      </c>
      <c r="K8" s="59" t="s">
        <v>17</v>
      </c>
      <c r="L8" s="69" t="s">
        <v>18</v>
      </c>
      <c r="M8" s="69"/>
      <c r="N8" s="69"/>
      <c r="O8" s="69"/>
      <c r="P8" s="69" t="s">
        <v>19</v>
      </c>
      <c r="Q8" s="69"/>
      <c r="R8" s="69"/>
      <c r="S8" s="69"/>
      <c r="T8" s="69" t="s">
        <v>20</v>
      </c>
      <c r="U8" s="69"/>
      <c r="V8" s="69"/>
      <c r="W8" s="69"/>
      <c r="X8" s="59" t="s">
        <v>18</v>
      </c>
      <c r="Y8" s="69" t="s">
        <v>21</v>
      </c>
      <c r="Z8" s="69"/>
      <c r="AA8" s="69"/>
      <c r="AB8" s="104"/>
    </row>
    <row r="9" spans="2:28">
      <c r="B9" s="58" t="s">
        <v>22</v>
      </c>
      <c r="C9" s="59" t="s">
        <v>73</v>
      </c>
      <c r="D9" s="59" t="s">
        <v>23</v>
      </c>
      <c r="E9" s="59" t="s">
        <v>24</v>
      </c>
      <c r="F9" s="59" t="s">
        <v>25</v>
      </c>
      <c r="G9" s="59" t="s">
        <v>26</v>
      </c>
      <c r="H9" s="59" t="s">
        <v>27</v>
      </c>
      <c r="I9" s="59" t="s">
        <v>28</v>
      </c>
      <c r="J9" s="59" t="s">
        <v>29</v>
      </c>
      <c r="K9" s="59" t="s">
        <v>24</v>
      </c>
      <c r="L9" s="139" t="s">
        <v>6</v>
      </c>
      <c r="M9" s="139" t="s">
        <v>129</v>
      </c>
      <c r="N9" s="139" t="s">
        <v>130</v>
      </c>
      <c r="O9" s="139" t="s">
        <v>131</v>
      </c>
      <c r="P9" s="139" t="s">
        <v>6</v>
      </c>
      <c r="Q9" s="139" t="s">
        <v>129</v>
      </c>
      <c r="R9" s="139" t="s">
        <v>130</v>
      </c>
      <c r="S9" s="139" t="s">
        <v>131</v>
      </c>
      <c r="T9" s="139" t="s">
        <v>7</v>
      </c>
      <c r="U9" s="139" t="s">
        <v>129</v>
      </c>
      <c r="V9" s="139" t="s">
        <v>130</v>
      </c>
      <c r="W9" s="139" t="s">
        <v>131</v>
      </c>
      <c r="X9" s="59" t="s">
        <v>30</v>
      </c>
      <c r="Y9" s="139" t="s">
        <v>5</v>
      </c>
      <c r="Z9" s="139" t="s">
        <v>129</v>
      </c>
      <c r="AA9" s="139" t="s">
        <v>130</v>
      </c>
      <c r="AB9" s="139" t="s">
        <v>131</v>
      </c>
    </row>
    <row r="10" spans="2:28" s="143" customFormat="1" ht="4.95" customHeight="1">
      <c r="B10" s="140"/>
      <c r="C10" s="141"/>
      <c r="D10" s="141"/>
      <c r="E10" s="141"/>
      <c r="F10" s="141"/>
      <c r="G10" s="141"/>
      <c r="H10" s="141"/>
      <c r="I10" s="141"/>
      <c r="J10" s="141"/>
      <c r="K10" s="141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1"/>
      <c r="Y10" s="142"/>
      <c r="Z10" s="142"/>
      <c r="AA10" s="142"/>
      <c r="AB10" s="142"/>
    </row>
    <row r="11" spans="2:28" s="143" customFormat="1">
      <c r="B11" s="130" t="s">
        <v>126</v>
      </c>
      <c r="C11" s="131">
        <v>35</v>
      </c>
      <c r="D11" s="132">
        <v>318</v>
      </c>
      <c r="E11" s="133">
        <f>C11*D11</f>
        <v>11130</v>
      </c>
      <c r="F11" s="134">
        <v>826</v>
      </c>
      <c r="G11" s="134">
        <v>1083</v>
      </c>
      <c r="H11" s="134">
        <v>0</v>
      </c>
      <c r="I11" s="134">
        <v>0</v>
      </c>
      <c r="J11" s="134">
        <v>2163</v>
      </c>
      <c r="K11" s="133">
        <f>E11-F11+G11+H11+I11+J11</f>
        <v>13550</v>
      </c>
      <c r="L11" s="134">
        <v>16030</v>
      </c>
      <c r="M11" s="134">
        <v>16573</v>
      </c>
      <c r="N11" s="133">
        <v>17081</v>
      </c>
      <c r="O11" s="133">
        <v>22081</v>
      </c>
      <c r="P11" s="134">
        <v>1119.3</v>
      </c>
      <c r="Q11" s="134">
        <v>1328</v>
      </c>
      <c r="R11" s="134">
        <v>1407</v>
      </c>
      <c r="S11" s="134">
        <v>1656</v>
      </c>
      <c r="T11" s="135">
        <v>1.23</v>
      </c>
      <c r="U11" s="135">
        <v>1.4</v>
      </c>
      <c r="V11" s="131">
        <v>1.58</v>
      </c>
      <c r="W11" s="131">
        <v>1.66</v>
      </c>
      <c r="X11" s="136">
        <f>N11/L11-1</f>
        <v>6.5564566437928962E-2</v>
      </c>
      <c r="Y11" s="136">
        <f>P11/L11</f>
        <v>6.9825327510917023E-2</v>
      </c>
      <c r="Z11" s="136">
        <f>Q11/M11</f>
        <v>8.0130332468472815E-2</v>
      </c>
      <c r="AA11" s="136">
        <f>R11/N11</f>
        <v>8.237222645044201E-2</v>
      </c>
      <c r="AB11" s="137">
        <f>S11/O11</f>
        <v>7.4996603414700422E-2</v>
      </c>
    </row>
    <row r="12" spans="2:28" s="138" customFormat="1">
      <c r="B12" s="130"/>
      <c r="C12" s="131"/>
      <c r="D12" s="132"/>
      <c r="E12" s="133"/>
      <c r="F12" s="134"/>
      <c r="G12" s="134"/>
      <c r="H12" s="134"/>
      <c r="I12" s="134"/>
      <c r="J12" s="134"/>
      <c r="K12" s="133"/>
      <c r="L12" s="134"/>
      <c r="M12" s="134"/>
      <c r="N12" s="133"/>
      <c r="O12" s="133"/>
      <c r="P12" s="134"/>
      <c r="Q12" s="134"/>
      <c r="R12" s="134"/>
      <c r="S12" s="134"/>
      <c r="T12" s="135"/>
      <c r="U12" s="135"/>
      <c r="V12" s="131"/>
      <c r="W12" s="131"/>
      <c r="X12" s="136"/>
      <c r="Y12" s="136"/>
      <c r="Z12" s="136"/>
      <c r="AA12" s="136"/>
      <c r="AB12" s="137"/>
    </row>
    <row r="13" spans="2:28" s="138" customFormat="1">
      <c r="B13" s="146" t="s">
        <v>127</v>
      </c>
      <c r="C13" s="147">
        <v>22.67</v>
      </c>
      <c r="D13" s="148">
        <v>132</v>
      </c>
      <c r="E13" s="149">
        <f t="shared" ref="E13:E18" si="0">C13*D13</f>
        <v>2992.44</v>
      </c>
      <c r="F13" s="150">
        <v>19.5</v>
      </c>
      <c r="G13" s="150">
        <v>482</v>
      </c>
      <c r="H13" s="150">
        <v>0</v>
      </c>
      <c r="I13" s="150">
        <v>0</v>
      </c>
      <c r="J13" s="150">
        <v>448.9</v>
      </c>
      <c r="K13" s="151">
        <f t="shared" ref="K13:K18" si="1">E13-F13+G13+H13+I13+J13</f>
        <v>3903.84</v>
      </c>
      <c r="L13" s="152">
        <v>4664.6000000000004</v>
      </c>
      <c r="M13" s="152">
        <v>5207</v>
      </c>
      <c r="N13" s="152">
        <v>5707.8</v>
      </c>
      <c r="O13" s="152">
        <v>6311.7</v>
      </c>
      <c r="P13" s="152">
        <v>324.7</v>
      </c>
      <c r="Q13" s="152">
        <v>349</v>
      </c>
      <c r="R13" s="152">
        <v>341.4</v>
      </c>
      <c r="S13" s="152">
        <v>366.6</v>
      </c>
      <c r="T13" s="153">
        <v>1.02</v>
      </c>
      <c r="U13" s="153">
        <v>1.29</v>
      </c>
      <c r="V13" s="153">
        <v>1.21</v>
      </c>
      <c r="W13" s="153">
        <v>1.32</v>
      </c>
      <c r="X13" s="154">
        <f>N13/L13-1</f>
        <v>0.22364189855507433</v>
      </c>
      <c r="Y13" s="154">
        <f t="shared" ref="Y13:AB18" si="2">P13/L13</f>
        <v>6.9609398447884052E-2</v>
      </c>
      <c r="Z13" s="154">
        <f t="shared" si="2"/>
        <v>6.7025158440560784E-2</v>
      </c>
      <c r="AA13" s="154">
        <f t="shared" si="2"/>
        <v>5.9812887627457158E-2</v>
      </c>
      <c r="AB13" s="155">
        <f t="shared" si="2"/>
        <v>5.8082608488996629E-2</v>
      </c>
    </row>
    <row r="14" spans="2:28">
      <c r="B14" s="54" t="s">
        <v>132</v>
      </c>
      <c r="C14" s="72">
        <v>23.32</v>
      </c>
      <c r="D14" s="70">
        <v>924</v>
      </c>
      <c r="E14" s="63">
        <f t="shared" si="0"/>
        <v>21547.68</v>
      </c>
      <c r="F14" s="74">
        <v>322</v>
      </c>
      <c r="G14" s="74">
        <v>14077</v>
      </c>
      <c r="H14" s="74">
        <v>12</v>
      </c>
      <c r="I14" s="74">
        <v>12</v>
      </c>
      <c r="J14" s="74">
        <v>15718</v>
      </c>
      <c r="K14" s="75">
        <f t="shared" si="1"/>
        <v>51044.68</v>
      </c>
      <c r="L14" s="76">
        <v>115337</v>
      </c>
      <c r="M14" s="76">
        <v>122662</v>
      </c>
      <c r="N14" s="76">
        <v>121162</v>
      </c>
      <c r="O14" s="76">
        <v>123230.8</v>
      </c>
      <c r="P14" s="76">
        <v>5913</v>
      </c>
      <c r="Q14" s="76">
        <v>6037</v>
      </c>
      <c r="R14" s="76">
        <v>5475</v>
      </c>
      <c r="S14" s="76">
        <v>5543</v>
      </c>
      <c r="T14" s="77">
        <v>2.25</v>
      </c>
      <c r="U14" s="77">
        <v>2.14</v>
      </c>
      <c r="V14" s="77">
        <v>1.81</v>
      </c>
      <c r="W14" s="77">
        <v>2.27</v>
      </c>
      <c r="X14" s="71">
        <v>2.18E-2</v>
      </c>
      <c r="Y14" s="71">
        <f t="shared" si="2"/>
        <v>5.1267156246477714E-2</v>
      </c>
      <c r="Z14" s="71">
        <f t="shared" si="2"/>
        <v>4.9216546281652021E-2</v>
      </c>
      <c r="AA14" s="71">
        <f t="shared" si="2"/>
        <v>4.5187435004374311E-2</v>
      </c>
      <c r="AB14" s="106">
        <f t="shared" si="2"/>
        <v>4.4980637957393765E-2</v>
      </c>
    </row>
    <row r="15" spans="2:28">
      <c r="B15" s="54" t="s">
        <v>135</v>
      </c>
      <c r="C15" s="72">
        <v>48.85</v>
      </c>
      <c r="D15" s="70">
        <v>26.9</v>
      </c>
      <c r="E15" s="63">
        <f t="shared" si="0"/>
        <v>1314.0650000000001</v>
      </c>
      <c r="F15" s="74">
        <v>126.1</v>
      </c>
      <c r="G15" s="74">
        <v>35</v>
      </c>
      <c r="H15" s="74">
        <v>0</v>
      </c>
      <c r="I15" s="74">
        <v>0</v>
      </c>
      <c r="J15" s="74">
        <v>413.9</v>
      </c>
      <c r="K15" s="75">
        <f t="shared" si="1"/>
        <v>1636.8650000000002</v>
      </c>
      <c r="L15" s="76">
        <v>3466.8</v>
      </c>
      <c r="M15" s="76">
        <v>3509.3</v>
      </c>
      <c r="N15" s="76">
        <v>3550</v>
      </c>
      <c r="O15" s="76">
        <v>3600</v>
      </c>
      <c r="P15" s="76">
        <v>161.19999999999999</v>
      </c>
      <c r="Q15" s="76">
        <v>180</v>
      </c>
      <c r="R15" s="76">
        <v>184</v>
      </c>
      <c r="S15" s="76">
        <v>188</v>
      </c>
      <c r="T15" s="77">
        <v>1.81</v>
      </c>
      <c r="U15" s="77">
        <v>2.41</v>
      </c>
      <c r="V15" s="77">
        <v>2.36</v>
      </c>
      <c r="W15" s="77">
        <v>2.1</v>
      </c>
      <c r="X15" s="71">
        <f>N15/L15-1</f>
        <v>2.3999076958578502E-2</v>
      </c>
      <c r="Y15" s="71">
        <f t="shared" si="2"/>
        <v>4.6498211607245869E-2</v>
      </c>
      <c r="Z15" s="71">
        <f t="shared" si="2"/>
        <v>5.1292280511782973E-2</v>
      </c>
      <c r="AA15" s="71">
        <f t="shared" si="2"/>
        <v>5.1830985915492955E-2</v>
      </c>
      <c r="AB15" s="106">
        <f t="shared" si="2"/>
        <v>5.2222222222222225E-2</v>
      </c>
    </row>
    <row r="16" spans="2:28">
      <c r="B16" s="54" t="s">
        <v>137</v>
      </c>
      <c r="C16" s="72">
        <v>27.4</v>
      </c>
      <c r="D16" s="70">
        <v>100.8</v>
      </c>
      <c r="E16" s="63">
        <f t="shared" si="0"/>
        <v>2761.9199999999996</v>
      </c>
      <c r="F16" s="74">
        <v>9.1</v>
      </c>
      <c r="G16" s="74">
        <v>1515.8</v>
      </c>
      <c r="H16" s="74">
        <v>0</v>
      </c>
      <c r="I16" s="74">
        <v>0</v>
      </c>
      <c r="J16" s="74">
        <v>1362.8</v>
      </c>
      <c r="K16" s="75">
        <f t="shared" si="1"/>
        <v>5631.42</v>
      </c>
      <c r="L16" s="76">
        <v>16761.8</v>
      </c>
      <c r="M16" s="76">
        <v>17619.900000000001</v>
      </c>
      <c r="N16" s="76">
        <v>19440.7</v>
      </c>
      <c r="O16" s="76">
        <v>24441.3</v>
      </c>
      <c r="P16" s="76">
        <v>369.2</v>
      </c>
      <c r="Q16" s="76">
        <v>404.3</v>
      </c>
      <c r="R16" s="76">
        <v>463.1</v>
      </c>
      <c r="S16" s="76">
        <v>523.9</v>
      </c>
      <c r="T16" s="77">
        <v>1.1299999999999999</v>
      </c>
      <c r="U16" s="77">
        <v>1.67</v>
      </c>
      <c r="V16" s="77">
        <v>1.78</v>
      </c>
      <c r="W16" s="77">
        <v>2.0299999999999998</v>
      </c>
      <c r="X16" s="71">
        <f>N16/L16-1</f>
        <v>0.15982173752222328</v>
      </c>
      <c r="Y16" s="71">
        <f t="shared" si="2"/>
        <v>2.2026274027849038E-2</v>
      </c>
      <c r="Z16" s="71">
        <f t="shared" si="2"/>
        <v>2.294564668357936E-2</v>
      </c>
      <c r="AA16" s="71">
        <f t="shared" si="2"/>
        <v>2.3821158703133116E-2</v>
      </c>
      <c r="AB16" s="106">
        <f t="shared" si="2"/>
        <v>2.1435030051593001E-2</v>
      </c>
    </row>
    <row r="17" spans="2:28">
      <c r="B17" s="54" t="s">
        <v>136</v>
      </c>
      <c r="C17" s="72">
        <v>31.64</v>
      </c>
      <c r="D17" s="70">
        <v>20.3</v>
      </c>
      <c r="E17" s="63">
        <f t="shared" si="0"/>
        <v>642.29200000000003</v>
      </c>
      <c r="F17" s="74">
        <v>23.9</v>
      </c>
      <c r="G17" s="74">
        <v>877.9</v>
      </c>
      <c r="H17" s="74">
        <v>0</v>
      </c>
      <c r="I17" s="74">
        <v>0</v>
      </c>
      <c r="J17" s="74">
        <v>344.4</v>
      </c>
      <c r="K17" s="75">
        <f t="shared" si="1"/>
        <v>1840.692</v>
      </c>
      <c r="L17" s="76">
        <v>4002.7</v>
      </c>
      <c r="M17" s="76">
        <v>4092.8</v>
      </c>
      <c r="N17" s="76">
        <v>4198</v>
      </c>
      <c r="O17" s="76">
        <v>4282</v>
      </c>
      <c r="P17" s="76">
        <v>237.4</v>
      </c>
      <c r="Q17" s="76">
        <v>237.2</v>
      </c>
      <c r="R17" s="76">
        <v>245</v>
      </c>
      <c r="S17" s="76">
        <v>247</v>
      </c>
      <c r="T17" s="77">
        <v>2.58</v>
      </c>
      <c r="U17" s="77">
        <v>4.78</v>
      </c>
      <c r="V17" s="77">
        <v>3.4</v>
      </c>
      <c r="W17" s="77">
        <v>3.5</v>
      </c>
      <c r="X17" s="71">
        <f>N17/L17-1</f>
        <v>4.8792065355884873E-2</v>
      </c>
      <c r="Y17" s="71">
        <f t="shared" si="2"/>
        <v>5.9309965773103157E-2</v>
      </c>
      <c r="Z17" s="71">
        <f t="shared" si="2"/>
        <v>5.795543393275996E-2</v>
      </c>
      <c r="AA17" s="71">
        <f t="shared" si="2"/>
        <v>5.8361124344926157E-2</v>
      </c>
      <c r="AB17" s="106">
        <f t="shared" si="2"/>
        <v>5.7683325548808971E-2</v>
      </c>
    </row>
    <row r="18" spans="2:28">
      <c r="B18" s="54" t="s">
        <v>162</v>
      </c>
      <c r="C18" s="72">
        <v>8.27</v>
      </c>
      <c r="D18" s="70">
        <v>22.4</v>
      </c>
      <c r="E18" s="63">
        <f t="shared" si="0"/>
        <v>185.24799999999999</v>
      </c>
      <c r="F18" s="74">
        <v>6.4</v>
      </c>
      <c r="G18" s="74">
        <v>61.8</v>
      </c>
      <c r="H18" s="74">
        <v>0</v>
      </c>
      <c r="I18" s="74">
        <v>0</v>
      </c>
      <c r="J18" s="74">
        <v>104.3</v>
      </c>
      <c r="K18" s="75">
        <f t="shared" si="1"/>
        <v>344.94799999999998</v>
      </c>
      <c r="L18" s="76">
        <v>769</v>
      </c>
      <c r="M18" s="76">
        <v>849</v>
      </c>
      <c r="N18" s="76">
        <v>908</v>
      </c>
      <c r="O18" s="76">
        <v>971</v>
      </c>
      <c r="P18" s="76">
        <v>43.6</v>
      </c>
      <c r="Q18" s="76">
        <v>44.5</v>
      </c>
      <c r="R18" s="76">
        <v>46</v>
      </c>
      <c r="S18" s="76">
        <v>48.1</v>
      </c>
      <c r="T18" s="77">
        <v>0.31</v>
      </c>
      <c r="U18" s="77">
        <v>0.56000000000000005</v>
      </c>
      <c r="V18" s="77">
        <v>0.41</v>
      </c>
      <c r="W18" s="77">
        <v>0.43</v>
      </c>
      <c r="X18" s="71">
        <f>N18/L18-1</f>
        <v>0.18075422626788029</v>
      </c>
      <c r="Y18" s="71">
        <f t="shared" si="2"/>
        <v>5.6697009102730823E-2</v>
      </c>
      <c r="Z18" s="71">
        <f t="shared" si="2"/>
        <v>5.2414605418138985E-2</v>
      </c>
      <c r="AA18" s="71">
        <f t="shared" si="2"/>
        <v>5.0660792951541848E-2</v>
      </c>
      <c r="AB18" s="106">
        <f t="shared" si="2"/>
        <v>4.953656024716787E-2</v>
      </c>
    </row>
    <row r="19" spans="2:28"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106"/>
    </row>
    <row r="21" spans="2:28">
      <c r="B21" s="45" t="s">
        <v>33</v>
      </c>
      <c r="C21" s="46"/>
      <c r="D21" s="46"/>
      <c r="E21" s="64" t="s">
        <v>9</v>
      </c>
      <c r="F21" s="64"/>
      <c r="G21" s="64"/>
      <c r="H21" s="64"/>
      <c r="I21" s="64"/>
      <c r="J21" s="64"/>
      <c r="K21" s="65"/>
      <c r="L21" s="64" t="s">
        <v>34</v>
      </c>
      <c r="M21" s="65"/>
      <c r="N21" s="65"/>
      <c r="O21" s="64" t="s">
        <v>34</v>
      </c>
      <c r="P21" s="65"/>
      <c r="Q21" s="65"/>
      <c r="R21" s="66"/>
      <c r="S21" s="66"/>
      <c r="T21" s="66"/>
      <c r="V21" s="54"/>
      <c r="W21" s="54"/>
    </row>
    <row r="22" spans="2:28">
      <c r="B22" s="68"/>
      <c r="C22" s="59" t="s">
        <v>11</v>
      </c>
      <c r="D22" s="59"/>
      <c r="E22" s="59" t="s">
        <v>13</v>
      </c>
      <c r="F22" s="59"/>
      <c r="G22" s="59"/>
      <c r="H22" s="59"/>
      <c r="I22" s="59"/>
      <c r="J22" s="59"/>
      <c r="K22" s="59" t="s">
        <v>17</v>
      </c>
      <c r="L22" s="69" t="s">
        <v>18</v>
      </c>
      <c r="M22" s="80"/>
      <c r="N22" s="80"/>
      <c r="O22" s="69" t="s">
        <v>19</v>
      </c>
      <c r="P22" s="81"/>
      <c r="Q22" s="81"/>
      <c r="R22" s="69" t="s">
        <v>35</v>
      </c>
      <c r="S22" s="69"/>
      <c r="T22" s="69"/>
      <c r="V22" s="82"/>
      <c r="W22" s="82"/>
    </row>
    <row r="23" spans="2:28">
      <c r="B23" s="58" t="s">
        <v>22</v>
      </c>
      <c r="C23" s="59" t="s">
        <v>73</v>
      </c>
      <c r="D23" s="59"/>
      <c r="E23" s="59" t="s">
        <v>24</v>
      </c>
      <c r="F23" s="59"/>
      <c r="G23" s="59"/>
      <c r="H23" s="59"/>
      <c r="I23" s="59"/>
      <c r="J23" s="59"/>
      <c r="K23" s="59" t="s">
        <v>24</v>
      </c>
      <c r="L23" s="139" t="s">
        <v>3</v>
      </c>
      <c r="M23" s="139" t="s">
        <v>163</v>
      </c>
      <c r="N23" s="139" t="s">
        <v>131</v>
      </c>
      <c r="O23" s="139" t="s">
        <v>3</v>
      </c>
      <c r="P23" s="139" t="s">
        <v>163</v>
      </c>
      <c r="Q23" s="139" t="s">
        <v>131</v>
      </c>
      <c r="R23" s="139" t="s">
        <v>3</v>
      </c>
      <c r="S23" s="139" t="s">
        <v>130</v>
      </c>
      <c r="T23" s="139" t="s">
        <v>131</v>
      </c>
      <c r="V23" s="83"/>
      <c r="W23" s="83"/>
    </row>
    <row r="24" spans="2:28" s="143" customFormat="1">
      <c r="B24" s="140"/>
      <c r="C24" s="141"/>
      <c r="D24" s="141"/>
      <c r="E24" s="141"/>
      <c r="F24" s="141"/>
      <c r="G24" s="141"/>
      <c r="H24" s="141"/>
      <c r="I24" s="141"/>
      <c r="J24" s="141"/>
      <c r="K24" s="141"/>
      <c r="L24" s="142"/>
      <c r="M24" s="142"/>
      <c r="N24" s="142"/>
      <c r="O24" s="142"/>
      <c r="P24" s="142"/>
      <c r="Q24" s="142"/>
      <c r="R24" s="142"/>
      <c r="S24" s="142"/>
      <c r="T24" s="142"/>
      <c r="V24" s="144"/>
      <c r="W24" s="144"/>
    </row>
    <row r="25" spans="2:28" s="143" customFormat="1">
      <c r="B25" s="130" t="str">
        <f>B11</f>
        <v xml:space="preserve">Whole Foods Market </v>
      </c>
      <c r="C25" s="131">
        <f>C11</f>
        <v>35</v>
      </c>
      <c r="D25" s="131"/>
      <c r="E25" s="133">
        <f>E11</f>
        <v>11130</v>
      </c>
      <c r="F25" s="133"/>
      <c r="G25" s="133"/>
      <c r="H25" s="133"/>
      <c r="I25" s="133"/>
      <c r="J25" s="133"/>
      <c r="K25" s="133">
        <f>K11</f>
        <v>13550</v>
      </c>
      <c r="L25" s="158">
        <f>$K25/L11</f>
        <v>0.84529008109794135</v>
      </c>
      <c r="M25" s="158">
        <f>$K25/N11</f>
        <v>0.79327908202095898</v>
      </c>
      <c r="N25" s="158">
        <f>$K25/O11</f>
        <v>0.61364974412390738</v>
      </c>
      <c r="O25" s="158">
        <f>$K25/P11</f>
        <v>12.105780398463326</v>
      </c>
      <c r="P25" s="158">
        <f>$K25/R11</f>
        <v>9.6304193319118685</v>
      </c>
      <c r="Q25" s="158">
        <f>$K25/S11</f>
        <v>8.1823671497584538</v>
      </c>
      <c r="R25" s="158">
        <f>$C11/T11</f>
        <v>28.45528455284553</v>
      </c>
      <c r="S25" s="158">
        <f>$C11/V11</f>
        <v>22.151898734177212</v>
      </c>
      <c r="T25" s="158">
        <f>$C11/W11</f>
        <v>21.08433734939759</v>
      </c>
      <c r="V25" s="145"/>
      <c r="W25" s="145"/>
    </row>
    <row r="26" spans="2:28">
      <c r="B26" s="130"/>
      <c r="C26" s="131"/>
      <c r="D26" s="131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V26" s="54"/>
      <c r="W26" s="54"/>
    </row>
    <row r="27" spans="2:28">
      <c r="B27" s="54" t="str">
        <f t="shared" ref="B27:B32" si="3">B13</f>
        <v>Sprouts Farmers Market</v>
      </c>
      <c r="C27" s="84">
        <f t="shared" ref="C27:C32" si="4">C13</f>
        <v>22.67</v>
      </c>
      <c r="D27" s="84"/>
      <c r="E27" s="63">
        <f t="shared" ref="E27:E32" si="5">E13</f>
        <v>2992.44</v>
      </c>
      <c r="F27" s="63"/>
      <c r="G27" s="63"/>
      <c r="H27" s="63"/>
      <c r="I27" s="63"/>
      <c r="J27" s="63"/>
      <c r="K27" s="63">
        <f t="shared" ref="K27:K32" si="6">K13</f>
        <v>3903.84</v>
      </c>
      <c r="L27" s="158">
        <f>$K27/L13</f>
        <v>0.83690777344252454</v>
      </c>
      <c r="M27" s="158">
        <f t="shared" ref="M27:O27" si="7">$K27/N13</f>
        <v>0.68394828129927465</v>
      </c>
      <c r="N27" s="158">
        <f t="shared" si="7"/>
        <v>0.61850848424354776</v>
      </c>
      <c r="O27" s="158">
        <f t="shared" si="7"/>
        <v>12.022913458577149</v>
      </c>
      <c r="P27" s="158">
        <f t="shared" ref="P27:Q27" si="8">$K27/R13</f>
        <v>11.434797891036908</v>
      </c>
      <c r="Q27" s="158">
        <f t="shared" si="8"/>
        <v>10.648772504091653</v>
      </c>
      <c r="R27" s="158">
        <f t="shared" ref="R27:R32" si="9">$C13/T13</f>
        <v>22.225490196078432</v>
      </c>
      <c r="S27" s="158">
        <f t="shared" ref="S27:T27" si="10">$C13/V13</f>
        <v>18.735537190082646</v>
      </c>
      <c r="T27" s="158">
        <f t="shared" si="10"/>
        <v>17.174242424242426</v>
      </c>
      <c r="V27" s="54"/>
      <c r="W27" s="54"/>
    </row>
    <row r="28" spans="2:28">
      <c r="B28" s="54" t="str">
        <f t="shared" si="3"/>
        <v>The Kroger Co</v>
      </c>
      <c r="C28" s="79">
        <f t="shared" si="4"/>
        <v>23.32</v>
      </c>
      <c r="D28" s="84"/>
      <c r="E28" s="73">
        <f t="shared" si="5"/>
        <v>21547.68</v>
      </c>
      <c r="F28" s="63"/>
      <c r="G28" s="63"/>
      <c r="H28" s="63"/>
      <c r="I28" s="63"/>
      <c r="J28" s="63"/>
      <c r="K28" s="73">
        <f t="shared" si="6"/>
        <v>51044.68</v>
      </c>
      <c r="L28" s="158">
        <f t="shared" ref="L28:L32" si="11">$K28/L14</f>
        <v>0.44256986049576458</v>
      </c>
      <c r="M28" s="158">
        <f t="shared" ref="M28:O28" si="12">$K28/N14</f>
        <v>0.42129281457882833</v>
      </c>
      <c r="N28" s="158">
        <f t="shared" si="12"/>
        <v>0.41422014626213577</v>
      </c>
      <c r="O28" s="158">
        <f t="shared" si="12"/>
        <v>8.6326196516150855</v>
      </c>
      <c r="P28" s="158">
        <f t="shared" ref="P28:Q28" si="13">$K28/R14</f>
        <v>9.323229223744292</v>
      </c>
      <c r="Q28" s="158">
        <f t="shared" si="13"/>
        <v>9.2088544109687902</v>
      </c>
      <c r="R28" s="158">
        <f t="shared" si="9"/>
        <v>10.364444444444445</v>
      </c>
      <c r="S28" s="158">
        <f t="shared" ref="S28:T28" si="14">$C14/V14</f>
        <v>12.883977900552486</v>
      </c>
      <c r="T28" s="158">
        <f t="shared" si="14"/>
        <v>10.273127753303966</v>
      </c>
      <c r="V28" s="54"/>
      <c r="W28" s="54"/>
    </row>
    <row r="29" spans="2:28">
      <c r="B29" s="54" t="str">
        <f t="shared" si="3"/>
        <v>Weis Markets Inc</v>
      </c>
      <c r="C29" s="79">
        <f t="shared" si="4"/>
        <v>48.85</v>
      </c>
      <c r="D29" s="84"/>
      <c r="E29" s="73">
        <f t="shared" si="5"/>
        <v>1314.0650000000001</v>
      </c>
      <c r="F29" s="63"/>
      <c r="G29" s="63"/>
      <c r="H29" s="63"/>
      <c r="I29" s="63"/>
      <c r="J29" s="63"/>
      <c r="K29" s="73">
        <f t="shared" si="6"/>
        <v>1636.8650000000002</v>
      </c>
      <c r="L29" s="158">
        <f>$K29/L15</f>
        <v>0.47215443636783205</v>
      </c>
      <c r="M29" s="158">
        <f>$K29/N15</f>
        <v>0.46108873239436626</v>
      </c>
      <c r="N29" s="158">
        <f>$K29/O15</f>
        <v>0.45468472222222228</v>
      </c>
      <c r="O29" s="158">
        <f>$K29/P15</f>
        <v>10.154249379652608</v>
      </c>
      <c r="P29" s="158">
        <f>$K29/R15</f>
        <v>8.8960054347826105</v>
      </c>
      <c r="Q29" s="158">
        <f t="shared" ref="Q29" si="15">$K29/S15</f>
        <v>8.7067287234042574</v>
      </c>
      <c r="R29" s="158">
        <f>$C15/T15</f>
        <v>26.988950276243095</v>
      </c>
      <c r="S29" s="158">
        <f>$C15/V15</f>
        <v>20.699152542372882</v>
      </c>
      <c r="T29" s="158">
        <f t="shared" ref="T29" si="16">$C15/W15</f>
        <v>23.261904761904763</v>
      </c>
      <c r="V29" s="54"/>
      <c r="W29" s="54"/>
    </row>
    <row r="30" spans="2:28">
      <c r="B30" s="54" t="str">
        <f t="shared" si="3"/>
        <v>Performance Food Group</v>
      </c>
      <c r="C30" s="79">
        <f t="shared" si="4"/>
        <v>27.4</v>
      </c>
      <c r="D30" s="84"/>
      <c r="E30" s="73">
        <f t="shared" si="5"/>
        <v>2761.9199999999996</v>
      </c>
      <c r="F30" s="63"/>
      <c r="G30" s="63"/>
      <c r="H30" s="63"/>
      <c r="I30" s="63"/>
      <c r="J30" s="63"/>
      <c r="K30" s="73">
        <f t="shared" si="6"/>
        <v>5631.42</v>
      </c>
      <c r="L30" s="158">
        <f t="shared" si="11"/>
        <v>0.3359674975241323</v>
      </c>
      <c r="M30" s="158">
        <f t="shared" ref="M30:O30" si="17">$K30/N16</f>
        <v>0.2896716682012479</v>
      </c>
      <c r="N30" s="158">
        <f t="shared" si="17"/>
        <v>0.23040591130586344</v>
      </c>
      <c r="O30" s="158">
        <f t="shared" si="17"/>
        <v>15.253033586132178</v>
      </c>
      <c r="P30" s="158">
        <f t="shared" ref="P30:Q30" si="18">$K30/R16</f>
        <v>12.160267760742819</v>
      </c>
      <c r="Q30" s="158">
        <f t="shared" si="18"/>
        <v>10.749036075586945</v>
      </c>
      <c r="R30" s="158">
        <f t="shared" si="9"/>
        <v>24.247787610619469</v>
      </c>
      <c r="S30" s="158">
        <f t="shared" ref="S30:T30" si="19">$C16/V16</f>
        <v>15.393258426966291</v>
      </c>
      <c r="T30" s="158">
        <f t="shared" si="19"/>
        <v>13.497536945812808</v>
      </c>
      <c r="V30" s="54"/>
      <c r="W30" s="54"/>
    </row>
    <row r="31" spans="2:28">
      <c r="B31" s="54" t="str">
        <f t="shared" si="3"/>
        <v>Ingles Markets Inc</v>
      </c>
      <c r="C31" s="79">
        <f t="shared" si="4"/>
        <v>31.64</v>
      </c>
      <c r="D31" s="84"/>
      <c r="E31" s="73">
        <f t="shared" si="5"/>
        <v>642.29200000000003</v>
      </c>
      <c r="F31" s="63"/>
      <c r="G31" s="63"/>
      <c r="H31" s="63"/>
      <c r="I31" s="63"/>
      <c r="J31" s="63"/>
      <c r="K31" s="73">
        <f t="shared" si="6"/>
        <v>1840.692</v>
      </c>
      <c r="L31" s="158">
        <f t="shared" si="11"/>
        <v>0.45986259274989383</v>
      </c>
      <c r="M31" s="158">
        <f t="shared" ref="M31:O31" si="20">$K31/N17</f>
        <v>0.43846879466412575</v>
      </c>
      <c r="N31" s="158">
        <f t="shared" si="20"/>
        <v>0.42986735170481083</v>
      </c>
      <c r="O31" s="158">
        <f t="shared" si="20"/>
        <v>7.7535467565290643</v>
      </c>
      <c r="P31" s="158">
        <f t="shared" ref="P31:Q31" si="21">$K31/R17</f>
        <v>7.5130285714285714</v>
      </c>
      <c r="Q31" s="158">
        <f t="shared" si="21"/>
        <v>7.4521943319838053</v>
      </c>
      <c r="R31" s="158">
        <f t="shared" si="9"/>
        <v>12.263565891472869</v>
      </c>
      <c r="S31" s="158">
        <f t="shared" ref="S31:T31" si="22">$C17/V17</f>
        <v>9.3058823529411772</v>
      </c>
      <c r="T31" s="158">
        <f t="shared" si="22"/>
        <v>9.0400000000000009</v>
      </c>
      <c r="V31" s="54"/>
      <c r="W31" s="54"/>
    </row>
    <row r="32" spans="2:28">
      <c r="B32" s="54" t="str">
        <f t="shared" si="3"/>
        <v>Ralphs</v>
      </c>
      <c r="C32" s="79">
        <f t="shared" si="4"/>
        <v>8.27</v>
      </c>
      <c r="D32" s="84"/>
      <c r="E32" s="73">
        <f t="shared" si="5"/>
        <v>185.24799999999999</v>
      </c>
      <c r="F32" s="63"/>
      <c r="G32" s="63"/>
      <c r="H32" s="63"/>
      <c r="I32" s="63"/>
      <c r="J32" s="63"/>
      <c r="K32" s="73">
        <f t="shared" si="6"/>
        <v>344.94799999999998</v>
      </c>
      <c r="L32" s="158">
        <f t="shared" si="11"/>
        <v>0.44856697009102731</v>
      </c>
      <c r="M32" s="158">
        <f t="shared" ref="M32:O32" si="23">$K32/N18</f>
        <v>0.37989867841409691</v>
      </c>
      <c r="N32" s="158">
        <f t="shared" si="23"/>
        <v>0.35525025746652933</v>
      </c>
      <c r="O32" s="158">
        <f t="shared" si="23"/>
        <v>7.9116513761467884</v>
      </c>
      <c r="P32" s="158">
        <f t="shared" ref="P32:Q32" si="24">$K32/R18</f>
        <v>7.4988695652173911</v>
      </c>
      <c r="Q32" s="158">
        <f t="shared" si="24"/>
        <v>7.1714760914760909</v>
      </c>
      <c r="R32" s="158">
        <f t="shared" si="9"/>
        <v>26.677419354838708</v>
      </c>
      <c r="S32" s="158">
        <f t="shared" ref="S32:T32" si="25">$C18/V18</f>
        <v>20.170731707317074</v>
      </c>
      <c r="T32" s="158">
        <f t="shared" si="25"/>
        <v>19.232558139534884</v>
      </c>
      <c r="V32" s="54"/>
      <c r="W32" s="54"/>
    </row>
    <row r="33" spans="2:23">
      <c r="B33" s="62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107"/>
      <c r="V33" s="54"/>
      <c r="W33" s="54"/>
    </row>
    <row r="34" spans="2:23">
      <c r="B34" s="156" t="s">
        <v>80</v>
      </c>
      <c r="C34" s="78">
        <f>MAX(C27:C32)</f>
        <v>48.85</v>
      </c>
      <c r="D34" s="78"/>
      <c r="E34" s="236">
        <f>MAX(E27:E32)</f>
        <v>21547.68</v>
      </c>
      <c r="F34" s="236"/>
      <c r="G34" s="236"/>
      <c r="H34" s="236"/>
      <c r="I34" s="236"/>
      <c r="J34" s="236"/>
      <c r="K34" s="236">
        <f t="shared" ref="K34" si="26">MAX(K27:K32)</f>
        <v>51044.68</v>
      </c>
      <c r="L34" s="228">
        <f>MAX(L27:L32)</f>
        <v>0.83690777344252454</v>
      </c>
      <c r="M34" s="228">
        <f t="shared" ref="M34:T34" si="27">MAX(M27:M32)</f>
        <v>0.68394828129927465</v>
      </c>
      <c r="N34" s="228">
        <f t="shared" si="27"/>
        <v>0.61850848424354776</v>
      </c>
      <c r="O34" s="228">
        <f t="shared" si="27"/>
        <v>15.253033586132178</v>
      </c>
      <c r="P34" s="228">
        <f t="shared" si="27"/>
        <v>12.160267760742819</v>
      </c>
      <c r="Q34" s="228">
        <f t="shared" si="27"/>
        <v>10.749036075586945</v>
      </c>
      <c r="R34" s="228">
        <f t="shared" si="27"/>
        <v>26.988950276243095</v>
      </c>
      <c r="S34" s="228">
        <f t="shared" si="27"/>
        <v>20.699152542372882</v>
      </c>
      <c r="T34" s="229">
        <f t="shared" si="27"/>
        <v>23.261904761904763</v>
      </c>
      <c r="V34" s="54"/>
      <c r="W34" s="54"/>
    </row>
    <row r="35" spans="2:23">
      <c r="B35" s="237" t="s">
        <v>31</v>
      </c>
      <c r="C35" s="238">
        <f>QUARTILE(C27:C31,3)</f>
        <v>31.64</v>
      </c>
      <c r="D35" s="238"/>
      <c r="E35" s="239">
        <f>QUARTILE(E27:E31,3)</f>
        <v>2992.44</v>
      </c>
      <c r="F35" s="239"/>
      <c r="G35" s="239"/>
      <c r="H35" s="239"/>
      <c r="I35" s="239"/>
      <c r="J35" s="239"/>
      <c r="K35" s="239">
        <f t="shared" ref="K35" si="28">QUARTILE(K27:K31,3)</f>
        <v>5631.42</v>
      </c>
      <c r="L35" s="230">
        <f>QUARTILE(L27:L32,3)</f>
        <v>0.4690814754633475</v>
      </c>
      <c r="M35" s="230">
        <f t="shared" ref="M35:T35" si="29">QUARTILE(M27:M32,3)</f>
        <v>0.45543374796180613</v>
      </c>
      <c r="N35" s="230">
        <f t="shared" si="29"/>
        <v>0.4484803795928694</v>
      </c>
      <c r="O35" s="230">
        <f t="shared" si="29"/>
        <v>11.555747438846014</v>
      </c>
      <c r="P35" s="230">
        <f t="shared" si="29"/>
        <v>10.906905724213754</v>
      </c>
      <c r="Q35" s="230">
        <f t="shared" si="29"/>
        <v>10.288792980810937</v>
      </c>
      <c r="R35" s="230">
        <f t="shared" si="29"/>
        <v>26.070011418783899</v>
      </c>
      <c r="S35" s="230">
        <f t="shared" si="29"/>
        <v>19.811933078008465</v>
      </c>
      <c r="T35" s="231">
        <f t="shared" si="29"/>
        <v>18.717979210711768</v>
      </c>
      <c r="V35" s="54"/>
      <c r="W35" s="54"/>
    </row>
    <row r="36" spans="2:23">
      <c r="B36" s="237" t="s">
        <v>79</v>
      </c>
      <c r="C36" s="238">
        <f>MEDIAN(C27:C32)</f>
        <v>25.36</v>
      </c>
      <c r="D36" s="238"/>
      <c r="E36" s="238">
        <f t="shared" ref="E36:K36" si="30">MEDIAN(E27:E32)</f>
        <v>2037.9924999999998</v>
      </c>
      <c r="F36" s="238"/>
      <c r="G36" s="238"/>
      <c r="H36" s="238"/>
      <c r="I36" s="238"/>
      <c r="J36" s="238"/>
      <c r="K36" s="238">
        <f t="shared" si="30"/>
        <v>2872.2660000000001</v>
      </c>
      <c r="L36" s="230">
        <f>MEDIAN(L27:L32)</f>
        <v>0.45421478142046057</v>
      </c>
      <c r="M36" s="230">
        <f t="shared" ref="M36:T36" si="31">MEDIAN(M27:M32)</f>
        <v>0.42988080462147704</v>
      </c>
      <c r="N36" s="230">
        <f t="shared" si="31"/>
        <v>0.4220437489834733</v>
      </c>
      <c r="O36" s="230">
        <f t="shared" si="31"/>
        <v>9.3934345156338459</v>
      </c>
      <c r="P36" s="230">
        <f t="shared" si="31"/>
        <v>9.1096173292634504</v>
      </c>
      <c r="Q36" s="230">
        <f t="shared" si="31"/>
        <v>8.9577915671865238</v>
      </c>
      <c r="R36" s="230">
        <f t="shared" si="31"/>
        <v>23.23663890334895</v>
      </c>
      <c r="S36" s="230">
        <f t="shared" si="31"/>
        <v>17.064397808524468</v>
      </c>
      <c r="T36" s="231">
        <f t="shared" si="31"/>
        <v>15.335889685027617</v>
      </c>
      <c r="U36" s="145"/>
      <c r="V36" s="54"/>
    </row>
    <row r="37" spans="2:23">
      <c r="B37" s="237" t="s">
        <v>32</v>
      </c>
      <c r="C37" s="238">
        <f>QUARTILE(C27:C32,1)</f>
        <v>22.832500000000003</v>
      </c>
      <c r="D37" s="238"/>
      <c r="E37" s="239">
        <f>QUARTILE(E27:E32,1)</f>
        <v>810.23525000000006</v>
      </c>
      <c r="F37" s="239"/>
      <c r="G37" s="239"/>
      <c r="H37" s="239"/>
      <c r="I37" s="239"/>
      <c r="J37" s="239"/>
      <c r="K37" s="239">
        <f t="shared" ref="K37" si="32">QUARTILE(K27:K32,1)</f>
        <v>1687.8217500000001</v>
      </c>
      <c r="L37" s="230">
        <f>QUARTILE(L27:L32,1)</f>
        <v>0.44406913789458025</v>
      </c>
      <c r="M37" s="230">
        <f t="shared" ref="M37:T37" si="33">QUARTILE(M27:M32,1)</f>
        <v>0.39024721245527977</v>
      </c>
      <c r="N37" s="230">
        <f t="shared" si="33"/>
        <v>0.36999272966543095</v>
      </c>
      <c r="O37" s="230">
        <f t="shared" si="33"/>
        <v>8.0918934450138629</v>
      </c>
      <c r="P37" s="230">
        <f t="shared" si="33"/>
        <v>7.858772787267081</v>
      </c>
      <c r="Q37" s="230">
        <f t="shared" si="33"/>
        <v>7.7658279298389186</v>
      </c>
      <c r="R37" s="230">
        <f t="shared" si="33"/>
        <v>14.754046967624259</v>
      </c>
      <c r="S37" s="230">
        <f t="shared" si="33"/>
        <v>13.511298032155937</v>
      </c>
      <c r="T37" s="231">
        <f t="shared" si="33"/>
        <v>11.079230051431177</v>
      </c>
      <c r="U37" s="143"/>
    </row>
    <row r="38" spans="2:23">
      <c r="B38" s="157" t="s">
        <v>77</v>
      </c>
      <c r="C38" s="240">
        <f>MIN(C27:C32)</f>
        <v>8.27</v>
      </c>
      <c r="D38" s="240"/>
      <c r="E38" s="241">
        <f>MIN(E27:E32)</f>
        <v>185.24799999999999</v>
      </c>
      <c r="F38" s="241"/>
      <c r="G38" s="241"/>
      <c r="H38" s="241"/>
      <c r="I38" s="241"/>
      <c r="J38" s="241"/>
      <c r="K38" s="241">
        <f t="shared" ref="K38" si="34">MIN(K27:K32)</f>
        <v>344.94799999999998</v>
      </c>
      <c r="L38" s="288">
        <f>MIN(L27:L32)</f>
        <v>0.3359674975241323</v>
      </c>
      <c r="M38" s="288">
        <f t="shared" ref="M38:T38" si="35">MIN(M27:M32)</f>
        <v>0.2896716682012479</v>
      </c>
      <c r="N38" s="288">
        <f t="shared" si="35"/>
        <v>0.23040591130586344</v>
      </c>
      <c r="O38" s="288">
        <f t="shared" si="35"/>
        <v>7.7535467565290643</v>
      </c>
      <c r="P38" s="288">
        <f t="shared" si="35"/>
        <v>7.4988695652173911</v>
      </c>
      <c r="Q38" s="288">
        <f t="shared" si="35"/>
        <v>7.1714760914760909</v>
      </c>
      <c r="R38" s="288">
        <f t="shared" si="35"/>
        <v>10.364444444444445</v>
      </c>
      <c r="S38" s="288">
        <f t="shared" si="35"/>
        <v>9.3058823529411772</v>
      </c>
      <c r="T38" s="289">
        <f t="shared" si="35"/>
        <v>9.0400000000000009</v>
      </c>
    </row>
    <row r="39" spans="2:23">
      <c r="B39" s="62"/>
      <c r="N39" s="10"/>
    </row>
  </sheetData>
  <phoneticPr fontId="5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22"/>
  <sheetViews>
    <sheetView showGridLines="0" workbookViewId="0">
      <selection activeCell="H25" sqref="H25"/>
    </sheetView>
  </sheetViews>
  <sheetFormatPr defaultColWidth="9.109375" defaultRowHeight="13.2"/>
  <cols>
    <col min="1" max="1" width="1.6640625" style="9" customWidth="1"/>
    <col min="2" max="2" width="35.109375" style="9" customWidth="1"/>
    <col min="3" max="3" width="23.109375" style="9" bestFit="1" customWidth="1"/>
    <col min="4" max="4" width="13.44140625" style="9" customWidth="1"/>
    <col min="5" max="16" width="10.109375" style="9" customWidth="1"/>
    <col min="17" max="16384" width="9.109375" style="9"/>
  </cols>
  <sheetData>
    <row r="2" spans="2:14" s="128" customFormat="1" ht="21">
      <c r="B2" s="129" t="s">
        <v>164</v>
      </c>
    </row>
    <row r="4" spans="2:14">
      <c r="B4" s="62" t="s">
        <v>159</v>
      </c>
    </row>
    <row r="5" spans="2:14" ht="14.4">
      <c r="B5" s="112" t="s">
        <v>128</v>
      </c>
      <c r="C5" s="16"/>
      <c r="D5" s="16"/>
      <c r="E5" s="11"/>
      <c r="F5" s="11"/>
      <c r="G5" s="11"/>
      <c r="H5" s="11"/>
      <c r="I5" s="11"/>
      <c r="J5" s="11"/>
    </row>
    <row r="6" spans="2:14" ht="14.4">
      <c r="B6" s="11"/>
      <c r="C6" s="11"/>
      <c r="D6" s="11"/>
      <c r="E6" s="11"/>
      <c r="F6" s="11"/>
      <c r="G6" s="11"/>
      <c r="H6" s="11"/>
      <c r="I6" s="11"/>
      <c r="J6" s="11"/>
    </row>
    <row r="7" spans="2:14">
      <c r="B7" s="25" t="str">
        <f>TEXT(Company_Name,"")&amp; " - Comparable M&amp;A Transactions"</f>
        <v>Whole Foods - Comparable M&amp;A Transactions</v>
      </c>
      <c r="C7" s="26"/>
      <c r="D7" s="26"/>
      <c r="E7" s="91"/>
      <c r="F7" s="91"/>
      <c r="G7" s="92" t="s">
        <v>36</v>
      </c>
      <c r="H7" s="92"/>
      <c r="I7" s="93"/>
      <c r="J7" s="93"/>
      <c r="K7" s="92" t="s">
        <v>37</v>
      </c>
      <c r="L7" s="92"/>
      <c r="M7" s="92"/>
      <c r="N7" s="94"/>
    </row>
    <row r="8" spans="2:14">
      <c r="B8" s="95"/>
      <c r="C8" s="96"/>
      <c r="D8" s="96"/>
      <c r="E8" s="86"/>
      <c r="F8" s="86"/>
      <c r="G8" s="87"/>
      <c r="H8" s="87"/>
      <c r="I8" s="97"/>
      <c r="J8" s="97"/>
      <c r="K8" s="86" t="s">
        <v>38</v>
      </c>
      <c r="L8" s="86" t="s">
        <v>38</v>
      </c>
      <c r="M8" s="86" t="s">
        <v>38</v>
      </c>
      <c r="N8" s="88" t="s">
        <v>38</v>
      </c>
    </row>
    <row r="9" spans="2:14">
      <c r="B9" s="85"/>
      <c r="C9" s="98"/>
      <c r="D9" s="86"/>
      <c r="E9" s="86" t="s">
        <v>13</v>
      </c>
      <c r="F9" s="86" t="s">
        <v>17</v>
      </c>
      <c r="G9" s="86" t="s">
        <v>39</v>
      </c>
      <c r="H9" s="86" t="s">
        <v>40</v>
      </c>
      <c r="I9" s="86" t="s">
        <v>39</v>
      </c>
      <c r="J9" s="86" t="s">
        <v>40</v>
      </c>
      <c r="K9" s="86" t="s">
        <v>39</v>
      </c>
      <c r="L9" s="86" t="s">
        <v>40</v>
      </c>
      <c r="M9" s="86" t="s">
        <v>39</v>
      </c>
      <c r="N9" s="88" t="s">
        <v>40</v>
      </c>
    </row>
    <row r="10" spans="2:14">
      <c r="B10" s="290" t="s">
        <v>41</v>
      </c>
      <c r="C10" s="86" t="s">
        <v>42</v>
      </c>
      <c r="D10" s="86" t="s">
        <v>43</v>
      </c>
      <c r="E10" s="86" t="s">
        <v>24</v>
      </c>
      <c r="F10" s="86" t="s">
        <v>24</v>
      </c>
      <c r="G10" s="86" t="s">
        <v>18</v>
      </c>
      <c r="H10" s="86" t="s">
        <v>18</v>
      </c>
      <c r="I10" s="86" t="s">
        <v>19</v>
      </c>
      <c r="J10" s="86" t="s">
        <v>19</v>
      </c>
      <c r="K10" s="86" t="s">
        <v>18</v>
      </c>
      <c r="L10" s="86" t="s">
        <v>18</v>
      </c>
      <c r="M10" s="86" t="s">
        <v>19</v>
      </c>
      <c r="N10" s="88" t="s">
        <v>19</v>
      </c>
    </row>
    <row r="11" spans="2:14">
      <c r="B11" s="117" t="s">
        <v>115</v>
      </c>
      <c r="C11" s="114" t="s">
        <v>114</v>
      </c>
      <c r="D11" s="118" t="s">
        <v>116</v>
      </c>
      <c r="E11" s="119">
        <v>11931.42</v>
      </c>
      <c r="F11" s="120">
        <v>13230</v>
      </c>
      <c r="G11" s="119">
        <v>29377.8</v>
      </c>
      <c r="H11" s="119">
        <v>29400.6</v>
      </c>
      <c r="I11" s="120">
        <v>1349.7</v>
      </c>
      <c r="J11" s="120">
        <v>1982.5</v>
      </c>
      <c r="K11" s="160">
        <f>$E11/G11</f>
        <v>0.40613728733941956</v>
      </c>
      <c r="L11" s="160">
        <f t="shared" ref="L11:N11" si="0">$E11/H11</f>
        <v>0.40582233015652747</v>
      </c>
      <c r="M11" s="160">
        <f t="shared" si="0"/>
        <v>8.8400533451878189</v>
      </c>
      <c r="N11" s="161">
        <f t="shared" si="0"/>
        <v>6.0183707440100882</v>
      </c>
    </row>
    <row r="12" spans="2:14">
      <c r="B12" s="31" t="s">
        <v>123</v>
      </c>
      <c r="C12" s="100" t="s">
        <v>138</v>
      </c>
      <c r="D12" s="121" t="s">
        <v>124</v>
      </c>
      <c r="E12" s="122">
        <v>1365</v>
      </c>
      <c r="F12" s="122">
        <v>1365</v>
      </c>
      <c r="G12" s="122">
        <v>4623</v>
      </c>
      <c r="H12" s="122">
        <v>4438</v>
      </c>
      <c r="I12" s="122">
        <v>203</v>
      </c>
      <c r="J12" s="122">
        <v>195</v>
      </c>
      <c r="K12" s="162">
        <f t="shared" ref="K12:K16" si="1">$E12/G12</f>
        <v>0.29526281635301754</v>
      </c>
      <c r="L12" s="162">
        <f t="shared" ref="L12:L16" si="2">$E12/H12</f>
        <v>0.30757097791798105</v>
      </c>
      <c r="M12" s="162">
        <f t="shared" ref="M12:M16" si="3">$E12/I12</f>
        <v>6.7241379310344831</v>
      </c>
      <c r="N12" s="163">
        <f t="shared" ref="N12:N16" si="4">$E12/J12</f>
        <v>7</v>
      </c>
    </row>
    <row r="13" spans="2:14">
      <c r="B13" s="31" t="s">
        <v>119</v>
      </c>
      <c r="C13" s="32" t="s">
        <v>117</v>
      </c>
      <c r="D13" s="121" t="s">
        <v>118</v>
      </c>
      <c r="E13" s="122">
        <v>1255.3699999999999</v>
      </c>
      <c r="F13" s="122">
        <v>3121.27</v>
      </c>
      <c r="G13" s="122">
        <v>15736</v>
      </c>
      <c r="H13" s="122">
        <v>15587</v>
      </c>
      <c r="I13" s="122">
        <v>323</v>
      </c>
      <c r="J13" s="122">
        <v>341</v>
      </c>
      <c r="K13" s="162">
        <f t="shared" si="1"/>
        <v>7.9776944585663437E-2</v>
      </c>
      <c r="L13" s="162">
        <f t="shared" si="2"/>
        <v>8.0539552190928329E-2</v>
      </c>
      <c r="M13" s="162">
        <f t="shared" si="3"/>
        <v>3.8865944272445816</v>
      </c>
      <c r="N13" s="163">
        <f t="shared" si="4"/>
        <v>3.6814369501466273</v>
      </c>
    </row>
    <row r="14" spans="2:14">
      <c r="B14" s="31" t="s">
        <v>121</v>
      </c>
      <c r="C14" s="100" t="s">
        <v>120</v>
      </c>
      <c r="D14" s="121" t="s">
        <v>122</v>
      </c>
      <c r="E14" s="122">
        <v>1339.27</v>
      </c>
      <c r="F14" s="122">
        <v>1334.43</v>
      </c>
      <c r="G14" s="122">
        <v>1852</v>
      </c>
      <c r="H14" s="122">
        <v>1994</v>
      </c>
      <c r="I14" s="122">
        <v>177</v>
      </c>
      <c r="J14" s="122">
        <v>196</v>
      </c>
      <c r="K14" s="162">
        <f t="shared" si="1"/>
        <v>0.72314794816414685</v>
      </c>
      <c r="L14" s="162">
        <f t="shared" si="2"/>
        <v>0.67164994984954862</v>
      </c>
      <c r="M14" s="162">
        <f t="shared" si="3"/>
        <v>7.5664971751412429</v>
      </c>
      <c r="N14" s="163">
        <f t="shared" si="4"/>
        <v>6.8330102040816323</v>
      </c>
    </row>
    <row r="15" spans="2:14">
      <c r="B15" s="31" t="s">
        <v>141</v>
      </c>
      <c r="C15" s="100" t="s">
        <v>142</v>
      </c>
      <c r="D15" s="121" t="s">
        <v>143</v>
      </c>
      <c r="E15" s="122">
        <v>1437.17</v>
      </c>
      <c r="F15" s="122">
        <v>3963.66</v>
      </c>
      <c r="G15" s="122">
        <v>7861.7</v>
      </c>
      <c r="H15" s="122">
        <v>10118.700000000001</v>
      </c>
      <c r="I15" s="122">
        <v>547.9</v>
      </c>
      <c r="J15" s="122">
        <v>651</v>
      </c>
      <c r="K15" s="162">
        <f t="shared" si="1"/>
        <v>0.18280651767429437</v>
      </c>
      <c r="L15" s="162">
        <f t="shared" si="2"/>
        <v>0.14203109095041852</v>
      </c>
      <c r="M15" s="162">
        <f t="shared" si="3"/>
        <v>2.6230516517612705</v>
      </c>
      <c r="N15" s="163">
        <f t="shared" si="4"/>
        <v>2.2076344086021504</v>
      </c>
    </row>
    <row r="16" spans="2:14">
      <c r="B16" s="123" t="s">
        <v>139</v>
      </c>
      <c r="C16" s="124" t="s">
        <v>140</v>
      </c>
      <c r="D16" s="125" t="s">
        <v>125</v>
      </c>
      <c r="E16" s="126">
        <v>2442.52</v>
      </c>
      <c r="F16" s="126">
        <v>2460.9299999999998</v>
      </c>
      <c r="G16" s="126">
        <v>4658.8</v>
      </c>
      <c r="H16" s="126">
        <v>5133</v>
      </c>
      <c r="I16" s="126">
        <v>336.9</v>
      </c>
      <c r="J16" s="126">
        <v>386</v>
      </c>
      <c r="K16" s="164">
        <f t="shared" si="1"/>
        <v>0.52428093071177129</v>
      </c>
      <c r="L16" s="164">
        <f t="shared" si="2"/>
        <v>0.47584648353789205</v>
      </c>
      <c r="M16" s="164">
        <f t="shared" si="3"/>
        <v>7.2499851588008317</v>
      </c>
      <c r="N16" s="165">
        <f t="shared" si="4"/>
        <v>6.3277720207253889</v>
      </c>
    </row>
    <row r="17" spans="2:14">
      <c r="B17" s="24"/>
      <c r="C17" s="232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2:14">
      <c r="B18" s="100"/>
      <c r="C18" s="233" t="s">
        <v>80</v>
      </c>
      <c r="D18" s="214"/>
      <c r="E18" s="215">
        <f>MAX(E11:E16)</f>
        <v>11931.42</v>
      </c>
      <c r="F18" s="215">
        <f t="shared" ref="E18:J18" si="5">MAX(F11:F16)</f>
        <v>13230</v>
      </c>
      <c r="G18" s="215">
        <f t="shared" si="5"/>
        <v>29377.8</v>
      </c>
      <c r="H18" s="215">
        <f t="shared" si="5"/>
        <v>29400.6</v>
      </c>
      <c r="I18" s="215">
        <f t="shared" si="5"/>
        <v>1349.7</v>
      </c>
      <c r="J18" s="215">
        <f t="shared" si="5"/>
        <v>1982.5</v>
      </c>
      <c r="K18" s="221">
        <f>MAX(K11:K16)</f>
        <v>0.72314794816414685</v>
      </c>
      <c r="L18" s="221">
        <f t="shared" ref="L18:N18" si="6">MAX(L11:L16)</f>
        <v>0.67164994984954862</v>
      </c>
      <c r="M18" s="221">
        <f t="shared" si="6"/>
        <v>8.8400533451878189</v>
      </c>
      <c r="N18" s="222">
        <f t="shared" si="6"/>
        <v>7</v>
      </c>
    </row>
    <row r="19" spans="2:14">
      <c r="B19" s="101"/>
      <c r="C19" s="234" t="s">
        <v>31</v>
      </c>
      <c r="D19" s="216"/>
      <c r="E19" s="220">
        <f>QUARTILE(E11:E16,3)</f>
        <v>2191.1824999999999</v>
      </c>
      <c r="F19" s="220">
        <f t="shared" ref="F19:J19" si="7">QUARTILE(F11:F16,3)</f>
        <v>3753.0625</v>
      </c>
      <c r="G19" s="220">
        <f t="shared" si="7"/>
        <v>13767.424999999999</v>
      </c>
      <c r="H19" s="220">
        <f t="shared" si="7"/>
        <v>14219.924999999999</v>
      </c>
      <c r="I19" s="220">
        <f t="shared" si="7"/>
        <v>495.15</v>
      </c>
      <c r="J19" s="220">
        <f t="shared" si="7"/>
        <v>584.75</v>
      </c>
      <c r="K19" s="223">
        <f>QUARTILE(K11:K16,3)</f>
        <v>0.49474501986868336</v>
      </c>
      <c r="L19" s="223">
        <f t="shared" ref="L19:N19" si="8">QUARTILE(L11:L16,3)</f>
        <v>0.4583404451925509</v>
      </c>
      <c r="M19" s="223">
        <f t="shared" si="8"/>
        <v>7.4873691710561401</v>
      </c>
      <c r="N19" s="224">
        <f t="shared" si="8"/>
        <v>6.7067006582425712</v>
      </c>
    </row>
    <row r="20" spans="2:14">
      <c r="B20" s="100"/>
      <c r="C20" s="234" t="s">
        <v>79</v>
      </c>
      <c r="D20" s="216"/>
      <c r="E20" s="219">
        <f t="shared" ref="E20:J20" si="9">MEDIAN(E11:E16)</f>
        <v>1401.085</v>
      </c>
      <c r="F20" s="219">
        <f t="shared" si="9"/>
        <v>2791.1</v>
      </c>
      <c r="G20" s="219">
        <f t="shared" si="9"/>
        <v>6260.25</v>
      </c>
      <c r="H20" s="219">
        <f t="shared" si="9"/>
        <v>7625.85</v>
      </c>
      <c r="I20" s="219">
        <f t="shared" si="9"/>
        <v>329.95</v>
      </c>
      <c r="J20" s="219">
        <f t="shared" si="9"/>
        <v>363.5</v>
      </c>
      <c r="K20" s="223">
        <f>MEDIAN(K11:K16)</f>
        <v>0.35070005184621855</v>
      </c>
      <c r="L20" s="223">
        <f t="shared" ref="L20:N20" si="10">MEDIAN(L11:L16)</f>
        <v>0.35669665403725426</v>
      </c>
      <c r="M20" s="223">
        <f t="shared" si="10"/>
        <v>6.9870615449176574</v>
      </c>
      <c r="N20" s="224">
        <f t="shared" si="10"/>
        <v>6.1730713823677386</v>
      </c>
    </row>
    <row r="21" spans="2:14">
      <c r="C21" s="234" t="s">
        <v>32</v>
      </c>
      <c r="D21" s="216"/>
      <c r="E21" s="220">
        <f t="shared" ref="E21:J21" si="11">QUARTILE(E11:E16,1)</f>
        <v>1345.7024999999999</v>
      </c>
      <c r="F21" s="220">
        <f t="shared" si="11"/>
        <v>1638.9825000000001</v>
      </c>
      <c r="G21" s="220">
        <f t="shared" si="11"/>
        <v>4631.95</v>
      </c>
      <c r="H21" s="220">
        <f t="shared" si="11"/>
        <v>4611.75</v>
      </c>
      <c r="I21" s="220">
        <f t="shared" si="11"/>
        <v>233</v>
      </c>
      <c r="J21" s="220">
        <f t="shared" si="11"/>
        <v>232.25</v>
      </c>
      <c r="K21" s="223">
        <f>QUARTILE(K11:K16,1)</f>
        <v>0.21092059234397517</v>
      </c>
      <c r="L21" s="223">
        <f t="shared" ref="L21:N21" si="12">QUARTILE(L11:L16,1)</f>
        <v>0.18341606269230915</v>
      </c>
      <c r="M21" s="223">
        <f t="shared" si="12"/>
        <v>4.5959803031920572</v>
      </c>
      <c r="N21" s="224">
        <f t="shared" si="12"/>
        <v>4.2656703986124924</v>
      </c>
    </row>
    <row r="22" spans="2:14">
      <c r="C22" s="235" t="s">
        <v>77</v>
      </c>
      <c r="D22" s="217"/>
      <c r="E22" s="218">
        <f t="shared" ref="E22:J22" si="13">MIN(E11:E16)</f>
        <v>1255.3699999999999</v>
      </c>
      <c r="F22" s="218">
        <f t="shared" si="13"/>
        <v>1334.43</v>
      </c>
      <c r="G22" s="218">
        <f t="shared" si="13"/>
        <v>1852</v>
      </c>
      <c r="H22" s="218">
        <f t="shared" si="13"/>
        <v>1994</v>
      </c>
      <c r="I22" s="218">
        <f t="shared" si="13"/>
        <v>177</v>
      </c>
      <c r="J22" s="218">
        <f t="shared" si="13"/>
        <v>195</v>
      </c>
      <c r="K22" s="225">
        <f>MIN(K11:K16)</f>
        <v>7.9776944585663437E-2</v>
      </c>
      <c r="L22" s="225">
        <f t="shared" ref="L22:N22" si="14">MIN(L11:L16)</f>
        <v>8.0539552190928329E-2</v>
      </c>
      <c r="M22" s="225">
        <f t="shared" si="14"/>
        <v>2.6230516517612705</v>
      </c>
      <c r="N22" s="226">
        <f t="shared" si="14"/>
        <v>2.2076344086021504</v>
      </c>
    </row>
  </sheetData>
  <phoneticPr fontId="5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33"/>
  <sheetViews>
    <sheetView showGridLines="0" workbookViewId="0">
      <selection activeCell="K22" sqref="K22"/>
    </sheetView>
  </sheetViews>
  <sheetFormatPr defaultColWidth="9.109375" defaultRowHeight="13.2"/>
  <cols>
    <col min="1" max="1" width="4.33203125" style="9" customWidth="1"/>
    <col min="2" max="2" width="27.33203125" style="9" bestFit="1" customWidth="1"/>
    <col min="3" max="3" width="9.6640625" style="9" bestFit="1" customWidth="1"/>
    <col min="4" max="4" width="14" style="9" customWidth="1"/>
    <col min="5" max="5" width="14.77734375" style="9" customWidth="1"/>
    <col min="6" max="6" width="9.109375" style="9"/>
    <col min="7" max="7" width="20.33203125" style="9" customWidth="1"/>
    <col min="8" max="9" width="9.109375" style="9"/>
    <col min="10" max="10" width="15.33203125" style="9" customWidth="1"/>
    <col min="11" max="16384" width="9.109375" style="9"/>
  </cols>
  <sheetData>
    <row r="2" spans="2:10" s="128" customFormat="1" ht="21">
      <c r="B2" s="129" t="s">
        <v>61</v>
      </c>
    </row>
    <row r="4" spans="2:10">
      <c r="B4" s="53" t="s">
        <v>158</v>
      </c>
      <c r="C4" s="54"/>
      <c r="D4" s="54"/>
      <c r="E4" s="54"/>
      <c r="F4" s="54"/>
      <c r="G4" s="54"/>
      <c r="H4" s="54"/>
      <c r="I4" s="54"/>
      <c r="J4" s="54"/>
    </row>
    <row r="5" spans="2:10" ht="14.4">
      <c r="B5" s="112" t="s">
        <v>128</v>
      </c>
      <c r="C5" s="54"/>
      <c r="D5" s="54"/>
      <c r="E5" s="54"/>
      <c r="F5" s="54"/>
      <c r="G5" s="54"/>
      <c r="H5" s="54"/>
      <c r="I5" s="54"/>
      <c r="J5" s="54"/>
    </row>
    <row r="6" spans="2:10">
      <c r="B6" s="54"/>
      <c r="C6" s="54"/>
      <c r="D6" s="54"/>
      <c r="E6" s="54"/>
      <c r="F6" s="54"/>
      <c r="G6" s="54"/>
      <c r="H6" s="54"/>
      <c r="I6" s="54"/>
      <c r="J6" s="54"/>
    </row>
    <row r="7" spans="2:10">
      <c r="B7" s="45" t="s">
        <v>56</v>
      </c>
      <c r="C7" s="46"/>
      <c r="D7" s="47"/>
      <c r="F7" s="54"/>
      <c r="G7" s="54"/>
      <c r="H7" s="54"/>
      <c r="I7" s="54"/>
      <c r="J7" s="54"/>
    </row>
    <row r="8" spans="2:10" ht="13.05" customHeight="1">
      <c r="B8" s="42" t="s">
        <v>57</v>
      </c>
      <c r="C8" s="111"/>
      <c r="D8" s="170">
        <v>2.5499999999999998E-2</v>
      </c>
      <c r="F8" s="54"/>
      <c r="G8"/>
      <c r="H8" s="54"/>
      <c r="I8" s="54"/>
      <c r="J8" s="54"/>
    </row>
    <row r="9" spans="2:10">
      <c r="B9" s="42" t="s">
        <v>58</v>
      </c>
      <c r="C9" s="110"/>
      <c r="D9" s="170">
        <v>7.0000000000000007E-2</v>
      </c>
      <c r="F9" s="54"/>
      <c r="G9" s="54"/>
      <c r="H9" s="54"/>
      <c r="I9" s="54"/>
      <c r="J9" s="54"/>
    </row>
    <row r="10" spans="2:10">
      <c r="B10" s="55" t="s">
        <v>1</v>
      </c>
      <c r="C10" s="109"/>
      <c r="D10" s="171">
        <v>2.9600000000000001E-2</v>
      </c>
      <c r="F10" s="54"/>
      <c r="G10" s="54"/>
      <c r="H10" s="54"/>
      <c r="I10" s="54"/>
      <c r="J10" s="102"/>
    </row>
    <row r="11" spans="2:10">
      <c r="B11" s="54"/>
      <c r="C11" s="54"/>
      <c r="D11" s="54"/>
      <c r="E11" s="54"/>
      <c r="F11" s="54"/>
      <c r="G11" s="54"/>
      <c r="H11" s="54"/>
      <c r="I11" s="54"/>
      <c r="J11" s="54"/>
    </row>
    <row r="12" spans="2:10">
      <c r="B12" s="60"/>
      <c r="C12" s="60"/>
      <c r="D12" s="60"/>
      <c r="E12" s="60"/>
      <c r="F12" s="60"/>
      <c r="G12" s="61"/>
      <c r="H12" s="54"/>
      <c r="I12" s="54"/>
      <c r="J12" s="57"/>
    </row>
    <row r="13" spans="2:10">
      <c r="B13" s="45" t="s">
        <v>85</v>
      </c>
      <c r="C13" s="46"/>
      <c r="D13" s="172"/>
      <c r="E13" s="172" t="s">
        <v>13</v>
      </c>
      <c r="F13" s="172"/>
      <c r="G13" s="172" t="s">
        <v>87</v>
      </c>
      <c r="H13" s="54"/>
      <c r="I13" s="54"/>
      <c r="J13" s="54"/>
    </row>
    <row r="14" spans="2:10">
      <c r="B14" s="58"/>
      <c r="C14" s="59"/>
      <c r="D14" s="172" t="s">
        <v>26</v>
      </c>
      <c r="E14" s="172" t="s">
        <v>24</v>
      </c>
      <c r="F14" s="172" t="s">
        <v>60</v>
      </c>
      <c r="G14" s="172" t="s">
        <v>59</v>
      </c>
      <c r="H14" s="54"/>
      <c r="I14" s="57"/>
      <c r="J14" s="54"/>
    </row>
    <row r="15" spans="2:10" ht="4.95" customHeight="1">
      <c r="B15" s="177"/>
      <c r="C15" s="178"/>
      <c r="D15" s="179"/>
      <c r="E15" s="179"/>
      <c r="F15" s="179"/>
      <c r="G15" s="180"/>
      <c r="H15" s="54"/>
      <c r="I15" s="54"/>
      <c r="J15" s="54"/>
    </row>
    <row r="16" spans="2:10">
      <c r="B16" s="181" t="s">
        <v>134</v>
      </c>
      <c r="C16" s="169"/>
      <c r="D16" s="173">
        <f>'Trading Comps'!G11</f>
        <v>1083</v>
      </c>
      <c r="E16" s="174">
        <f>'Trading Comps'!E11</f>
        <v>11130</v>
      </c>
      <c r="F16" s="175">
        <v>0.21</v>
      </c>
      <c r="G16" s="182">
        <v>0.6</v>
      </c>
      <c r="H16" s="54"/>
      <c r="I16" s="54"/>
      <c r="J16" s="54"/>
    </row>
    <row r="17" spans="2:16">
      <c r="B17" s="181" t="s">
        <v>86</v>
      </c>
      <c r="C17" s="168"/>
      <c r="D17" s="176"/>
      <c r="E17" s="176"/>
      <c r="F17" s="176"/>
      <c r="G17" s="183">
        <f>D8+G16*D9</f>
        <v>6.7500000000000004E-2</v>
      </c>
      <c r="H17" s="54"/>
      <c r="I17" s="54"/>
      <c r="J17" s="54"/>
    </row>
    <row r="18" spans="2:16">
      <c r="B18" s="184" t="s">
        <v>61</v>
      </c>
      <c r="C18" s="185"/>
      <c r="D18" s="186"/>
      <c r="E18" s="186"/>
      <c r="F18" s="186"/>
      <c r="G18" s="187">
        <f>(E16/(D16+E16))*G17+(D16/(D16+E16))*D10</f>
        <v>6.4139179562760995E-2</v>
      </c>
      <c r="H18" s="54"/>
      <c r="I18" s="54"/>
      <c r="J18" s="54"/>
      <c r="P18" s="23"/>
    </row>
    <row r="19" spans="2:16">
      <c r="B19" s="167"/>
      <c r="C19" s="167"/>
      <c r="D19" s="167"/>
      <c r="E19" s="167"/>
      <c r="F19" s="167"/>
      <c r="G19" s="167"/>
      <c r="H19" s="54"/>
      <c r="I19" s="54"/>
      <c r="J19" s="54"/>
    </row>
    <row r="20" spans="2:16">
      <c r="H20" s="54"/>
      <c r="I20" s="54"/>
      <c r="J20" s="54"/>
    </row>
    <row r="21" spans="2:16">
      <c r="B21" s="167"/>
      <c r="C21" s="167"/>
      <c r="D21" s="167"/>
      <c r="E21" s="167"/>
      <c r="F21" s="167"/>
      <c r="G21" s="167"/>
      <c r="H21" s="54"/>
      <c r="I21" s="54"/>
      <c r="J21" s="54"/>
    </row>
    <row r="22" spans="2:16" ht="14.4">
      <c r="H22"/>
      <c r="I22"/>
      <c r="J22"/>
      <c r="K22"/>
    </row>
    <row r="23" spans="2:16" ht="14.4">
      <c r="B23" s="6"/>
      <c r="C23" s="6"/>
      <c r="D23" s="6"/>
      <c r="E23" s="6"/>
      <c r="F23" s="6"/>
      <c r="G23" s="6"/>
      <c r="H23"/>
      <c r="I23"/>
      <c r="J23"/>
      <c r="K23"/>
    </row>
    <row r="24" spans="2:16" ht="14.4">
      <c r="H24"/>
      <c r="I24"/>
      <c r="J24"/>
      <c r="K24"/>
    </row>
    <row r="25" spans="2:16" ht="14.4">
      <c r="H25"/>
      <c r="I25"/>
      <c r="J25"/>
      <c r="K25"/>
    </row>
    <row r="26" spans="2:16" ht="14.4">
      <c r="H26"/>
      <c r="I26"/>
      <c r="J26"/>
      <c r="K26"/>
    </row>
    <row r="27" spans="2:16" ht="14.4">
      <c r="H27"/>
      <c r="I27"/>
      <c r="J27"/>
      <c r="K27"/>
    </row>
    <row r="28" spans="2:16" ht="14.4">
      <c r="H28"/>
      <c r="I28"/>
      <c r="J28"/>
      <c r="K28"/>
    </row>
    <row r="29" spans="2:16" ht="14.4">
      <c r="H29"/>
      <c r="I29"/>
      <c r="J29"/>
      <c r="K29"/>
    </row>
    <row r="30" spans="2:16" ht="14.4">
      <c r="H30"/>
      <c r="I30"/>
      <c r="J30"/>
      <c r="K30"/>
    </row>
    <row r="31" spans="2:16" ht="14.4">
      <c r="H31"/>
      <c r="I31"/>
      <c r="J31"/>
      <c r="K31"/>
    </row>
    <row r="32" spans="2:16" ht="14.4">
      <c r="H32"/>
      <c r="I32"/>
      <c r="J32"/>
      <c r="K32"/>
    </row>
    <row r="33" spans="8:11" ht="14.4">
      <c r="H33"/>
      <c r="I33"/>
      <c r="J33"/>
      <c r="K33"/>
    </row>
  </sheetData>
  <phoneticPr fontId="5" type="noConversion"/>
  <pageMargins left="0.75" right="0.75" top="1" bottom="1" header="0.5" footer="0.5"/>
  <pageSetup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53"/>
  <sheetViews>
    <sheetView showGridLines="0" topLeftCell="I4" workbookViewId="0">
      <selection activeCell="W23" sqref="W23"/>
    </sheetView>
  </sheetViews>
  <sheetFormatPr defaultColWidth="9.109375" defaultRowHeight="13.2"/>
  <cols>
    <col min="1" max="1" width="2.6640625" style="9" customWidth="1"/>
    <col min="2" max="3" width="9.109375" style="9" customWidth="1"/>
    <col min="4" max="4" width="14.33203125" style="9" customWidth="1"/>
    <col min="5" max="5" width="14.77734375" style="9" customWidth="1"/>
    <col min="6" max="6" width="15.33203125" style="9" customWidth="1"/>
    <col min="7" max="7" width="13.77734375" style="9" customWidth="1"/>
    <col min="8" max="8" width="15.109375" style="9" customWidth="1"/>
    <col min="9" max="9" width="14.6640625" style="9" customWidth="1"/>
    <col min="10" max="10" width="13.33203125" style="9" customWidth="1"/>
    <col min="11" max="11" width="15.44140625" style="9" customWidth="1"/>
    <col min="12" max="13" width="14.44140625" style="9" customWidth="1"/>
    <col min="14" max="14" width="2.33203125" style="9" customWidth="1"/>
    <col min="15" max="15" width="22.77734375" style="9" customWidth="1"/>
    <col min="16" max="17" width="9.109375" style="9"/>
    <col min="18" max="18" width="18.33203125" style="9" bestFit="1" customWidth="1"/>
    <col min="19" max="16384" width="9.109375" style="9"/>
  </cols>
  <sheetData>
    <row r="2" spans="2:18" s="129" customFormat="1" ht="21">
      <c r="B2" s="129" t="s">
        <v>167</v>
      </c>
    </row>
    <row r="4" spans="2:18" ht="14.4">
      <c r="B4" s="53" t="s">
        <v>159</v>
      </c>
      <c r="C4" s="24"/>
      <c r="D4" s="24"/>
      <c r="E4" s="24"/>
      <c r="F4" s="24"/>
      <c r="G4" s="24"/>
      <c r="H4" s="24"/>
      <c r="I4" s="24"/>
      <c r="J4" s="24"/>
      <c r="K4" s="11"/>
      <c r="L4" s="11"/>
      <c r="M4" s="11"/>
      <c r="N4" s="11"/>
      <c r="O4" s="11"/>
    </row>
    <row r="5" spans="2:18" ht="14.4">
      <c r="B5" s="112" t="s">
        <v>128</v>
      </c>
      <c r="C5" s="24"/>
      <c r="D5" s="24"/>
      <c r="E5" s="24"/>
      <c r="F5" s="24"/>
      <c r="G5" s="24"/>
      <c r="H5" s="24"/>
      <c r="I5" s="24"/>
      <c r="J5" s="24"/>
      <c r="K5" s="11"/>
      <c r="L5" s="11"/>
      <c r="M5" s="11"/>
      <c r="N5" s="11"/>
      <c r="O5" s="11"/>
    </row>
    <row r="6" spans="2:18" ht="14.4">
      <c r="B6" s="24"/>
      <c r="C6" s="24"/>
      <c r="D6" s="24"/>
      <c r="E6" s="24"/>
      <c r="F6" s="24"/>
      <c r="G6" s="24"/>
      <c r="H6" s="24"/>
      <c r="I6" s="24"/>
      <c r="J6" s="24"/>
      <c r="K6" s="11"/>
      <c r="L6" s="11"/>
      <c r="M6" s="11"/>
      <c r="N6" s="11"/>
      <c r="O6" s="11"/>
    </row>
    <row r="7" spans="2:18" ht="14.4">
      <c r="B7" s="25" t="str">
        <f>TEXT(Company_Name,"")&amp; " - Cash Flow Projections"</f>
        <v>Whole Foods - Cash Flow Projections</v>
      </c>
      <c r="C7" s="26"/>
      <c r="D7" s="26"/>
      <c r="E7" s="26"/>
      <c r="F7" s="210" t="s">
        <v>68</v>
      </c>
      <c r="G7" s="211"/>
      <c r="H7" s="211"/>
      <c r="I7" s="293" t="s">
        <v>67</v>
      </c>
      <c r="J7" s="210"/>
      <c r="K7" s="210"/>
      <c r="L7" s="210"/>
      <c r="M7" s="212"/>
      <c r="N7" s="11"/>
      <c r="O7" s="45" t="str">
        <f>TEXT(B4,"")&amp; " - DCF Assumptions &amp; Output"</f>
        <v>Whole Foods - DCF Assumptions &amp; Output</v>
      </c>
      <c r="P7" s="46"/>
      <c r="Q7" s="46"/>
      <c r="R7" s="47"/>
    </row>
    <row r="8" spans="2:18" ht="14.4">
      <c r="B8" s="27"/>
      <c r="C8" s="28"/>
      <c r="D8" s="28"/>
      <c r="E8" s="28"/>
      <c r="F8" s="29">
        <v>2015</v>
      </c>
      <c r="G8" s="29">
        <f>H8-1</f>
        <v>2016</v>
      </c>
      <c r="H8" s="29">
        <v>2017</v>
      </c>
      <c r="I8" s="99">
        <f>H8+1</f>
        <v>2018</v>
      </c>
      <c r="J8" s="287">
        <f>I8+1</f>
        <v>2019</v>
      </c>
      <c r="K8" s="287">
        <f>J8+1</f>
        <v>2020</v>
      </c>
      <c r="L8" s="287">
        <f>K8+1</f>
        <v>2021</v>
      </c>
      <c r="M8" s="30">
        <f>L8+1</f>
        <v>2022</v>
      </c>
      <c r="N8" s="11"/>
      <c r="O8" s="295"/>
      <c r="P8" s="296"/>
      <c r="Q8" s="296"/>
      <c r="R8" s="297"/>
    </row>
    <row r="9" spans="2:18" ht="14.4">
      <c r="B9" s="31"/>
      <c r="C9" s="32"/>
      <c r="D9" s="32"/>
      <c r="E9" s="32"/>
      <c r="F9" s="32"/>
      <c r="G9" s="32"/>
      <c r="H9" s="32"/>
      <c r="I9" s="31"/>
      <c r="J9" s="33"/>
      <c r="K9" s="33"/>
      <c r="L9" s="33"/>
      <c r="M9" s="115"/>
      <c r="N9" s="11"/>
      <c r="O9" s="42"/>
      <c r="P9" s="43"/>
      <c r="Q9" s="43"/>
      <c r="R9" s="48"/>
    </row>
    <row r="10" spans="2:18" ht="14.4">
      <c r="B10" s="34" t="s">
        <v>133</v>
      </c>
      <c r="C10" s="32"/>
      <c r="D10" s="32"/>
      <c r="E10" s="32"/>
      <c r="F10" s="166">
        <v>15389</v>
      </c>
      <c r="G10" s="166">
        <v>15724</v>
      </c>
      <c r="H10" s="166">
        <v>16030</v>
      </c>
      <c r="I10" s="200">
        <f>H10*(1+I37)</f>
        <v>16360.454385728382</v>
      </c>
      <c r="J10" s="194">
        <f t="shared" ref="J10:M10" si="0">I10*(1+J37)</f>
        <v>16688.280618266523</v>
      </c>
      <c r="K10" s="194">
        <f t="shared" si="0"/>
        <v>17027.490516835314</v>
      </c>
      <c r="L10" s="194">
        <f t="shared" si="0"/>
        <v>17371.138954485577</v>
      </c>
      <c r="M10" s="195">
        <f t="shared" si="0"/>
        <v>17722.975844385088</v>
      </c>
      <c r="N10" s="11"/>
      <c r="O10" s="42" t="s">
        <v>2</v>
      </c>
      <c r="P10" s="43"/>
      <c r="Q10" s="43"/>
      <c r="R10" s="213">
        <v>1</v>
      </c>
    </row>
    <row r="11" spans="2:18" ht="14.4">
      <c r="B11" s="108" t="s">
        <v>97</v>
      </c>
      <c r="C11" s="32"/>
      <c r="D11" s="32"/>
      <c r="E11" s="32"/>
      <c r="F11" s="166">
        <v>9973</v>
      </c>
      <c r="G11" s="166">
        <v>10313</v>
      </c>
      <c r="H11" s="166">
        <v>10633</v>
      </c>
      <c r="I11" s="200">
        <f>I38*I10</f>
        <v>10728.397670988033</v>
      </c>
      <c r="J11" s="194">
        <f t="shared" ref="J11:M11" si="1">J38*J10</f>
        <v>10943.370318246472</v>
      </c>
      <c r="K11" s="194">
        <f t="shared" si="1"/>
        <v>11165.807825175134</v>
      </c>
      <c r="L11" s="194">
        <f t="shared" si="1"/>
        <v>11391.155912166032</v>
      </c>
      <c r="M11" s="195">
        <f t="shared" si="1"/>
        <v>11621.873591588084</v>
      </c>
      <c r="N11" s="11"/>
      <c r="O11" s="42" t="s">
        <v>48</v>
      </c>
      <c r="P11" s="43"/>
      <c r="Q11" s="43"/>
      <c r="R11" s="294">
        <f>WACC!G18</f>
        <v>6.4139179562760995E-2</v>
      </c>
    </row>
    <row r="12" spans="2:18" ht="14.4">
      <c r="B12" s="34" t="s">
        <v>89</v>
      </c>
      <c r="C12" s="32"/>
      <c r="D12" s="32"/>
      <c r="E12" s="32"/>
      <c r="F12" s="166">
        <f>F10-F11</f>
        <v>5416</v>
      </c>
      <c r="G12" s="166">
        <f t="shared" ref="G12:H12" si="2">G10-G11</f>
        <v>5411</v>
      </c>
      <c r="H12" s="166">
        <f t="shared" si="2"/>
        <v>5397</v>
      </c>
      <c r="I12" s="201">
        <f>I10-I11</f>
        <v>5632.056714740349</v>
      </c>
      <c r="J12" s="196">
        <f t="shared" ref="J12:M12" si="3">J10-J11</f>
        <v>5744.9103000200503</v>
      </c>
      <c r="K12" s="196">
        <f t="shared" si="3"/>
        <v>5861.6826916601804</v>
      </c>
      <c r="L12" s="196">
        <f t="shared" si="3"/>
        <v>5979.9830423195453</v>
      </c>
      <c r="M12" s="197">
        <f t="shared" si="3"/>
        <v>6101.1022527970035</v>
      </c>
      <c r="N12" s="11"/>
      <c r="O12" s="42"/>
      <c r="P12" s="43"/>
      <c r="Q12" s="43"/>
      <c r="R12" s="44"/>
    </row>
    <row r="13" spans="2:18" ht="14.4">
      <c r="B13" s="108" t="s">
        <v>145</v>
      </c>
      <c r="C13" s="32"/>
      <c r="D13" s="32"/>
      <c r="E13" s="32"/>
      <c r="F13" s="166">
        <v>67</v>
      </c>
      <c r="G13" s="166">
        <v>64</v>
      </c>
      <c r="H13" s="166">
        <v>60</v>
      </c>
      <c r="I13" s="200">
        <f>I39*I10</f>
        <v>66.352288989429923</v>
      </c>
      <c r="J13" s="194">
        <f t="shared" ref="J13:M13" si="4">J39*J10</f>
        <v>67.681837693080936</v>
      </c>
      <c r="K13" s="194">
        <f t="shared" si="4"/>
        <v>69.057554570330097</v>
      </c>
      <c r="L13" s="194">
        <f t="shared" si="4"/>
        <v>70.451272611903988</v>
      </c>
      <c r="M13" s="195">
        <f t="shared" si="4"/>
        <v>71.878200155928624</v>
      </c>
      <c r="N13" s="11"/>
      <c r="O13" s="42" t="s">
        <v>49</v>
      </c>
      <c r="P13" s="43"/>
      <c r="Q13" s="49"/>
      <c r="R13" s="50">
        <v>8</v>
      </c>
    </row>
    <row r="14" spans="2:18" ht="14.4">
      <c r="B14" s="108" t="s">
        <v>146</v>
      </c>
      <c r="C14" s="32"/>
      <c r="D14" s="32"/>
      <c r="E14" s="32"/>
      <c r="F14" s="166">
        <v>16</v>
      </c>
      <c r="G14" s="166">
        <v>13</v>
      </c>
      <c r="H14" s="166">
        <v>95</v>
      </c>
      <c r="I14" s="200">
        <f>I40*I10</f>
        <v>42.498207229429589</v>
      </c>
      <c r="J14" s="194">
        <f t="shared" ref="J14:M14" si="5">J40*J10</f>
        <v>43.34977448038579</v>
      </c>
      <c r="K14" s="194">
        <f t="shared" si="5"/>
        <v>44.230912144644407</v>
      </c>
      <c r="L14" s="194">
        <f t="shared" si="5"/>
        <v>45.123579436945917</v>
      </c>
      <c r="M14" s="195">
        <f t="shared" si="5"/>
        <v>46.037517198414868</v>
      </c>
      <c r="N14" s="11"/>
      <c r="O14" s="42" t="s">
        <v>50</v>
      </c>
      <c r="P14" s="43"/>
      <c r="Q14" s="43"/>
      <c r="R14" s="298">
        <f>R13*M17</f>
        <v>10877.811423695228</v>
      </c>
    </row>
    <row r="15" spans="2:18" ht="14.4">
      <c r="B15" s="108" t="s">
        <v>144</v>
      </c>
      <c r="C15" s="32"/>
      <c r="D15" s="32"/>
      <c r="E15" s="32"/>
      <c r="F15" s="166">
        <v>0</v>
      </c>
      <c r="G15" s="166">
        <v>0</v>
      </c>
      <c r="H15" s="166">
        <v>156</v>
      </c>
      <c r="I15" s="200">
        <f>I41*I10</f>
        <v>53.071966815837541</v>
      </c>
      <c r="J15" s="194">
        <f t="shared" ref="J15:M15" si="6">J41*J10</f>
        <v>54.135408119142802</v>
      </c>
      <c r="K15" s="194">
        <f t="shared" si="6"/>
        <v>55.235777097656658</v>
      </c>
      <c r="L15" s="194">
        <f t="shared" si="6"/>
        <v>56.350544331456639</v>
      </c>
      <c r="M15" s="195">
        <f t="shared" si="6"/>
        <v>57.491874230070152</v>
      </c>
      <c r="N15" s="11"/>
      <c r="O15" s="42"/>
      <c r="P15" s="43"/>
      <c r="Q15" s="43"/>
      <c r="R15" s="44"/>
    </row>
    <row r="16" spans="2:18" ht="14.4">
      <c r="B16" s="108" t="s">
        <v>151</v>
      </c>
      <c r="C16" s="32"/>
      <c r="D16" s="32"/>
      <c r="E16" s="32"/>
      <c r="F16" s="166">
        <v>4472</v>
      </c>
      <c r="G16" s="166">
        <v>4477</v>
      </c>
      <c r="H16" s="166">
        <v>4627</v>
      </c>
      <c r="I16" s="200">
        <f>I42*I10</f>
        <v>4711.633389353995</v>
      </c>
      <c r="J16" s="194">
        <f t="shared" ref="J16:M16" si="7">J42*J10</f>
        <v>4806.0437881556454</v>
      </c>
      <c r="K16" s="194">
        <f t="shared" si="7"/>
        <v>4903.7325592872266</v>
      </c>
      <c r="L16" s="194">
        <f t="shared" si="7"/>
        <v>5002.6995815262135</v>
      </c>
      <c r="M16" s="195">
        <f t="shared" si="7"/>
        <v>5104.024789186893</v>
      </c>
      <c r="N16" s="11"/>
      <c r="O16" s="42" t="s">
        <v>51</v>
      </c>
      <c r="P16" s="43"/>
      <c r="Q16" s="43"/>
      <c r="R16" s="207">
        <f>R14/(1+R11)^M32</f>
        <v>7971.670857339258</v>
      </c>
    </row>
    <row r="17" spans="2:18" ht="14.4">
      <c r="B17" s="34" t="s">
        <v>71</v>
      </c>
      <c r="C17" s="32"/>
      <c r="D17" s="32"/>
      <c r="E17" s="32"/>
      <c r="F17" s="166">
        <f>F18+F22</f>
        <v>1300</v>
      </c>
      <c r="G17" s="166">
        <f t="shared" ref="G17:H17" si="8">G18+G22</f>
        <v>1355</v>
      </c>
      <c r="H17" s="166">
        <f t="shared" si="8"/>
        <v>954</v>
      </c>
      <c r="I17" s="200">
        <f>I18+I22</f>
        <v>1255.1922655126723</v>
      </c>
      <c r="J17" s="194">
        <f t="shared" ref="J17:M17" si="9">J18+J22</f>
        <v>1280.3434588605166</v>
      </c>
      <c r="K17" s="194">
        <f t="shared" si="9"/>
        <v>1306.368019733367</v>
      </c>
      <c r="L17" s="194">
        <f t="shared" si="9"/>
        <v>1332.7331102635189</v>
      </c>
      <c r="M17" s="195">
        <f t="shared" si="9"/>
        <v>1359.7264279619035</v>
      </c>
      <c r="N17" s="11"/>
      <c r="O17" s="42" t="s">
        <v>52</v>
      </c>
      <c r="P17" s="43"/>
      <c r="Q17" s="43"/>
      <c r="R17" s="207">
        <f>SUM(I30:M30)</f>
        <v>3453.454486217071</v>
      </c>
    </row>
    <row r="18" spans="2:18" ht="14.4">
      <c r="B18" s="34" t="s">
        <v>70</v>
      </c>
      <c r="C18" s="32"/>
      <c r="D18" s="32"/>
      <c r="E18" s="32"/>
      <c r="F18" s="166">
        <f>F12-F13-F14-F15-F16</f>
        <v>861</v>
      </c>
      <c r="G18" s="166">
        <f t="shared" ref="G18:H18" si="10">G12-G13-G14-G15-G16</f>
        <v>857</v>
      </c>
      <c r="H18" s="166">
        <f t="shared" si="10"/>
        <v>459</v>
      </c>
      <c r="I18" s="200">
        <f>I12-I13-I14-I15-I16</f>
        <v>758.50086235165691</v>
      </c>
      <c r="J18" s="194">
        <f t="shared" ref="J18:M18" si="11">J12-J13-J14-J15-J16</f>
        <v>773.69949157179599</v>
      </c>
      <c r="K18" s="194">
        <f t="shared" si="11"/>
        <v>789.42588856032216</v>
      </c>
      <c r="L18" s="194">
        <f t="shared" si="11"/>
        <v>805.3580644130252</v>
      </c>
      <c r="M18" s="195">
        <f t="shared" si="11"/>
        <v>821.66987202569726</v>
      </c>
      <c r="N18" s="11"/>
      <c r="O18" s="52" t="s">
        <v>72</v>
      </c>
      <c r="P18" s="43"/>
      <c r="Q18" s="43"/>
      <c r="R18" s="208">
        <f>R16+R17</f>
        <v>11425.125343556329</v>
      </c>
    </row>
    <row r="19" spans="2:18" ht="14.4">
      <c r="B19" s="34"/>
      <c r="C19" s="32"/>
      <c r="D19" s="32"/>
      <c r="E19" s="32"/>
      <c r="F19" s="166"/>
      <c r="G19" s="166"/>
      <c r="H19" s="166"/>
      <c r="I19" s="202"/>
      <c r="J19" s="166"/>
      <c r="K19" s="166"/>
      <c r="L19" s="166"/>
      <c r="M19" s="203"/>
      <c r="N19" s="11"/>
      <c r="O19" s="42"/>
      <c r="P19" s="43"/>
      <c r="Q19" s="43"/>
      <c r="R19" s="44"/>
    </row>
    <row r="20" spans="2:18" ht="14.4">
      <c r="B20" s="34" t="s">
        <v>44</v>
      </c>
      <c r="C20" s="32"/>
      <c r="D20" s="32"/>
      <c r="E20" s="32"/>
      <c r="F20" s="166">
        <v>342</v>
      </c>
      <c r="G20" s="166">
        <v>320</v>
      </c>
      <c r="H20" s="166">
        <v>172</v>
      </c>
      <c r="I20" s="200">
        <f>I18*I46</f>
        <v>159.28518109384794</v>
      </c>
      <c r="J20" s="194">
        <f t="shared" ref="J20:M20" si="12">J18*J46</f>
        <v>162.47689323007714</v>
      </c>
      <c r="K20" s="194">
        <f t="shared" si="12"/>
        <v>165.77943659766765</v>
      </c>
      <c r="L20" s="194">
        <f t="shared" si="12"/>
        <v>169.12519352673527</v>
      </c>
      <c r="M20" s="195">
        <f t="shared" si="12"/>
        <v>172.55067312539643</v>
      </c>
      <c r="N20" s="11"/>
      <c r="O20" s="42" t="s">
        <v>72</v>
      </c>
      <c r="P20" s="43"/>
      <c r="Q20" s="43"/>
      <c r="R20" s="51">
        <f>R18</f>
        <v>11425.125343556329</v>
      </c>
    </row>
    <row r="21" spans="2:18" ht="14.4">
      <c r="B21" s="34"/>
      <c r="C21" s="32"/>
      <c r="D21" s="32"/>
      <c r="E21" s="32"/>
      <c r="F21" s="166"/>
      <c r="G21" s="166"/>
      <c r="H21" s="166"/>
      <c r="I21" s="202"/>
      <c r="J21" s="166"/>
      <c r="K21" s="166"/>
      <c r="L21" s="166"/>
      <c r="M21" s="203"/>
      <c r="N21" s="11"/>
      <c r="O21" s="42" t="s">
        <v>53</v>
      </c>
      <c r="P21" s="43"/>
      <c r="Q21" s="43"/>
      <c r="R21" s="207">
        <f>'Trading Comps'!F11-'Trading Comps'!G11</f>
        <v>-257</v>
      </c>
    </row>
    <row r="22" spans="2:18" ht="14.4">
      <c r="B22" s="34" t="s">
        <v>147</v>
      </c>
      <c r="C22" s="32"/>
      <c r="D22" s="32"/>
      <c r="E22" s="32"/>
      <c r="F22" s="166">
        <v>439</v>
      </c>
      <c r="G22" s="166">
        <v>498</v>
      </c>
      <c r="H22" s="166">
        <v>495</v>
      </c>
      <c r="I22" s="200">
        <f>I43*I10</f>
        <v>496.69140316101544</v>
      </c>
      <c r="J22" s="194">
        <f t="shared" ref="J22:M22" si="13">J43*J10</f>
        <v>506.64396728872066</v>
      </c>
      <c r="K22" s="194">
        <f t="shared" si="13"/>
        <v>516.94213117304469</v>
      </c>
      <c r="L22" s="194">
        <f t="shared" si="13"/>
        <v>527.37504585049362</v>
      </c>
      <c r="M22" s="195">
        <f t="shared" si="13"/>
        <v>538.05655593620611</v>
      </c>
      <c r="N22" s="11"/>
      <c r="O22" s="52" t="s">
        <v>54</v>
      </c>
      <c r="P22" s="43"/>
      <c r="Q22" s="43"/>
      <c r="R22" s="208">
        <f>R20+R21</f>
        <v>11168.125343556329</v>
      </c>
    </row>
    <row r="23" spans="2:18" ht="14.4">
      <c r="B23" s="34"/>
      <c r="C23" s="32"/>
      <c r="D23" s="32"/>
      <c r="E23" s="32"/>
      <c r="F23" s="166"/>
      <c r="G23" s="166"/>
      <c r="H23" s="166"/>
      <c r="I23" s="202"/>
      <c r="J23" s="166"/>
      <c r="K23" s="166"/>
      <c r="L23" s="166"/>
      <c r="M23" s="203"/>
      <c r="N23" s="11"/>
      <c r="O23" s="42"/>
      <c r="P23" s="43"/>
      <c r="Q23" s="43"/>
      <c r="R23" s="44"/>
    </row>
    <row r="24" spans="2:18" ht="14.4">
      <c r="B24" s="34" t="s">
        <v>95</v>
      </c>
      <c r="C24" s="32"/>
      <c r="D24" s="32"/>
      <c r="E24" s="32"/>
      <c r="F24" s="166">
        <v>292</v>
      </c>
      <c r="G24" s="166">
        <v>634</v>
      </c>
      <c r="H24" s="166">
        <v>790</v>
      </c>
      <c r="I24" s="200">
        <f>I47*I10</f>
        <v>592.12692605011102</v>
      </c>
      <c r="J24" s="194">
        <f t="shared" ref="J24:M24" si="14">J47*J10</f>
        <v>603.99180062967832</v>
      </c>
      <c r="K24" s="194">
        <f t="shared" si="14"/>
        <v>616.26867936359167</v>
      </c>
      <c r="L24" s="194">
        <f t="shared" si="14"/>
        <v>628.70620024352991</v>
      </c>
      <c r="M24" s="195">
        <f t="shared" si="14"/>
        <v>641.44008227243989</v>
      </c>
      <c r="N24" s="11"/>
      <c r="O24" s="42" t="s">
        <v>23</v>
      </c>
      <c r="P24" s="43"/>
      <c r="Q24" s="43"/>
      <c r="R24" s="311">
        <v>318</v>
      </c>
    </row>
    <row r="25" spans="2:18" ht="14.4">
      <c r="B25" s="34" t="s">
        <v>62</v>
      </c>
      <c r="C25" s="32"/>
      <c r="D25" s="32"/>
      <c r="E25" s="32"/>
      <c r="F25" s="166" t="s">
        <v>94</v>
      </c>
      <c r="G25" s="166">
        <f>G24-F24</f>
        <v>342</v>
      </c>
      <c r="H25" s="166">
        <f>H24-G24</f>
        <v>156</v>
      </c>
      <c r="I25" s="200">
        <f>I24-H24</f>
        <v>-197.87307394988898</v>
      </c>
      <c r="J25" s="194">
        <f t="shared" ref="J25:M25" si="15">J24-I24</f>
        <v>11.864874579567299</v>
      </c>
      <c r="K25" s="194">
        <f t="shared" si="15"/>
        <v>12.27687873391335</v>
      </c>
      <c r="L25" s="194">
        <f t="shared" si="15"/>
        <v>12.437520879938234</v>
      </c>
      <c r="M25" s="195">
        <f t="shared" si="15"/>
        <v>12.733882028909989</v>
      </c>
      <c r="N25" s="11"/>
      <c r="O25" s="209" t="s">
        <v>55</v>
      </c>
      <c r="P25" s="56"/>
      <c r="Q25" s="56"/>
      <c r="R25" s="299">
        <f>R22/R24</f>
        <v>35.119891017472732</v>
      </c>
    </row>
    <row r="26" spans="2:18" ht="14.4">
      <c r="B26" s="189"/>
      <c r="C26" s="6"/>
      <c r="D26" s="6"/>
      <c r="E26" s="6"/>
      <c r="F26" s="6"/>
      <c r="G26" s="6"/>
      <c r="H26" s="6"/>
      <c r="I26" s="202"/>
      <c r="J26" s="166"/>
      <c r="K26" s="166"/>
      <c r="L26" s="166"/>
      <c r="M26" s="203"/>
      <c r="N26" s="11"/>
    </row>
    <row r="27" spans="2:18" ht="14.4">
      <c r="B27" s="34" t="s">
        <v>45</v>
      </c>
      <c r="C27" s="32"/>
      <c r="D27" s="32"/>
      <c r="E27" s="32"/>
      <c r="F27" s="166">
        <v>335</v>
      </c>
      <c r="G27" s="166">
        <v>321</v>
      </c>
      <c r="H27" s="166">
        <v>298</v>
      </c>
      <c r="I27" s="200">
        <f>I45*I10</f>
        <v>331.42786065644975</v>
      </c>
      <c r="J27" s="194">
        <f t="shared" ref="J27:M27" si="16">J45*J10</f>
        <v>338.0689199055106</v>
      </c>
      <c r="K27" s="194">
        <f t="shared" si="16"/>
        <v>344.94058791335124</v>
      </c>
      <c r="L27" s="194">
        <f t="shared" si="16"/>
        <v>351.90217124246163</v>
      </c>
      <c r="M27" s="195">
        <f t="shared" si="16"/>
        <v>359.02963512397429</v>
      </c>
      <c r="N27" s="11"/>
    </row>
    <row r="28" spans="2:18" ht="14.4">
      <c r="B28" s="31"/>
      <c r="C28" s="32"/>
      <c r="D28" s="32"/>
      <c r="E28" s="32"/>
      <c r="F28" s="32"/>
      <c r="G28" s="32"/>
      <c r="H28" s="40"/>
      <c r="I28" s="202"/>
      <c r="J28" s="166"/>
      <c r="K28" s="166"/>
      <c r="L28" s="166"/>
      <c r="M28" s="166"/>
      <c r="N28" s="11"/>
    </row>
    <row r="29" spans="2:18" ht="14.4">
      <c r="B29" s="190" t="s">
        <v>46</v>
      </c>
      <c r="C29" s="191"/>
      <c r="D29" s="191"/>
      <c r="E29" s="191"/>
      <c r="F29" s="191"/>
      <c r="G29" s="191"/>
      <c r="H29" s="191"/>
      <c r="I29" s="204">
        <f>I18-I20+I22-I25-I27</f>
        <v>962.35229771226352</v>
      </c>
      <c r="J29" s="198">
        <f t="shared" ref="J29:M29" si="17">J18-J20+J22-J25-J27</f>
        <v>767.93277114536147</v>
      </c>
      <c r="K29" s="198">
        <f t="shared" si="17"/>
        <v>783.37111648843461</v>
      </c>
      <c r="L29" s="198">
        <f t="shared" si="17"/>
        <v>799.26822461438337</v>
      </c>
      <c r="M29" s="199">
        <f t="shared" si="17"/>
        <v>815.41223768362283</v>
      </c>
      <c r="N29" s="11"/>
    </row>
    <row r="30" spans="2:18" ht="14.4">
      <c r="B30" s="192" t="s">
        <v>47</v>
      </c>
      <c r="C30" s="193"/>
      <c r="D30" s="193"/>
      <c r="E30" s="193"/>
      <c r="F30" s="193"/>
      <c r="G30" s="193"/>
      <c r="H30" s="193"/>
      <c r="I30" s="205">
        <f>I29/(1+$R$11)^I32</f>
        <v>904.34814937241549</v>
      </c>
      <c r="J30" s="291">
        <f>J29/(1+$R$11)^J32</f>
        <v>678.15088762229379</v>
      </c>
      <c r="K30" s="291">
        <f>K29/(1+$R$11)^K32</f>
        <v>650.0881573907069</v>
      </c>
      <c r="L30" s="291">
        <f>L29/(1+$R$11)^L32</f>
        <v>623.30242159490001</v>
      </c>
      <c r="M30" s="292">
        <f>M29/(1+$R$11)^M32</f>
        <v>597.56487023675481</v>
      </c>
      <c r="N30" s="11"/>
    </row>
    <row r="31" spans="2:18" ht="14.4">
      <c r="B31" s="31"/>
      <c r="C31" s="32"/>
      <c r="D31" s="32"/>
      <c r="E31" s="32"/>
      <c r="F31" s="32"/>
      <c r="G31" s="32"/>
      <c r="H31" s="32"/>
      <c r="I31" s="31"/>
      <c r="J31" s="36"/>
      <c r="K31" s="32"/>
      <c r="L31" s="32"/>
      <c r="M31" s="35"/>
      <c r="N31" s="11"/>
    </row>
    <row r="32" spans="2:18" ht="14.4">
      <c r="B32" s="37" t="s">
        <v>165</v>
      </c>
      <c r="C32" s="32"/>
      <c r="D32" s="32"/>
      <c r="E32" s="32"/>
      <c r="F32" s="32"/>
      <c r="G32" s="32"/>
      <c r="H32" s="32"/>
      <c r="I32" s="206">
        <v>1</v>
      </c>
      <c r="J32" s="38">
        <f>I32+1</f>
        <v>2</v>
      </c>
      <c r="K32" s="38">
        <f>J32+1</f>
        <v>3</v>
      </c>
      <c r="L32" s="38">
        <f>K32+1</f>
        <v>4</v>
      </c>
      <c r="M32" s="39">
        <f>L32+1</f>
        <v>5</v>
      </c>
      <c r="N32" s="11"/>
    </row>
    <row r="33" spans="2:18" ht="14.4">
      <c r="B33" s="123"/>
      <c r="C33" s="40"/>
      <c r="D33" s="40"/>
      <c r="E33" s="40"/>
      <c r="F33" s="40"/>
      <c r="G33" s="40"/>
      <c r="H33" s="40"/>
      <c r="I33" s="123"/>
      <c r="J33" s="188"/>
      <c r="K33" s="40"/>
      <c r="L33" s="40"/>
      <c r="M33" s="116"/>
      <c r="N33" s="11"/>
      <c r="O33" s="14"/>
      <c r="P33" s="13"/>
      <c r="Q33" s="13"/>
      <c r="R33" s="13"/>
    </row>
    <row r="34" spans="2:18" ht="14.4">
      <c r="N34" s="11"/>
      <c r="O34" s="14"/>
      <c r="P34" s="13"/>
      <c r="Q34" s="13"/>
      <c r="R34" s="15"/>
    </row>
    <row r="35" spans="2:18" ht="15" customHeight="1">
      <c r="B35" s="271"/>
      <c r="C35" s="272"/>
      <c r="D35" s="272"/>
      <c r="E35" s="272"/>
      <c r="F35" s="273" t="s">
        <v>68</v>
      </c>
      <c r="G35" s="274"/>
      <c r="H35" s="274"/>
      <c r="I35" s="273" t="s">
        <v>67</v>
      </c>
      <c r="J35" s="273"/>
      <c r="K35" s="273"/>
      <c r="L35" s="273"/>
      <c r="M35" s="275"/>
      <c r="N35" s="13"/>
      <c r="O35" s="13"/>
    </row>
    <row r="36" spans="2:18" ht="14.4">
      <c r="B36" s="307" t="s">
        <v>88</v>
      </c>
      <c r="C36" s="308"/>
      <c r="D36" s="276"/>
      <c r="E36" s="276"/>
      <c r="F36" s="277">
        <f>G36-1</f>
        <v>2015</v>
      </c>
      <c r="G36" s="277">
        <f>H36-1</f>
        <v>2016</v>
      </c>
      <c r="H36" s="277">
        <f>H8</f>
        <v>2017</v>
      </c>
      <c r="I36" s="277">
        <f>H36+1</f>
        <v>2018</v>
      </c>
      <c r="J36" s="277">
        <f>I36+1</f>
        <v>2019</v>
      </c>
      <c r="K36" s="277">
        <f>J36+1</f>
        <v>2020</v>
      </c>
      <c r="L36" s="277">
        <f>K36+1</f>
        <v>2021</v>
      </c>
      <c r="M36" s="278">
        <f>L36+1</f>
        <v>2022</v>
      </c>
      <c r="N36" s="13"/>
      <c r="O36" s="13"/>
    </row>
    <row r="37" spans="2:18" ht="14.4">
      <c r="B37" s="258" t="s">
        <v>90</v>
      </c>
      <c r="C37" s="242"/>
      <c r="D37" s="242"/>
      <c r="E37" s="242"/>
      <c r="F37" s="259"/>
      <c r="G37" s="260">
        <f>G10/F10-1</f>
        <v>2.1768795893170489E-2</v>
      </c>
      <c r="H37" s="260">
        <f>H10/G10-1</f>
        <v>1.9460697023658158E-2</v>
      </c>
      <c r="I37" s="261">
        <f>AVERAGE($G$37:$H$37)</f>
        <v>2.0614746458414324E-2</v>
      </c>
      <c r="J37" s="261">
        <f t="shared" ref="J37:M37" si="18">AVERAGE(H37:I37)</f>
        <v>2.0037721741036241E-2</v>
      </c>
      <c r="K37" s="261">
        <f t="shared" si="18"/>
        <v>2.0326234099725282E-2</v>
      </c>
      <c r="L37" s="261">
        <f t="shared" si="18"/>
        <v>2.0181977920380761E-2</v>
      </c>
      <c r="M37" s="262">
        <f t="shared" si="18"/>
        <v>2.0254106010053022E-2</v>
      </c>
      <c r="N37" s="13"/>
      <c r="O37" s="13"/>
    </row>
    <row r="38" spans="2:18" ht="14.4">
      <c r="B38" s="258" t="s">
        <v>91</v>
      </c>
      <c r="C38" s="242"/>
      <c r="D38" s="242"/>
      <c r="E38" s="242"/>
      <c r="F38" s="260">
        <f>F11/F10</f>
        <v>0.64806030281369809</v>
      </c>
      <c r="G38" s="260">
        <f>G11/G10</f>
        <v>0.65587636733655563</v>
      </c>
      <c r="H38" s="260">
        <f>H11/H10</f>
        <v>0.66331877729257638</v>
      </c>
      <c r="I38" s="261">
        <f>AVERAGE($F$38:$H$38)</f>
        <v>0.65575181581427666</v>
      </c>
      <c r="J38" s="261">
        <f t="shared" ref="J38:M38" si="19">AVERAGE($F$38:$H$38)</f>
        <v>0.65575181581427666</v>
      </c>
      <c r="K38" s="261">
        <f t="shared" si="19"/>
        <v>0.65575181581427666</v>
      </c>
      <c r="L38" s="261">
        <f t="shared" si="19"/>
        <v>0.65575181581427666</v>
      </c>
      <c r="M38" s="262">
        <f t="shared" si="19"/>
        <v>0.65575181581427666</v>
      </c>
      <c r="N38" s="13"/>
      <c r="O38" s="13"/>
    </row>
    <row r="39" spans="2:18" ht="14.4">
      <c r="B39" s="258" t="s">
        <v>148</v>
      </c>
      <c r="C39" s="242"/>
      <c r="D39" s="242"/>
      <c r="E39" s="242"/>
      <c r="F39" s="263">
        <f>F13/F10</f>
        <v>4.3537591786340889E-3</v>
      </c>
      <c r="G39" s="263">
        <f>G13/G10</f>
        <v>4.0702111422030018E-3</v>
      </c>
      <c r="H39" s="263">
        <f>H13/H10</f>
        <v>3.7429819089207735E-3</v>
      </c>
      <c r="I39" s="264">
        <f>AVERAGE($F$39:$H$39)</f>
        <v>4.055650743252621E-3</v>
      </c>
      <c r="J39" s="264">
        <f t="shared" ref="J39:M39" si="20">AVERAGE($F$39:$H$39)</f>
        <v>4.055650743252621E-3</v>
      </c>
      <c r="K39" s="264">
        <f t="shared" si="20"/>
        <v>4.055650743252621E-3</v>
      </c>
      <c r="L39" s="264">
        <f t="shared" si="20"/>
        <v>4.055650743252621E-3</v>
      </c>
      <c r="M39" s="265">
        <f t="shared" si="20"/>
        <v>4.055650743252621E-3</v>
      </c>
      <c r="N39" s="13"/>
      <c r="O39" s="13"/>
    </row>
    <row r="40" spans="2:18" ht="14.4">
      <c r="B40" s="258" t="s">
        <v>149</v>
      </c>
      <c r="C40" s="242"/>
      <c r="D40" s="242"/>
      <c r="E40" s="242"/>
      <c r="F40" s="263">
        <f>F14/F10</f>
        <v>1.0397036844499317E-3</v>
      </c>
      <c r="G40" s="263">
        <f>G14/G10</f>
        <v>8.2676163825998476E-4</v>
      </c>
      <c r="H40" s="263">
        <f>H14/H10</f>
        <v>5.9263880224578918E-3</v>
      </c>
      <c r="I40" s="264">
        <f>AVERAGE($F$40:$H$40)</f>
        <v>2.5976177817226029E-3</v>
      </c>
      <c r="J40" s="264">
        <f t="shared" ref="J40:M40" si="21">AVERAGE($F$40:$H$40)</f>
        <v>2.5976177817226029E-3</v>
      </c>
      <c r="K40" s="264">
        <f t="shared" si="21"/>
        <v>2.5976177817226029E-3</v>
      </c>
      <c r="L40" s="264">
        <f t="shared" si="21"/>
        <v>2.5976177817226029E-3</v>
      </c>
      <c r="M40" s="265">
        <f t="shared" si="21"/>
        <v>2.5976177817226029E-3</v>
      </c>
      <c r="N40" s="13"/>
      <c r="O40" s="13"/>
    </row>
    <row r="41" spans="2:18" ht="14.4">
      <c r="B41" s="258" t="s">
        <v>150</v>
      </c>
      <c r="C41" s="242"/>
      <c r="D41" s="242"/>
      <c r="E41" s="242"/>
      <c r="F41" s="263">
        <f>F15/F10</f>
        <v>0</v>
      </c>
      <c r="G41" s="263">
        <f>G15/G10</f>
        <v>0</v>
      </c>
      <c r="H41" s="263">
        <f>H15/H10</f>
        <v>9.7317529631940104E-3</v>
      </c>
      <c r="I41" s="264">
        <f>AVERAGE($F$41:$H$41)</f>
        <v>3.2439176543980035E-3</v>
      </c>
      <c r="J41" s="264">
        <f t="shared" ref="J41:M41" si="22">AVERAGE($F$41:$H$41)</f>
        <v>3.2439176543980035E-3</v>
      </c>
      <c r="K41" s="264">
        <f t="shared" si="22"/>
        <v>3.2439176543980035E-3</v>
      </c>
      <c r="L41" s="264">
        <f t="shared" si="22"/>
        <v>3.2439176543980035E-3</v>
      </c>
      <c r="M41" s="265">
        <f t="shared" si="22"/>
        <v>3.2439176543980035E-3</v>
      </c>
      <c r="N41" s="13"/>
      <c r="O41" s="13"/>
    </row>
    <row r="42" spans="2:18" ht="14.4">
      <c r="B42" s="258" t="s">
        <v>152</v>
      </c>
      <c r="C42" s="242"/>
      <c r="D42" s="242"/>
      <c r="E42" s="242"/>
      <c r="F42" s="260">
        <f>F16/F10</f>
        <v>0.29059717980375593</v>
      </c>
      <c r="G42" s="260">
        <f>G16/G10</f>
        <v>0.28472398880691935</v>
      </c>
      <c r="H42" s="260">
        <f>H16/H10</f>
        <v>0.28864628820960697</v>
      </c>
      <c r="I42" s="261">
        <f>AVERAGE($F$42:$H$42)</f>
        <v>0.28798915227342742</v>
      </c>
      <c r="J42" s="261">
        <f t="shared" ref="J42:M42" si="23">AVERAGE($F$42:$H$42)</f>
        <v>0.28798915227342742</v>
      </c>
      <c r="K42" s="261">
        <f t="shared" si="23"/>
        <v>0.28798915227342742</v>
      </c>
      <c r="L42" s="261">
        <f t="shared" si="23"/>
        <v>0.28798915227342742</v>
      </c>
      <c r="M42" s="262">
        <f t="shared" si="23"/>
        <v>0.28798915227342742</v>
      </c>
      <c r="N42" s="13"/>
      <c r="O42" s="13"/>
    </row>
    <row r="43" spans="2:18" ht="15" customHeight="1">
      <c r="B43" s="258" t="s">
        <v>153</v>
      </c>
      <c r="C43" s="242"/>
      <c r="D43" s="242"/>
      <c r="E43" s="242"/>
      <c r="F43" s="260">
        <f>F22/F10</f>
        <v>2.8526869842095001E-2</v>
      </c>
      <c r="G43" s="260">
        <f>G22/G10</f>
        <v>3.1671330450267106E-2</v>
      </c>
      <c r="H43" s="260">
        <f>H22/H10</f>
        <v>3.0879600748596383E-2</v>
      </c>
      <c r="I43" s="261">
        <f>AVERAGE($F$43:$H$43)</f>
        <v>3.0359267013652828E-2</v>
      </c>
      <c r="J43" s="261">
        <f t="shared" ref="J43:M43" si="24">AVERAGE($F$43:$H$43)</f>
        <v>3.0359267013652828E-2</v>
      </c>
      <c r="K43" s="261">
        <f t="shared" si="24"/>
        <v>3.0359267013652828E-2</v>
      </c>
      <c r="L43" s="261">
        <f t="shared" si="24"/>
        <v>3.0359267013652828E-2</v>
      </c>
      <c r="M43" s="262">
        <f t="shared" si="24"/>
        <v>3.0359267013652828E-2</v>
      </c>
      <c r="N43" s="6"/>
      <c r="O43" s="6"/>
    </row>
    <row r="44" spans="2:18" ht="15" customHeight="1">
      <c r="B44" s="258" t="s">
        <v>96</v>
      </c>
      <c r="C44" s="242"/>
      <c r="D44" s="242"/>
      <c r="E44" s="242"/>
      <c r="F44" s="266">
        <v>0</v>
      </c>
      <c r="G44" s="260">
        <f>G23/G10</f>
        <v>0</v>
      </c>
      <c r="H44" s="260">
        <f>H23/H10</f>
        <v>0</v>
      </c>
      <c r="I44" s="261">
        <f>AVERAGE(F44:H44)</f>
        <v>0</v>
      </c>
      <c r="J44" s="261">
        <f t="shared" ref="J44:M44" si="25">AVERAGE(G44:I44)</f>
        <v>0</v>
      </c>
      <c r="K44" s="261">
        <f t="shared" si="25"/>
        <v>0</v>
      </c>
      <c r="L44" s="261">
        <f t="shared" si="25"/>
        <v>0</v>
      </c>
      <c r="M44" s="262">
        <f t="shared" si="25"/>
        <v>0</v>
      </c>
      <c r="N44" s="6"/>
      <c r="O44" s="6"/>
    </row>
    <row r="45" spans="2:18" ht="15" customHeight="1">
      <c r="B45" s="258" t="s">
        <v>92</v>
      </c>
      <c r="C45" s="242"/>
      <c r="D45" s="242"/>
      <c r="E45" s="242"/>
      <c r="F45" s="260">
        <f>F27/F10</f>
        <v>2.1768795893170448E-2</v>
      </c>
      <c r="G45" s="260">
        <f>G27/G10</f>
        <v>2.041465276011193E-2</v>
      </c>
      <c r="H45" s="260">
        <f>H27/H10</f>
        <v>1.8590143480973174E-2</v>
      </c>
      <c r="I45" s="261">
        <f>AVERAGE($F$45:$H$45)</f>
        <v>2.0257864044751852E-2</v>
      </c>
      <c r="J45" s="261">
        <f t="shared" ref="J45:M45" si="26">AVERAGE($F$45:$H$45)</f>
        <v>2.0257864044751852E-2</v>
      </c>
      <c r="K45" s="261">
        <f t="shared" si="26"/>
        <v>2.0257864044751852E-2</v>
      </c>
      <c r="L45" s="261">
        <f t="shared" si="26"/>
        <v>2.0257864044751852E-2</v>
      </c>
      <c r="M45" s="262">
        <f t="shared" si="26"/>
        <v>2.0257864044751852E-2</v>
      </c>
      <c r="N45" s="6"/>
      <c r="O45" s="6"/>
    </row>
    <row r="46" spans="2:18" ht="15" customHeight="1">
      <c r="B46" s="258" t="s">
        <v>60</v>
      </c>
      <c r="C46" s="242"/>
      <c r="D46" s="242"/>
      <c r="E46" s="242"/>
      <c r="F46" s="260">
        <f>F20/F18</f>
        <v>0.39721254355400698</v>
      </c>
      <c r="G46" s="260">
        <f>G20/G18</f>
        <v>0.3733955659276546</v>
      </c>
      <c r="H46" s="260">
        <f>H20/H18</f>
        <v>0.37472766884531589</v>
      </c>
      <c r="I46" s="261">
        <v>0.21</v>
      </c>
      <c r="J46" s="261">
        <v>0.21</v>
      </c>
      <c r="K46" s="261">
        <v>0.21</v>
      </c>
      <c r="L46" s="261">
        <v>0.21</v>
      </c>
      <c r="M46" s="262">
        <v>0.21</v>
      </c>
      <c r="N46" s="6"/>
      <c r="O46" s="6"/>
    </row>
    <row r="47" spans="2:18">
      <c r="B47" s="267" t="s">
        <v>93</v>
      </c>
      <c r="C47" s="245"/>
      <c r="D47" s="245"/>
      <c r="E47" s="245"/>
      <c r="F47" s="268">
        <f>F24/F10</f>
        <v>1.8974592241211254E-2</v>
      </c>
      <c r="G47" s="268">
        <f>G24/G10</f>
        <v>4.0320529127448483E-2</v>
      </c>
      <c r="H47" s="268">
        <f>H24/H10</f>
        <v>4.9282595134123516E-2</v>
      </c>
      <c r="I47" s="269">
        <f>AVERAGE($F$47:$H$47)</f>
        <v>3.6192572167594417E-2</v>
      </c>
      <c r="J47" s="269">
        <f t="shared" ref="J47:M47" si="27">AVERAGE($F$47:$H$47)</f>
        <v>3.6192572167594417E-2</v>
      </c>
      <c r="K47" s="269">
        <f t="shared" si="27"/>
        <v>3.6192572167594417E-2</v>
      </c>
      <c r="L47" s="269">
        <f t="shared" si="27"/>
        <v>3.6192572167594417E-2</v>
      </c>
      <c r="M47" s="270">
        <f t="shared" si="27"/>
        <v>3.6192572167594417E-2</v>
      </c>
      <c r="N47" s="6"/>
      <c r="O47" s="6"/>
    </row>
    <row r="48" spans="2:18">
      <c r="L48" s="6"/>
      <c r="M48" s="6"/>
      <c r="N48" s="6"/>
      <c r="O48" s="6"/>
    </row>
    <row r="49" spans="12:15">
      <c r="L49" s="6"/>
      <c r="M49" s="6"/>
      <c r="N49" s="6"/>
      <c r="O49" s="6"/>
    </row>
    <row r="50" spans="12:15">
      <c r="L50" s="6"/>
      <c r="M50" s="6"/>
      <c r="N50" s="6"/>
      <c r="O50" s="6"/>
    </row>
    <row r="51" spans="12:15">
      <c r="L51" s="6"/>
      <c r="M51" s="6"/>
      <c r="N51" s="6"/>
      <c r="O51" s="6"/>
    </row>
    <row r="52" spans="12:15">
      <c r="L52" s="6"/>
      <c r="M52" s="6"/>
      <c r="N52" s="6"/>
      <c r="O52" s="6"/>
    </row>
    <row r="53" spans="12:15">
      <c r="L53" s="6"/>
      <c r="M53" s="6"/>
    </row>
  </sheetData>
  <mergeCells count="1">
    <mergeCell ref="B36:C36"/>
  </mergeCells>
  <phoneticPr fontId="5" type="noConversion"/>
  <dataValidations disablePrompts="1" count="2">
    <dataValidation type="whole" showInputMessage="1" showErrorMessage="1" sqref="R8" xr:uid="{00000000-0002-0000-0200-000000000000}">
      <formula1>0</formula1>
      <formula2>1</formula2>
    </dataValidation>
    <dataValidation type="whole" allowBlank="1" showInputMessage="1" showErrorMessage="1" sqref="R10" xr:uid="{00000000-0002-0000-0200-000001000000}">
      <formula1>0</formula1>
      <formula2>1</formula2>
    </dataValidation>
  </dataValidations>
  <pageMargins left="0.75" right="0.75" top="1" bottom="1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7"/>
  <sheetViews>
    <sheetView showGridLines="0" tabSelected="1" zoomScaleNormal="100" zoomScaleSheetLayoutView="98" workbookViewId="0">
      <selection activeCell="J32" sqref="J32"/>
    </sheetView>
  </sheetViews>
  <sheetFormatPr defaultColWidth="8.77734375" defaultRowHeight="14.4"/>
  <cols>
    <col min="1" max="1" width="1.6640625" customWidth="1"/>
    <col min="2" max="2" width="42.6640625" bestFit="1" customWidth="1"/>
    <col min="3" max="7" width="10.6640625" customWidth="1"/>
    <col min="8" max="11" width="16.44140625" customWidth="1"/>
    <col min="12" max="12" width="10.6640625" customWidth="1"/>
    <col min="13" max="13" width="13.77734375" customWidth="1"/>
    <col min="14" max="14" width="12.109375" customWidth="1"/>
    <col min="15" max="16" width="13.109375" customWidth="1"/>
    <col min="18" max="18" width="10.77734375" bestFit="1" customWidth="1"/>
  </cols>
  <sheetData>
    <row r="2" spans="2:21" s="253" customFormat="1" ht="21">
      <c r="B2" s="254" t="s">
        <v>174</v>
      </c>
    </row>
    <row r="4" spans="2:21">
      <c r="B4" s="5" t="s">
        <v>159</v>
      </c>
    </row>
    <row r="5" spans="2:21">
      <c r="B5" s="1" t="s">
        <v>160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2:21">
      <c r="B6" s="5" t="s">
        <v>69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2:21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2:21">
      <c r="B8" s="7" t="str">
        <f>"Valuation Statistics - "&amp;TEXT(B4,"")</f>
        <v>Valuation Statistics - Whole Foods</v>
      </c>
      <c r="C8" s="8" t="str">
        <f>TEXT(B4,"")&amp;" - Range of Valuation Multiples / Premiums"</f>
        <v>Whole Foods - Range of Valuation Multiples / Premiums</v>
      </c>
      <c r="D8" s="8"/>
      <c r="E8" s="8"/>
      <c r="F8" s="8"/>
      <c r="G8" s="17"/>
      <c r="H8" s="17"/>
      <c r="I8" s="17"/>
      <c r="J8" s="17"/>
      <c r="K8" s="17"/>
      <c r="L8" s="8" t="str">
        <f>TEXT(B4,"")&amp;" - Implied Per Share Value Range"</f>
        <v>Whole Foods - Implied Per Share Value Range</v>
      </c>
      <c r="M8" s="17"/>
      <c r="N8" s="17"/>
      <c r="O8" s="17"/>
      <c r="P8" s="21"/>
    </row>
    <row r="9" spans="2:21">
      <c r="B9" s="18"/>
      <c r="C9" s="12"/>
      <c r="D9" s="12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20"/>
    </row>
    <row r="10" spans="2:21">
      <c r="B10" s="85"/>
      <c r="C10" s="86"/>
      <c r="D10" s="86" t="s">
        <v>74</v>
      </c>
      <c r="E10" s="86"/>
      <c r="F10" s="86" t="s">
        <v>75</v>
      </c>
      <c r="G10" s="86"/>
      <c r="H10" s="86" t="s">
        <v>76</v>
      </c>
      <c r="I10" s="86"/>
      <c r="J10" s="86"/>
      <c r="K10" s="86"/>
      <c r="L10" s="86"/>
      <c r="M10" s="86" t="s">
        <v>74</v>
      </c>
      <c r="N10" s="86"/>
      <c r="O10" s="86" t="s">
        <v>75</v>
      </c>
      <c r="P10" s="88"/>
    </row>
    <row r="11" spans="2:21">
      <c r="B11" s="85"/>
      <c r="C11" s="86" t="s">
        <v>77</v>
      </c>
      <c r="D11" s="86" t="s">
        <v>78</v>
      </c>
      <c r="E11" s="86" t="s">
        <v>79</v>
      </c>
      <c r="F11" s="86" t="s">
        <v>78</v>
      </c>
      <c r="G11" s="86" t="s">
        <v>80</v>
      </c>
      <c r="H11" s="86" t="str">
        <f>TEXT(B4,"")</f>
        <v>Whole Foods</v>
      </c>
      <c r="I11" s="86" t="str">
        <f>H11</f>
        <v>Whole Foods</v>
      </c>
      <c r="J11" s="86" t="s">
        <v>159</v>
      </c>
      <c r="K11" s="86" t="s">
        <v>159</v>
      </c>
      <c r="L11" s="86" t="s">
        <v>77</v>
      </c>
      <c r="M11" s="86" t="s">
        <v>78</v>
      </c>
      <c r="N11" s="86" t="s">
        <v>79</v>
      </c>
      <c r="O11" s="86" t="s">
        <v>78</v>
      </c>
      <c r="P11" s="88" t="s">
        <v>80</v>
      </c>
    </row>
    <row r="12" spans="2:21">
      <c r="B12" s="27" t="s">
        <v>81</v>
      </c>
      <c r="C12" s="287" t="s">
        <v>82</v>
      </c>
      <c r="D12" s="287" t="s">
        <v>82</v>
      </c>
      <c r="E12" s="287" t="s">
        <v>82</v>
      </c>
      <c r="F12" s="287" t="s">
        <v>82</v>
      </c>
      <c r="G12" s="86" t="s">
        <v>82</v>
      </c>
      <c r="H12" s="287" t="s">
        <v>83</v>
      </c>
      <c r="I12" s="287" t="s">
        <v>171</v>
      </c>
      <c r="J12" s="287" t="s">
        <v>25</v>
      </c>
      <c r="K12" s="287" t="s">
        <v>26</v>
      </c>
      <c r="L12" s="287" t="s">
        <v>82</v>
      </c>
      <c r="M12" s="287" t="s">
        <v>82</v>
      </c>
      <c r="N12" s="287" t="s">
        <v>82</v>
      </c>
      <c r="O12" s="287" t="s">
        <v>82</v>
      </c>
      <c r="P12" s="30" t="s">
        <v>82</v>
      </c>
    </row>
    <row r="13" spans="2:21">
      <c r="B13" s="34" t="s">
        <v>84</v>
      </c>
      <c r="C13" s="89"/>
      <c r="D13" s="89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41"/>
    </row>
    <row r="14" spans="2:21">
      <c r="B14" s="31" t="s">
        <v>154</v>
      </c>
      <c r="C14" s="255">
        <f>'Trading Comps'!M38</f>
        <v>0.2896716682012479</v>
      </c>
      <c r="D14" s="255">
        <f>'Trading Comps'!M37</f>
        <v>0.39024721245527977</v>
      </c>
      <c r="E14" s="255">
        <f>'Trading Comps'!M36</f>
        <v>0.42988080462147704</v>
      </c>
      <c r="F14" s="255">
        <f>'Trading Comps'!M35</f>
        <v>0.45543374796180613</v>
      </c>
      <c r="G14" s="255">
        <f>'Trading Comps'!M34</f>
        <v>0.68394828129927465</v>
      </c>
      <c r="H14" s="302">
        <f>'Trading Comps'!N11</f>
        <v>17081</v>
      </c>
      <c r="I14" s="281">
        <f t="shared" ref="I14:I19" si="0">Diluted_Shares</f>
        <v>318</v>
      </c>
      <c r="J14" s="281">
        <f>'Trading Comps'!F11</f>
        <v>826</v>
      </c>
      <c r="K14" s="281">
        <f>'Trading Comps'!G11</f>
        <v>1083</v>
      </c>
      <c r="L14" s="246">
        <f>(C14*$H14+$J14-$K14)/$I14</f>
        <v>14.751200517438729</v>
      </c>
      <c r="M14" s="246">
        <f t="shared" ref="M14" si="1">(D14*$H14+$J14-$K14)/$I14</f>
        <v>20.153498855184385</v>
      </c>
      <c r="N14" s="246">
        <f t="shared" ref="N14:N15" si="2">(E14*$H14+$J14-$K14)/$I14</f>
        <v>22.282371143834748</v>
      </c>
      <c r="O14" s="246">
        <f t="shared" ref="O14:O15" si="3">(F14*$H14+$J14-$K14)/$I14</f>
        <v>23.654917763948461</v>
      </c>
      <c r="P14" s="247">
        <f t="shared" ref="P14:P15" si="4">(G14*$H14+$J14-$K14)/$I14</f>
        <v>35.92931004048085</v>
      </c>
      <c r="U14" s="3"/>
    </row>
    <row r="15" spans="2:21">
      <c r="B15" s="31" t="s">
        <v>169</v>
      </c>
      <c r="C15" s="255">
        <f>'Trading Comps'!N38</f>
        <v>0.23040591130586344</v>
      </c>
      <c r="D15" s="255">
        <f>'Trading Comps'!N37</f>
        <v>0.36999272966543095</v>
      </c>
      <c r="E15" s="255">
        <f>'Trading Comps'!N36</f>
        <v>0.4220437489834733</v>
      </c>
      <c r="F15" s="255">
        <f>'Trading Comps'!N35</f>
        <v>0.4484803795928694</v>
      </c>
      <c r="G15" s="255">
        <f>'Trading Comps'!N34</f>
        <v>0.61850848424354776</v>
      </c>
      <c r="H15" s="302">
        <f>'Trading Comps'!O11</f>
        <v>22081</v>
      </c>
      <c r="I15" s="281">
        <f t="shared" si="0"/>
        <v>318</v>
      </c>
      <c r="J15" s="281">
        <f>J14</f>
        <v>826</v>
      </c>
      <c r="K15" s="281">
        <f>K14</f>
        <v>1083</v>
      </c>
      <c r="L15" s="246">
        <f t="shared" ref="L15" si="5">(C15*$H15+$J15-$K15)/$I15</f>
        <v>15.1905437973106</v>
      </c>
      <c r="M15" s="246">
        <f>(D15*$H15+$J15-$K15)/$I15</f>
        <v>24.883048628120697</v>
      </c>
      <c r="N15" s="246">
        <f t="shared" si="2"/>
        <v>28.497320821710925</v>
      </c>
      <c r="O15" s="246">
        <f t="shared" si="3"/>
        <v>30.33300396789355</v>
      </c>
      <c r="P15" s="247">
        <f t="shared" si="4"/>
        <v>42.139263649628234</v>
      </c>
      <c r="U15" s="3"/>
    </row>
    <row r="16" spans="2:21">
      <c r="B16" s="31" t="s">
        <v>155</v>
      </c>
      <c r="C16" s="255">
        <f>'Trading Comps'!P38</f>
        <v>7.4988695652173911</v>
      </c>
      <c r="D16" s="255">
        <f>'Trading Comps'!P37</f>
        <v>7.858772787267081</v>
      </c>
      <c r="E16" s="255">
        <f>'Trading Comps'!P36</f>
        <v>9.1096173292634504</v>
      </c>
      <c r="F16" s="255">
        <f>'Trading Comps'!P35</f>
        <v>10.906905724213754</v>
      </c>
      <c r="G16" s="255">
        <f>'Trading Comps'!P34</f>
        <v>12.160267760742819</v>
      </c>
      <c r="H16" s="302">
        <f>'Trading Comps'!R11</f>
        <v>1407</v>
      </c>
      <c r="I16" s="281">
        <f t="shared" si="0"/>
        <v>318</v>
      </c>
      <c r="J16" s="281">
        <f t="shared" ref="J16:J19" si="6">J15</f>
        <v>826</v>
      </c>
      <c r="K16" s="281">
        <f t="shared" ref="K16:K19" si="7">K15</f>
        <v>1083</v>
      </c>
      <c r="L16" s="246">
        <f t="shared" ref="L16:L17" si="8">(C16*$H16+$J16-$K16)/$I16</f>
        <v>32.370784522832928</v>
      </c>
      <c r="M16" s="246">
        <f t="shared" ref="M16:M17" si="9">(D16*$H16+$J16-$K16)/$I16</f>
        <v>33.963186514732023</v>
      </c>
      <c r="N16" s="246">
        <f t="shared" ref="N16:N17" si="10">(E16*$H16+$J16-$K16)/$I16</f>
        <v>39.497583592055584</v>
      </c>
      <c r="O16" s="246">
        <f t="shared" ref="O16:O17" si="11">(F16*$H16+$J16-$K16)/$I16</f>
        <v>47.449736962165886</v>
      </c>
      <c r="P16" s="247">
        <f t="shared" ref="P16:P17" si="12">(G16*$H16+$J16-$K16)/$I16</f>
        <v>52.995272765299198</v>
      </c>
    </row>
    <row r="17" spans="2:16">
      <c r="B17" s="31" t="s">
        <v>170</v>
      </c>
      <c r="C17" s="255">
        <f>'Trading Comps'!Q38</f>
        <v>7.1714760914760909</v>
      </c>
      <c r="D17" s="255">
        <f>'Trading Comps'!Q37</f>
        <v>7.7658279298389186</v>
      </c>
      <c r="E17" s="255">
        <f>'Trading Comps'!Q36</f>
        <v>8.9577915671865238</v>
      </c>
      <c r="F17" s="255">
        <f>'Trading Comps'!Q35</f>
        <v>10.288792980810937</v>
      </c>
      <c r="G17" s="255">
        <f>'Trading Comps'!Q34</f>
        <v>10.749036075586945</v>
      </c>
      <c r="H17" s="302">
        <f>'Trading Comps'!S11</f>
        <v>1656</v>
      </c>
      <c r="I17" s="281">
        <f t="shared" si="0"/>
        <v>318</v>
      </c>
      <c r="J17" s="281">
        <f t="shared" si="6"/>
        <v>826</v>
      </c>
      <c r="K17" s="281">
        <f t="shared" si="7"/>
        <v>1083</v>
      </c>
      <c r="L17" s="246">
        <f t="shared" si="8"/>
        <v>36.537623922906938</v>
      </c>
      <c r="M17" s="246">
        <f t="shared" si="9"/>
        <v>39.632739156645435</v>
      </c>
      <c r="N17" s="246">
        <f t="shared" si="10"/>
        <v>45.839946022832962</v>
      </c>
      <c r="O17" s="246">
        <f t="shared" si="11"/>
        <v>52.771198667367649</v>
      </c>
      <c r="P17" s="247">
        <f t="shared" si="12"/>
        <v>55.167936292993645</v>
      </c>
    </row>
    <row r="18" spans="2:16">
      <c r="B18" s="31" t="s">
        <v>156</v>
      </c>
      <c r="C18" s="255">
        <f>'Trading Comps'!S38</f>
        <v>9.3058823529411772</v>
      </c>
      <c r="D18" s="255">
        <f>'Trading Comps'!S37</f>
        <v>13.511298032155937</v>
      </c>
      <c r="E18" s="255">
        <f>'Trading Comps'!S36</f>
        <v>17.064397808524468</v>
      </c>
      <c r="F18" s="255">
        <f>'Trading Comps'!S35</f>
        <v>19.811933078008465</v>
      </c>
      <c r="G18" s="255">
        <f>'Trading Comps'!S34</f>
        <v>20.699152542372882</v>
      </c>
      <c r="H18" s="305">
        <f>'Trading Comps'!V11</f>
        <v>1.58</v>
      </c>
      <c r="I18" s="281">
        <f t="shared" si="0"/>
        <v>318</v>
      </c>
      <c r="J18" s="281">
        <f t="shared" si="6"/>
        <v>826</v>
      </c>
      <c r="K18" s="281">
        <f t="shared" si="7"/>
        <v>1083</v>
      </c>
      <c r="L18" s="246">
        <f>C18*$H18</f>
        <v>14.70329411764706</v>
      </c>
      <c r="M18" s="246">
        <f t="shared" ref="M18:M19" si="13">D18*$H18</f>
        <v>21.347850890806381</v>
      </c>
      <c r="N18" s="246">
        <f t="shared" ref="N18:N19" si="14">E18*$H18</f>
        <v>26.961748537468662</v>
      </c>
      <c r="O18" s="246">
        <f t="shared" ref="O18:O19" si="15">F18*$H18</f>
        <v>31.302854263253376</v>
      </c>
      <c r="P18" s="247">
        <f t="shared" ref="P18:P19" si="16">G18*$H18</f>
        <v>32.704661016949153</v>
      </c>
    </row>
    <row r="19" spans="2:16">
      <c r="B19" s="31" t="s">
        <v>157</v>
      </c>
      <c r="C19" s="255">
        <f>'Trading Comps'!T38</f>
        <v>9.0400000000000009</v>
      </c>
      <c r="D19" s="255">
        <f>'Trading Comps'!T37</f>
        <v>11.079230051431177</v>
      </c>
      <c r="E19" s="255">
        <f>'Trading Comps'!T36</f>
        <v>15.335889685027617</v>
      </c>
      <c r="F19" s="255">
        <f>'Trading Comps'!T35</f>
        <v>18.717979210711768</v>
      </c>
      <c r="G19" s="255">
        <f>'Trading Comps'!T34</f>
        <v>23.261904761904763</v>
      </c>
      <c r="H19" s="305">
        <f>'Trading Comps'!W11</f>
        <v>1.66</v>
      </c>
      <c r="I19" s="281">
        <f t="shared" si="0"/>
        <v>318</v>
      </c>
      <c r="J19" s="281">
        <f t="shared" si="6"/>
        <v>826</v>
      </c>
      <c r="K19" s="281">
        <f t="shared" si="7"/>
        <v>1083</v>
      </c>
      <c r="L19" s="246">
        <f t="shared" ref="L19" si="17">C19*$H19</f>
        <v>15.006400000000001</v>
      </c>
      <c r="M19" s="246">
        <f t="shared" si="13"/>
        <v>18.391521885375752</v>
      </c>
      <c r="N19" s="246">
        <f t="shared" si="14"/>
        <v>25.457576877145843</v>
      </c>
      <c r="O19" s="246">
        <f t="shared" si="15"/>
        <v>31.071845489781534</v>
      </c>
      <c r="P19" s="247">
        <f t="shared" si="16"/>
        <v>38.614761904761906</v>
      </c>
    </row>
    <row r="20" spans="2:16" s="250" customFormat="1">
      <c r="B20" s="251"/>
      <c r="C20" s="244"/>
      <c r="D20" s="244"/>
      <c r="E20" s="244"/>
      <c r="F20" s="244"/>
      <c r="G20" s="159"/>
      <c r="H20" s="304"/>
      <c r="I20" s="159"/>
      <c r="J20" s="159"/>
      <c r="K20" s="159"/>
      <c r="L20" s="242"/>
      <c r="M20" s="242"/>
      <c r="N20" s="242"/>
      <c r="O20" s="242"/>
      <c r="P20" s="243"/>
    </row>
    <row r="21" spans="2:16">
      <c r="B21" s="34" t="s">
        <v>0</v>
      </c>
      <c r="C21" s="283"/>
      <c r="D21" s="244"/>
      <c r="E21" s="244"/>
      <c r="F21" s="244"/>
      <c r="G21" s="159"/>
      <c r="H21" s="304"/>
      <c r="I21" s="159"/>
      <c r="J21" s="159"/>
      <c r="K21" s="159"/>
      <c r="L21" s="242"/>
      <c r="M21" s="242"/>
      <c r="N21" s="242"/>
      <c r="O21" s="242"/>
      <c r="P21" s="243"/>
    </row>
    <row r="22" spans="2:16">
      <c r="B22" s="31" t="s">
        <v>63</v>
      </c>
      <c r="C22" s="255">
        <f>'Transaction Comps'!K22</f>
        <v>7.9776944585663437E-2</v>
      </c>
      <c r="D22" s="255">
        <f>'Transaction Comps'!K21</f>
        <v>0.21092059234397517</v>
      </c>
      <c r="E22" s="255">
        <f>'Transaction Comps'!K20</f>
        <v>0.35070005184621855</v>
      </c>
      <c r="F22" s="255">
        <f>'Transaction Comps'!K19</f>
        <v>0.49474501986868336</v>
      </c>
      <c r="G22" s="255">
        <f>'Transaction Comps'!K18</f>
        <v>0.72314794816414685</v>
      </c>
      <c r="H22" s="302">
        <f>'Trading Comps'!L11</f>
        <v>16030</v>
      </c>
      <c r="I22" s="281">
        <f>I$14</f>
        <v>318</v>
      </c>
      <c r="J22" s="281">
        <f t="shared" ref="J22:K25" si="18">J$14</f>
        <v>826</v>
      </c>
      <c r="K22" s="281">
        <f t="shared" si="18"/>
        <v>1083</v>
      </c>
      <c r="L22" s="246">
        <f>(C22*$H22+$J22-$K22)/$I22</f>
        <v>3.2132843449942916</v>
      </c>
      <c r="M22" s="246">
        <f t="shared" ref="M22:M25" si="19">(D22*$H22+$J22-$K22)/$I22</f>
        <v>9.8240789159557291</v>
      </c>
      <c r="N22" s="246">
        <f t="shared" ref="N22:N25" si="20">(E22*$H22+$J22-$K22)/$I22</f>
        <v>16.870194437405296</v>
      </c>
      <c r="O22" s="246">
        <f t="shared" ref="O22:O25" si="21">(F22*$H22+$J22-$K22)/$I22</f>
        <v>24.131329146210671</v>
      </c>
      <c r="P22" s="247">
        <f t="shared" ref="P22:P25" si="22">(G22*$H22+$J22-$K22)/$I22</f>
        <v>35.644847827268158</v>
      </c>
    </row>
    <row r="23" spans="2:16">
      <c r="B23" s="31" t="s">
        <v>65</v>
      </c>
      <c r="C23" s="255">
        <f>'Transaction Comps'!L22</f>
        <v>8.0539552190928329E-2</v>
      </c>
      <c r="D23" s="255">
        <f>'Transaction Comps'!L21</f>
        <v>0.18341606269230915</v>
      </c>
      <c r="E23" s="255">
        <f>'Transaction Comps'!L20</f>
        <v>0.35669665403725426</v>
      </c>
      <c r="F23" s="255">
        <f>'Transaction Comps'!L19</f>
        <v>0.4583404451925509</v>
      </c>
      <c r="G23" s="255">
        <f>'Transaction Comps'!L18</f>
        <v>0.67164994984954862</v>
      </c>
      <c r="H23" s="302">
        <f>'Trading Comps'!N11</f>
        <v>17081</v>
      </c>
      <c r="I23" s="281">
        <f t="shared" ref="I23:I25" si="23">I$14</f>
        <v>318</v>
      </c>
      <c r="J23" s="281">
        <f t="shared" si="18"/>
        <v>826</v>
      </c>
      <c r="K23" s="281">
        <f t="shared" si="18"/>
        <v>1083</v>
      </c>
      <c r="L23" s="246">
        <f t="shared" ref="L23:L25" si="24">(C23*$H23+$J23-$K23)/$I23</f>
        <v>3.5179122357649275</v>
      </c>
      <c r="M23" s="246">
        <f t="shared" si="19"/>
        <v>9.0438042982620512</v>
      </c>
      <c r="N23" s="246">
        <f t="shared" si="20"/>
        <v>18.351369646573396</v>
      </c>
      <c r="O23" s="246">
        <f t="shared" si="21"/>
        <v>23.811047623691703</v>
      </c>
      <c r="P23" s="247">
        <f t="shared" si="22"/>
        <v>35.268719476038179</v>
      </c>
    </row>
    <row r="24" spans="2:16">
      <c r="B24" s="31" t="s">
        <v>64</v>
      </c>
      <c r="C24" s="255">
        <f>'Transaction Comps'!M22</f>
        <v>2.6230516517612705</v>
      </c>
      <c r="D24" s="255">
        <f>'Transaction Comps'!M21</f>
        <v>4.5959803031920572</v>
      </c>
      <c r="E24" s="255">
        <f>'Transaction Comps'!M20</f>
        <v>6.9870615449176574</v>
      </c>
      <c r="F24" s="255">
        <f>'Transaction Comps'!M19</f>
        <v>7.4873691710561401</v>
      </c>
      <c r="G24" s="255">
        <f>'Transaction Comps'!M18</f>
        <v>8.8400533451878189</v>
      </c>
      <c r="H24" s="302">
        <f>'Trading Comps'!P11</f>
        <v>1119.3</v>
      </c>
      <c r="I24" s="281">
        <f t="shared" si="23"/>
        <v>318</v>
      </c>
      <c r="J24" s="281">
        <f t="shared" si="18"/>
        <v>826</v>
      </c>
      <c r="K24" s="281">
        <f t="shared" si="18"/>
        <v>1083</v>
      </c>
      <c r="L24" s="246">
        <f t="shared" si="24"/>
        <v>8.424470798164748</v>
      </c>
      <c r="M24" s="246">
        <f t="shared" si="19"/>
        <v>15.368807400512168</v>
      </c>
      <c r="N24" s="246">
        <f t="shared" si="20"/>
        <v>23.784962223982184</v>
      </c>
      <c r="O24" s="246">
        <f t="shared" si="21"/>
        <v>25.545950670324331</v>
      </c>
      <c r="P24" s="247">
        <f t="shared" si="22"/>
        <v>30.307143739838757</v>
      </c>
    </row>
    <row r="25" spans="2:16">
      <c r="B25" s="123" t="s">
        <v>66</v>
      </c>
      <c r="C25" s="284">
        <f>'Transaction Comps'!N22</f>
        <v>2.2076344086021504</v>
      </c>
      <c r="D25" s="284">
        <f>'Transaction Comps'!N21</f>
        <v>4.2656703986124924</v>
      </c>
      <c r="E25" s="284">
        <f>'Transaction Comps'!N20</f>
        <v>6.1730713823677386</v>
      </c>
      <c r="F25" s="284">
        <f>'Transaction Comps'!N19</f>
        <v>6.7067006582425712</v>
      </c>
      <c r="G25" s="284">
        <f>'Transaction Comps'!N18</f>
        <v>7</v>
      </c>
      <c r="H25" s="306">
        <f>'Trading Comps'!R11</f>
        <v>1407</v>
      </c>
      <c r="I25" s="285">
        <f t="shared" si="23"/>
        <v>318</v>
      </c>
      <c r="J25" s="285">
        <f t="shared" si="18"/>
        <v>826</v>
      </c>
      <c r="K25" s="285">
        <f t="shared" si="18"/>
        <v>1083</v>
      </c>
      <c r="L25" s="248">
        <f t="shared" si="24"/>
        <v>8.9595648204503942</v>
      </c>
      <c r="M25" s="248">
        <f t="shared" si="19"/>
        <v>18.06540330455276</v>
      </c>
      <c r="N25" s="248">
        <f t="shared" si="20"/>
        <v>26.504752940224552</v>
      </c>
      <c r="O25" s="248">
        <f t="shared" si="21"/>
        <v>28.865810774048104</v>
      </c>
      <c r="P25" s="249">
        <f t="shared" si="22"/>
        <v>30.163522012578618</v>
      </c>
    </row>
    <row r="26" spans="2:16" s="282" customFormat="1">
      <c r="B26" s="100"/>
      <c r="C26" s="256"/>
      <c r="D26" s="256"/>
      <c r="E26" s="256"/>
      <c r="F26" s="256"/>
      <c r="G26" s="256"/>
      <c r="H26" s="257"/>
      <c r="I26" s="257"/>
      <c r="J26" s="257"/>
      <c r="K26" s="257"/>
      <c r="L26" s="242"/>
      <c r="M26" s="242"/>
      <c r="N26" s="242"/>
      <c r="O26" s="242"/>
      <c r="P26" s="242"/>
    </row>
    <row r="27" spans="2:16" s="282" customFormat="1">
      <c r="B27" s="27" t="s">
        <v>81</v>
      </c>
      <c r="C27" s="309" t="s">
        <v>172</v>
      </c>
      <c r="D27" s="309"/>
      <c r="E27" s="29"/>
      <c r="F27" s="309" t="s">
        <v>173</v>
      </c>
      <c r="G27" s="309"/>
      <c r="H27" s="29"/>
      <c r="I27" s="29" t="s">
        <v>175</v>
      </c>
      <c r="J27" s="286"/>
      <c r="K27" s="286"/>
      <c r="L27" s="29"/>
      <c r="M27" s="29"/>
      <c r="N27" s="29"/>
      <c r="O27" s="29"/>
      <c r="P27" s="30"/>
    </row>
    <row r="28" spans="2:16" s="283" customFormat="1">
      <c r="B28" s="252" t="s">
        <v>168</v>
      </c>
      <c r="C28" s="244"/>
      <c r="D28" s="244"/>
      <c r="E28" s="244"/>
      <c r="F28" s="244"/>
      <c r="G28" s="244"/>
      <c r="H28" s="159"/>
      <c r="I28" s="159"/>
      <c r="J28" s="159"/>
      <c r="K28" s="159"/>
      <c r="L28" s="242"/>
      <c r="M28" s="242"/>
      <c r="N28" s="242"/>
      <c r="O28" s="242"/>
      <c r="P28" s="243"/>
    </row>
    <row r="29" spans="2:16">
      <c r="B29" s="123" t="s">
        <v>98</v>
      </c>
      <c r="C29" s="310">
        <f>DCF!R18</f>
        <v>11425.125343556329</v>
      </c>
      <c r="D29" s="310"/>
      <c r="E29" s="303"/>
      <c r="F29" s="310">
        <f>DCF!R22</f>
        <v>11168.125343556329</v>
      </c>
      <c r="G29" s="310"/>
      <c r="H29" s="279"/>
      <c r="I29" s="312">
        <f>DCF!R25</f>
        <v>35.119891017472732</v>
      </c>
      <c r="J29" s="279"/>
      <c r="K29" s="279"/>
      <c r="L29" s="279"/>
      <c r="M29" s="279"/>
      <c r="N29" s="280"/>
    </row>
    <row r="32" spans="2:16">
      <c r="B32" s="22"/>
      <c r="C32" s="4"/>
      <c r="D32" s="4"/>
    </row>
    <row r="33" spans="2:2">
      <c r="B33" s="300"/>
    </row>
    <row r="34" spans="2:2">
      <c r="B34" s="300"/>
    </row>
    <row r="35" spans="2:2">
      <c r="B35" s="300"/>
    </row>
    <row r="36" spans="2:2">
      <c r="B36" s="301"/>
    </row>
    <row r="37" spans="2:2">
      <c r="B37" s="301"/>
    </row>
  </sheetData>
  <mergeCells count="4">
    <mergeCell ref="C27:D27"/>
    <mergeCell ref="C29:D29"/>
    <mergeCell ref="F27:G27"/>
    <mergeCell ref="F29:G29"/>
  </mergeCells>
  <phoneticPr fontId="5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G13" sqref="G13"/>
    </sheetView>
  </sheetViews>
  <sheetFormatPr defaultColWidth="11.5546875" defaultRowHeight="14.4"/>
  <sheetData>
    <row r="1" spans="1:3">
      <c r="A1" s="112" t="s">
        <v>99</v>
      </c>
      <c r="B1">
        <v>13605.36</v>
      </c>
    </row>
    <row r="2" spans="1:3">
      <c r="A2" s="112" t="s">
        <v>100</v>
      </c>
      <c r="B2">
        <v>13444.36</v>
      </c>
    </row>
    <row r="3" spans="1:3">
      <c r="A3" s="112" t="s">
        <v>101</v>
      </c>
      <c r="B3" s="113">
        <v>0.1915</v>
      </c>
    </row>
    <row r="4" spans="1:3">
      <c r="A4" s="112" t="s">
        <v>102</v>
      </c>
      <c r="B4">
        <v>161</v>
      </c>
    </row>
    <row r="5" spans="1:3">
      <c r="B5" s="112" t="s">
        <v>104</v>
      </c>
      <c r="C5" s="112" t="s">
        <v>105</v>
      </c>
    </row>
    <row r="6" spans="1:3">
      <c r="A6" s="112" t="s">
        <v>103</v>
      </c>
      <c r="B6" s="112" t="s">
        <v>106</v>
      </c>
      <c r="C6" s="112" t="s">
        <v>107</v>
      </c>
    </row>
    <row r="7" spans="1:3">
      <c r="A7" s="112" t="s">
        <v>108</v>
      </c>
      <c r="B7" s="112" t="s">
        <v>109</v>
      </c>
      <c r="C7" s="112" t="s">
        <v>110</v>
      </c>
    </row>
    <row r="8" spans="1:3">
      <c r="A8" s="112" t="s">
        <v>111</v>
      </c>
      <c r="B8" s="112" t="s">
        <v>112</v>
      </c>
      <c r="C8" s="112" t="s">
        <v>113</v>
      </c>
    </row>
  </sheetData>
  <phoneticPr fontId="3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Trading Comps</vt:lpstr>
      <vt:lpstr>Transaction Comps</vt:lpstr>
      <vt:lpstr>WACC</vt:lpstr>
      <vt:lpstr>DCF</vt:lpstr>
      <vt:lpstr>ValSum</vt:lpstr>
      <vt:lpstr>Sheet2</vt:lpstr>
      <vt:lpstr>Company_Name</vt:lpstr>
      <vt:lpstr>Diluted_Shares</vt:lpstr>
      <vt:lpstr>ValSum!Print_Area</vt:lpstr>
      <vt:lpstr>Units</vt:lpstr>
    </vt:vector>
  </TitlesOfParts>
  <Company>LENOVO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BIWS</dc:creator>
  <cp:lastModifiedBy>Jahun</cp:lastModifiedBy>
  <cp:lastPrinted>2017-05-13T18:18:53Z</cp:lastPrinted>
  <dcterms:created xsi:type="dcterms:W3CDTF">2009-06-26T05:31:17Z</dcterms:created>
  <dcterms:modified xsi:type="dcterms:W3CDTF">2020-04-05T01:06:55Z</dcterms:modified>
</cp:coreProperties>
</file>